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OneDrive\Desktop\Trainity\"/>
    </mc:Choice>
  </mc:AlternateContent>
  <xr:revisionPtr revIDLastSave="0" documentId="13_ncr:1_{F14F6F90-7812-40F2-85B3-EF91586383B4}" xr6:coauthVersionLast="47" xr6:coauthVersionMax="47" xr10:uidLastSave="{00000000-0000-0000-0000-000000000000}"/>
  <bookViews>
    <workbookView xWindow="-110" yWindow="-110" windowWidth="19420" windowHeight="10300" tabRatio="825" xr2:uid="{00000000-000D-0000-FFFF-FFFF00000000}"/>
  </bookViews>
  <sheets>
    <sheet name="IMDB_Movies" sheetId="1" r:id="rId1"/>
    <sheet name="1) MOVIE GENRE ANALYSIS" sheetId="4" r:id="rId2"/>
    <sheet name="2) MOVIE DURATION ANALYSIS" sheetId="5" r:id="rId3"/>
    <sheet name="3) LANGUAGE ANALYSIS" sheetId="7" r:id="rId4"/>
    <sheet name="4) DIRECTOR ANALYSIS" sheetId="3" r:id="rId5"/>
    <sheet name="5) PROFIT ANALYSIS" sheetId="6" r:id="rId6"/>
  </sheets>
  <definedNames>
    <definedName name="_xlnm._FilterDatabase" localSheetId="0" hidden="1">IMDB_Movies!$A$1:$Z$3844</definedName>
    <definedName name="_xlchart.v1.0" hidden="1">'1) MOVIE GENRE ANALYSIS'!$B$5:$B$28</definedName>
    <definedName name="_xlchart.v1.1" hidden="1">'1) MOVIE GENRE ANALYSIS'!$C$4</definedName>
    <definedName name="_xlchart.v1.10" hidden="1">'1) MOVIE GENRE ANALYSIS'!$G$5:$G$28</definedName>
    <definedName name="_xlchart.v1.11" hidden="1">'1) MOVIE GENRE ANALYSIS'!$H$4</definedName>
    <definedName name="_xlchart.v1.12" hidden="1">'1) MOVIE GENRE ANALYSIS'!$H$5:$H$28</definedName>
    <definedName name="_xlchart.v1.13" hidden="1">'1) MOVIE GENRE ANALYSIS'!$I$4</definedName>
    <definedName name="_xlchart.v1.14" hidden="1">'1) MOVIE GENRE ANALYSIS'!$I$5:$I$28</definedName>
    <definedName name="_xlchart.v1.15" hidden="1">'1) MOVIE GENRE ANALYSIS'!$J$4</definedName>
    <definedName name="_xlchart.v1.16" hidden="1">'1) MOVIE GENRE ANALYSIS'!$J$5:$J$28</definedName>
    <definedName name="_xlchart.v1.2" hidden="1">'1) MOVIE GENRE ANALYSIS'!$C$5:$C$28</definedName>
    <definedName name="_xlchart.v1.3" hidden="1">'1) MOVIE GENRE ANALYSIS'!$D$4</definedName>
    <definedName name="_xlchart.v1.4" hidden="1">'1) MOVIE GENRE ANALYSIS'!$D$5:$D$28</definedName>
    <definedName name="_xlchart.v1.5" hidden="1">'1) MOVIE GENRE ANALYSIS'!$E$4</definedName>
    <definedName name="_xlchart.v1.6" hidden="1">'1) MOVIE GENRE ANALYSIS'!$E$5:$E$28</definedName>
    <definedName name="_xlchart.v1.7" hidden="1">'1) MOVIE GENRE ANALYSIS'!$F$4</definedName>
    <definedName name="_xlchart.v1.8" hidden="1">'1) MOVIE GENRE ANALYSIS'!$F$5:$F$28</definedName>
    <definedName name="_xlchart.v1.9" hidden="1">'1) MOVIE GENRE ANALYSIS'!$G$4</definedName>
    <definedName name="_xlchart.v2.17" hidden="1">'5) PROFIT ANALYSIS'!$B$5:$B$14</definedName>
    <definedName name="_xlchart.v2.18" hidden="1">'5) PROFIT ANALYSIS'!$C$4</definedName>
    <definedName name="_xlchart.v2.19" hidden="1">'5) PROFIT ANALYSIS'!$C$5:$C$14</definedName>
    <definedName name="Z_5C84618A_05C3_463D_BDB7_E3431BA01E28_.wvu.FilterData" localSheetId="0" hidden="1">IMDB_Movies!$N$103:$S$141</definedName>
  </definedNames>
  <calcPr calcId="191029"/>
  <customWorkbookViews>
    <customWorkbookView name="Filter 1" guid="{5C84618A-05C3-463D-BDB7-E3431BA01E28}" maximized="1" windowWidth="0" windowHeight="0" activeSheetId="0"/>
  </customWorkbookViews>
</workbook>
</file>

<file path=xl/calcChain.xml><?xml version="1.0" encoding="utf-8"?>
<calcChain xmlns="http://schemas.openxmlformats.org/spreadsheetml/2006/main">
  <c r="L2" i="1" l="1"/>
  <c r="K2" i="1"/>
  <c r="K378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G3788" i="6"/>
  <c r="G3787" i="6"/>
  <c r="G3786" i="6"/>
  <c r="G3785" i="6"/>
  <c r="G3784" i="6"/>
  <c r="G3783" i="6"/>
  <c r="G3782" i="6"/>
  <c r="G3781" i="6"/>
  <c r="G3780" i="6"/>
  <c r="G3779" i="6"/>
  <c r="G3778" i="6"/>
  <c r="G3777" i="6"/>
  <c r="G3776" i="6"/>
  <c r="G3775" i="6"/>
  <c r="G3774" i="6"/>
  <c r="G3773" i="6"/>
  <c r="G3772" i="6"/>
  <c r="G3771" i="6"/>
  <c r="G3770" i="6"/>
  <c r="G3769" i="6"/>
  <c r="G3768" i="6"/>
  <c r="G3767" i="6"/>
  <c r="G3766" i="6"/>
  <c r="G3765" i="6"/>
  <c r="G3764" i="6"/>
  <c r="G3763" i="6"/>
  <c r="G3762" i="6"/>
  <c r="G3761" i="6"/>
  <c r="G3760" i="6"/>
  <c r="G3759" i="6"/>
  <c r="G3758" i="6"/>
  <c r="G3757" i="6"/>
  <c r="G3756" i="6"/>
  <c r="G3755" i="6"/>
  <c r="G3754" i="6"/>
  <c r="G3753" i="6"/>
  <c r="G3752" i="6"/>
  <c r="G3751" i="6"/>
  <c r="G3750" i="6"/>
  <c r="G3749" i="6"/>
  <c r="G3748" i="6"/>
  <c r="G3747" i="6"/>
  <c r="G3746" i="6"/>
  <c r="G3745" i="6"/>
  <c r="G3744" i="6"/>
  <c r="G3743" i="6"/>
  <c r="G3742" i="6"/>
  <c r="G3741" i="6"/>
  <c r="G3740" i="6"/>
  <c r="G3739" i="6"/>
  <c r="G3738" i="6"/>
  <c r="G3737" i="6"/>
  <c r="G3736" i="6"/>
  <c r="G3735" i="6"/>
  <c r="G3734" i="6"/>
  <c r="G3733" i="6"/>
  <c r="G3732" i="6"/>
  <c r="G3731" i="6"/>
  <c r="G3730" i="6"/>
  <c r="G3729" i="6"/>
  <c r="G3728" i="6"/>
  <c r="G3727" i="6"/>
  <c r="G3726" i="6"/>
  <c r="G3725" i="6"/>
  <c r="G3724" i="6"/>
  <c r="G3723" i="6"/>
  <c r="G3722" i="6"/>
  <c r="G3721" i="6"/>
  <c r="G3720" i="6"/>
  <c r="G3719" i="6"/>
  <c r="G3718" i="6"/>
  <c r="G3717" i="6"/>
  <c r="G3716" i="6"/>
  <c r="G3715" i="6"/>
  <c r="G3714" i="6"/>
  <c r="G3713" i="6"/>
  <c r="G3712" i="6"/>
  <c r="G3711" i="6"/>
  <c r="G3710" i="6"/>
  <c r="G3709" i="6"/>
  <c r="G3708" i="6"/>
  <c r="G3707" i="6"/>
  <c r="G3706" i="6"/>
  <c r="G3705" i="6"/>
  <c r="G3704" i="6"/>
  <c r="G3703" i="6"/>
  <c r="G3702" i="6"/>
  <c r="G3701" i="6"/>
  <c r="G3700" i="6"/>
  <c r="G3699" i="6"/>
  <c r="G3698" i="6"/>
  <c r="G3697" i="6"/>
  <c r="G3696" i="6"/>
  <c r="G3695" i="6"/>
  <c r="G3694" i="6"/>
  <c r="G3693" i="6"/>
  <c r="G3692" i="6"/>
  <c r="G3691" i="6"/>
  <c r="G3690" i="6"/>
  <c r="G3689" i="6"/>
  <c r="G3688" i="6"/>
  <c r="G3687" i="6"/>
  <c r="G3686" i="6"/>
  <c r="G3685" i="6"/>
  <c r="G3684" i="6"/>
  <c r="G3683" i="6"/>
  <c r="G3682" i="6"/>
  <c r="G3681" i="6"/>
  <c r="G3680" i="6"/>
  <c r="G3679" i="6"/>
  <c r="G3678" i="6"/>
  <c r="G3677" i="6"/>
  <c r="G3676" i="6"/>
  <c r="G3675" i="6"/>
  <c r="G3674" i="6"/>
  <c r="G3673" i="6"/>
  <c r="G3672" i="6"/>
  <c r="G3671" i="6"/>
  <c r="G3670" i="6"/>
  <c r="G3669" i="6"/>
  <c r="G3668" i="6"/>
  <c r="G3667" i="6"/>
  <c r="G3666" i="6"/>
  <c r="G3665" i="6"/>
  <c r="G3664" i="6"/>
  <c r="G3663" i="6"/>
  <c r="G3662" i="6"/>
  <c r="G3661" i="6"/>
  <c r="G3660" i="6"/>
  <c r="G3659" i="6"/>
  <c r="G3658" i="6"/>
  <c r="G3657" i="6"/>
  <c r="G3656" i="6"/>
  <c r="G3655" i="6"/>
  <c r="G3654" i="6"/>
  <c r="G3653" i="6"/>
  <c r="G3652" i="6"/>
  <c r="G3651" i="6"/>
  <c r="G3650" i="6"/>
  <c r="G3649" i="6"/>
  <c r="G3648" i="6"/>
  <c r="G3647" i="6"/>
  <c r="G3646" i="6"/>
  <c r="G3645" i="6"/>
  <c r="G3644" i="6"/>
  <c r="G3643" i="6"/>
  <c r="G3642" i="6"/>
  <c r="G3641" i="6"/>
  <c r="G3640" i="6"/>
  <c r="G3639" i="6"/>
  <c r="G3638" i="6"/>
  <c r="G3637" i="6"/>
  <c r="G3636" i="6"/>
  <c r="G3635" i="6"/>
  <c r="G3634" i="6"/>
  <c r="G3633" i="6"/>
  <c r="G3632" i="6"/>
  <c r="G3631" i="6"/>
  <c r="G3630" i="6"/>
  <c r="G3629" i="6"/>
  <c r="G3628" i="6"/>
  <c r="G3627" i="6"/>
  <c r="G3626" i="6"/>
  <c r="G3625" i="6"/>
  <c r="G3624" i="6"/>
  <c r="G3623" i="6"/>
  <c r="G3622" i="6"/>
  <c r="G3621" i="6"/>
  <c r="G3620" i="6"/>
  <c r="G3619" i="6"/>
  <c r="G3618" i="6"/>
  <c r="G3617" i="6"/>
  <c r="G3616" i="6"/>
  <c r="G3615" i="6"/>
  <c r="G3614" i="6"/>
  <c r="G3613" i="6"/>
  <c r="G3612" i="6"/>
  <c r="G3611" i="6"/>
  <c r="G3610" i="6"/>
  <c r="G3609" i="6"/>
  <c r="G3608" i="6"/>
  <c r="G3607" i="6"/>
  <c r="G3606" i="6"/>
  <c r="G3605" i="6"/>
  <c r="G3604" i="6"/>
  <c r="G3603" i="6"/>
  <c r="G3602" i="6"/>
  <c r="G3601" i="6"/>
  <c r="G3600" i="6"/>
  <c r="G3599" i="6"/>
  <c r="G3598" i="6"/>
  <c r="G3597" i="6"/>
  <c r="G3596" i="6"/>
  <c r="G3595" i="6"/>
  <c r="G3594" i="6"/>
  <c r="G3593" i="6"/>
  <c r="G3592" i="6"/>
  <c r="G3591" i="6"/>
  <c r="G3590" i="6"/>
  <c r="G3589" i="6"/>
  <c r="G3588" i="6"/>
  <c r="G3587" i="6"/>
  <c r="G3586" i="6"/>
  <c r="G3585" i="6"/>
  <c r="G3584" i="6"/>
  <c r="G3583" i="6"/>
  <c r="G3582" i="6"/>
  <c r="G3581" i="6"/>
  <c r="G3580" i="6"/>
  <c r="G3579" i="6"/>
  <c r="G3578" i="6"/>
  <c r="G3577" i="6"/>
  <c r="G3576" i="6"/>
  <c r="G3575" i="6"/>
  <c r="G3574" i="6"/>
  <c r="G3573" i="6"/>
  <c r="G3572" i="6"/>
  <c r="G3571" i="6"/>
  <c r="G3570" i="6"/>
  <c r="G3569" i="6"/>
  <c r="G3568" i="6"/>
  <c r="G3567" i="6"/>
  <c r="G3566" i="6"/>
  <c r="G3565" i="6"/>
  <c r="G3564" i="6"/>
  <c r="G3563" i="6"/>
  <c r="G3562" i="6"/>
  <c r="G3561" i="6"/>
  <c r="G3560" i="6"/>
  <c r="G3559" i="6"/>
  <c r="G3558" i="6"/>
  <c r="G3557" i="6"/>
  <c r="G3556" i="6"/>
  <c r="G3555" i="6"/>
  <c r="G3554" i="6"/>
  <c r="G3553" i="6"/>
  <c r="G3552" i="6"/>
  <c r="G3551" i="6"/>
  <c r="G3550" i="6"/>
  <c r="G3549" i="6"/>
  <c r="G3548" i="6"/>
  <c r="G3547" i="6"/>
  <c r="G3546" i="6"/>
  <c r="G3545" i="6"/>
  <c r="G3544" i="6"/>
  <c r="G3543" i="6"/>
  <c r="G3542" i="6"/>
  <c r="G3541" i="6"/>
  <c r="G3540" i="6"/>
  <c r="G3539" i="6"/>
  <c r="G3538" i="6"/>
  <c r="G3537" i="6"/>
  <c r="G3536" i="6"/>
  <c r="G3535" i="6"/>
  <c r="G3534" i="6"/>
  <c r="G3533" i="6"/>
  <c r="G3532" i="6"/>
  <c r="G3531" i="6"/>
  <c r="G3530" i="6"/>
  <c r="G3529" i="6"/>
  <c r="G3528" i="6"/>
  <c r="G3527" i="6"/>
  <c r="G3526" i="6"/>
  <c r="G3525" i="6"/>
  <c r="G3524" i="6"/>
  <c r="G3523" i="6"/>
  <c r="G3522" i="6"/>
  <c r="G3521" i="6"/>
  <c r="G3520" i="6"/>
  <c r="G3519" i="6"/>
  <c r="G3518" i="6"/>
  <c r="G3517" i="6"/>
  <c r="G3516" i="6"/>
  <c r="G3515" i="6"/>
  <c r="G3514" i="6"/>
  <c r="G3513" i="6"/>
  <c r="G3512" i="6"/>
  <c r="G3511" i="6"/>
  <c r="G3510" i="6"/>
  <c r="G3509" i="6"/>
  <c r="G3508" i="6"/>
  <c r="G3507" i="6"/>
  <c r="G3506" i="6"/>
  <c r="G3505" i="6"/>
  <c r="G3504" i="6"/>
  <c r="G3503" i="6"/>
  <c r="G3502" i="6"/>
  <c r="G3501" i="6"/>
  <c r="G3500" i="6"/>
  <c r="G3499" i="6"/>
  <c r="G3498" i="6"/>
  <c r="G3497" i="6"/>
  <c r="G3496" i="6"/>
  <c r="G3495" i="6"/>
  <c r="G3494" i="6"/>
  <c r="G3493" i="6"/>
  <c r="G3492" i="6"/>
  <c r="G3491" i="6"/>
  <c r="G3490" i="6"/>
  <c r="G3489" i="6"/>
  <c r="G3488" i="6"/>
  <c r="G3487" i="6"/>
  <c r="G3486" i="6"/>
  <c r="G3485" i="6"/>
  <c r="G3484" i="6"/>
  <c r="G3483" i="6"/>
  <c r="G3482" i="6"/>
  <c r="G3481" i="6"/>
  <c r="G3480" i="6"/>
  <c r="G3479" i="6"/>
  <c r="G3478" i="6"/>
  <c r="G3477" i="6"/>
  <c r="G3476" i="6"/>
  <c r="G3475" i="6"/>
  <c r="G3474" i="6"/>
  <c r="G3473" i="6"/>
  <c r="G3472" i="6"/>
  <c r="G3471" i="6"/>
  <c r="G3470" i="6"/>
  <c r="G3469" i="6"/>
  <c r="G3468" i="6"/>
  <c r="G3467" i="6"/>
  <c r="G3466" i="6"/>
  <c r="G3465" i="6"/>
  <c r="G3464" i="6"/>
  <c r="G3463" i="6"/>
  <c r="G3462" i="6"/>
  <c r="G3461" i="6"/>
  <c r="G3460" i="6"/>
  <c r="G3459" i="6"/>
  <c r="G3458" i="6"/>
  <c r="G3457" i="6"/>
  <c r="G3456" i="6"/>
  <c r="G3455" i="6"/>
  <c r="G3454" i="6"/>
  <c r="G3453" i="6"/>
  <c r="G3452" i="6"/>
  <c r="G3451" i="6"/>
  <c r="G3450" i="6"/>
  <c r="G3449" i="6"/>
  <c r="G3448" i="6"/>
  <c r="G3447" i="6"/>
  <c r="G3446" i="6"/>
  <c r="G3445" i="6"/>
  <c r="G3444" i="6"/>
  <c r="G3443" i="6"/>
  <c r="G3442" i="6"/>
  <c r="G3441" i="6"/>
  <c r="G3440" i="6"/>
  <c r="G3439" i="6"/>
  <c r="G3438" i="6"/>
  <c r="G3437" i="6"/>
  <c r="G3436" i="6"/>
  <c r="G3435" i="6"/>
  <c r="G3434" i="6"/>
  <c r="G3433" i="6"/>
  <c r="G3432" i="6"/>
  <c r="G3431" i="6"/>
  <c r="G3430" i="6"/>
  <c r="G3429" i="6"/>
  <c r="G3428" i="6"/>
  <c r="G3427" i="6"/>
  <c r="G3426" i="6"/>
  <c r="G3425" i="6"/>
  <c r="G3424" i="6"/>
  <c r="G3423" i="6"/>
  <c r="G3422" i="6"/>
  <c r="G3421" i="6"/>
  <c r="G3420" i="6"/>
  <c r="G3419" i="6"/>
  <c r="G3418" i="6"/>
  <c r="G3417" i="6"/>
  <c r="G3416" i="6"/>
  <c r="G3415" i="6"/>
  <c r="G3414" i="6"/>
  <c r="G3413" i="6"/>
  <c r="G3412" i="6"/>
  <c r="G3411" i="6"/>
  <c r="G3410" i="6"/>
  <c r="G3409" i="6"/>
  <c r="G3408" i="6"/>
  <c r="G3407" i="6"/>
  <c r="G3406" i="6"/>
  <c r="G3405" i="6"/>
  <c r="G3404" i="6"/>
  <c r="G3403" i="6"/>
  <c r="G3402" i="6"/>
  <c r="G3401" i="6"/>
  <c r="G3400" i="6"/>
  <c r="G3399" i="6"/>
  <c r="G3398" i="6"/>
  <c r="G3397" i="6"/>
  <c r="G3396" i="6"/>
  <c r="G3395" i="6"/>
  <c r="G3394" i="6"/>
  <c r="G3393" i="6"/>
  <c r="G3392" i="6"/>
  <c r="G3391" i="6"/>
  <c r="G3390" i="6"/>
  <c r="G3389" i="6"/>
  <c r="G3388" i="6"/>
  <c r="G3387" i="6"/>
  <c r="G3386" i="6"/>
  <c r="G3385" i="6"/>
  <c r="G3384" i="6"/>
  <c r="G3383" i="6"/>
  <c r="G3382" i="6"/>
  <c r="G3381" i="6"/>
  <c r="G3380" i="6"/>
  <c r="G3379" i="6"/>
  <c r="G3378" i="6"/>
  <c r="G3377" i="6"/>
  <c r="G3376" i="6"/>
  <c r="G3375" i="6"/>
  <c r="G3374" i="6"/>
  <c r="G3373" i="6"/>
  <c r="G3372" i="6"/>
  <c r="G3371" i="6"/>
  <c r="G3370" i="6"/>
  <c r="G3369" i="6"/>
  <c r="G3368" i="6"/>
  <c r="G3367" i="6"/>
  <c r="G3366" i="6"/>
  <c r="G3365" i="6"/>
  <c r="G3364" i="6"/>
  <c r="G3363" i="6"/>
  <c r="G3362" i="6"/>
  <c r="G3361" i="6"/>
  <c r="G3360" i="6"/>
  <c r="G3359" i="6"/>
  <c r="G3358" i="6"/>
  <c r="G3357" i="6"/>
  <c r="G3356" i="6"/>
  <c r="G3355" i="6"/>
  <c r="G3354" i="6"/>
  <c r="G3353" i="6"/>
  <c r="G3352" i="6"/>
  <c r="G3351" i="6"/>
  <c r="G3350" i="6"/>
  <c r="G3349" i="6"/>
  <c r="G3348" i="6"/>
  <c r="G3347" i="6"/>
  <c r="G3346" i="6"/>
  <c r="G3345" i="6"/>
  <c r="G3344" i="6"/>
  <c r="G3343" i="6"/>
  <c r="G3342" i="6"/>
  <c r="G3341" i="6"/>
  <c r="G3340" i="6"/>
  <c r="G3339" i="6"/>
  <c r="G3338" i="6"/>
  <c r="G3337" i="6"/>
  <c r="G3336" i="6"/>
  <c r="G3335" i="6"/>
  <c r="G3334" i="6"/>
  <c r="G3333" i="6"/>
  <c r="G3332" i="6"/>
  <c r="G3331" i="6"/>
  <c r="G3330" i="6"/>
  <c r="G3329" i="6"/>
  <c r="G3328" i="6"/>
  <c r="G3327" i="6"/>
  <c r="G3326" i="6"/>
  <c r="G3325" i="6"/>
  <c r="G3324" i="6"/>
  <c r="G3323" i="6"/>
  <c r="G3322" i="6"/>
  <c r="G3321" i="6"/>
  <c r="G3320" i="6"/>
  <c r="G3319" i="6"/>
  <c r="G3318" i="6"/>
  <c r="G3317" i="6"/>
  <c r="G3316" i="6"/>
  <c r="G3315" i="6"/>
  <c r="G3314" i="6"/>
  <c r="G3313" i="6"/>
  <c r="G3312" i="6"/>
  <c r="G3311" i="6"/>
  <c r="G3310" i="6"/>
  <c r="G3309" i="6"/>
  <c r="G3308" i="6"/>
  <c r="G3307" i="6"/>
  <c r="G3306" i="6"/>
  <c r="G3305" i="6"/>
  <c r="G3304" i="6"/>
  <c r="G3303" i="6"/>
  <c r="G3302" i="6"/>
  <c r="G3301" i="6"/>
  <c r="G3300" i="6"/>
  <c r="G3299" i="6"/>
  <c r="G3298" i="6"/>
  <c r="G3297" i="6"/>
  <c r="G3296" i="6"/>
  <c r="G3295" i="6"/>
  <c r="G3294" i="6"/>
  <c r="G3293" i="6"/>
  <c r="G3292" i="6"/>
  <c r="G3291" i="6"/>
  <c r="G3290" i="6"/>
  <c r="G3289" i="6"/>
  <c r="G3288" i="6"/>
  <c r="G3287" i="6"/>
  <c r="G3286" i="6"/>
  <c r="G3285" i="6"/>
  <c r="G3284" i="6"/>
  <c r="G3283" i="6"/>
  <c r="G3282" i="6"/>
  <c r="G3281" i="6"/>
  <c r="G3280" i="6"/>
  <c r="G3279" i="6"/>
  <c r="G3278" i="6"/>
  <c r="G3277" i="6"/>
  <c r="G3276" i="6"/>
  <c r="G3275" i="6"/>
  <c r="G3274" i="6"/>
  <c r="G3273" i="6"/>
  <c r="G3272" i="6"/>
  <c r="G3271" i="6"/>
  <c r="G3270" i="6"/>
  <c r="G3269" i="6"/>
  <c r="G3268" i="6"/>
  <c r="G3267" i="6"/>
  <c r="G3266" i="6"/>
  <c r="G3265" i="6"/>
  <c r="G3264" i="6"/>
  <c r="G3263" i="6"/>
  <c r="G3262" i="6"/>
  <c r="G3261" i="6"/>
  <c r="G3260" i="6"/>
  <c r="G3259" i="6"/>
  <c r="G3258" i="6"/>
  <c r="G3257" i="6"/>
  <c r="G3256" i="6"/>
  <c r="G3255" i="6"/>
  <c r="G3254" i="6"/>
  <c r="G3253" i="6"/>
  <c r="G3252" i="6"/>
  <c r="G3251" i="6"/>
  <c r="G3250" i="6"/>
  <c r="G3249" i="6"/>
  <c r="G3248" i="6"/>
  <c r="G3247" i="6"/>
  <c r="G3246" i="6"/>
  <c r="G3245" i="6"/>
  <c r="G3244" i="6"/>
  <c r="G3243" i="6"/>
  <c r="G3242" i="6"/>
  <c r="G3241" i="6"/>
  <c r="G3240" i="6"/>
  <c r="G3239" i="6"/>
  <c r="G3238" i="6"/>
  <c r="G3237" i="6"/>
  <c r="G3236" i="6"/>
  <c r="G3235" i="6"/>
  <c r="G3234" i="6"/>
  <c r="G3233" i="6"/>
  <c r="G3232" i="6"/>
  <c r="G3231" i="6"/>
  <c r="G3230" i="6"/>
  <c r="G3229" i="6"/>
  <c r="G3228" i="6"/>
  <c r="G3227" i="6"/>
  <c r="G3226" i="6"/>
  <c r="G3225" i="6"/>
  <c r="G3224" i="6"/>
  <c r="G3223" i="6"/>
  <c r="G3222" i="6"/>
  <c r="G3221" i="6"/>
  <c r="G3220" i="6"/>
  <c r="G3219" i="6"/>
  <c r="G3218" i="6"/>
  <c r="G3217" i="6"/>
  <c r="G3216" i="6"/>
  <c r="G3215" i="6"/>
  <c r="G3214" i="6"/>
  <c r="G3213" i="6"/>
  <c r="G3212" i="6"/>
  <c r="G3211" i="6"/>
  <c r="G3210" i="6"/>
  <c r="G3209" i="6"/>
  <c r="G3208" i="6"/>
  <c r="G3207" i="6"/>
  <c r="G3206" i="6"/>
  <c r="G3205" i="6"/>
  <c r="G3204" i="6"/>
  <c r="G3203" i="6"/>
  <c r="G3202" i="6"/>
  <c r="G3201" i="6"/>
  <c r="G3200" i="6"/>
  <c r="G3199" i="6"/>
  <c r="G3198" i="6"/>
  <c r="G3197" i="6"/>
  <c r="G3196" i="6"/>
  <c r="G3195" i="6"/>
  <c r="G3194" i="6"/>
  <c r="G3193" i="6"/>
  <c r="G3192" i="6"/>
  <c r="G3191" i="6"/>
  <c r="G3190" i="6"/>
  <c r="G3189" i="6"/>
  <c r="G3188" i="6"/>
  <c r="G3187" i="6"/>
  <c r="G3186" i="6"/>
  <c r="G3185" i="6"/>
  <c r="G3184" i="6"/>
  <c r="G3183" i="6"/>
  <c r="G3182" i="6"/>
  <c r="G3181" i="6"/>
  <c r="G3180" i="6"/>
  <c r="G3179" i="6"/>
  <c r="G3178" i="6"/>
  <c r="G3177" i="6"/>
  <c r="G3176" i="6"/>
  <c r="G3175" i="6"/>
  <c r="G3174" i="6"/>
  <c r="G3173" i="6"/>
  <c r="G3172" i="6"/>
  <c r="G3171" i="6"/>
  <c r="G3170" i="6"/>
  <c r="G3169" i="6"/>
  <c r="G3168" i="6"/>
  <c r="G3167" i="6"/>
  <c r="G3166" i="6"/>
  <c r="G3165" i="6"/>
  <c r="G3164" i="6"/>
  <c r="G3163" i="6"/>
  <c r="G3162" i="6"/>
  <c r="G3161" i="6"/>
  <c r="G3160" i="6"/>
  <c r="G3159" i="6"/>
  <c r="G3158" i="6"/>
  <c r="G3157" i="6"/>
  <c r="G3156" i="6"/>
  <c r="G3155" i="6"/>
  <c r="G3154" i="6"/>
  <c r="G3153" i="6"/>
  <c r="G3152" i="6"/>
  <c r="G3151" i="6"/>
  <c r="G3150" i="6"/>
  <c r="G3149" i="6"/>
  <c r="G3148" i="6"/>
  <c r="G3147" i="6"/>
  <c r="G3146" i="6"/>
  <c r="G3145" i="6"/>
  <c r="G3144" i="6"/>
  <c r="G3143" i="6"/>
  <c r="G3142" i="6"/>
  <c r="G3141" i="6"/>
  <c r="G3140" i="6"/>
  <c r="G3139" i="6"/>
  <c r="G3138" i="6"/>
  <c r="G3137" i="6"/>
  <c r="G3136" i="6"/>
  <c r="G3135" i="6"/>
  <c r="G3134" i="6"/>
  <c r="G3133" i="6"/>
  <c r="G3132" i="6"/>
  <c r="G3131" i="6"/>
  <c r="G3130" i="6"/>
  <c r="G3129" i="6"/>
  <c r="G3128" i="6"/>
  <c r="G3127" i="6"/>
  <c r="G3126" i="6"/>
  <c r="G3125" i="6"/>
  <c r="G3124" i="6"/>
  <c r="G3123" i="6"/>
  <c r="G3122" i="6"/>
  <c r="G3121" i="6"/>
  <c r="G3120" i="6"/>
  <c r="G3119" i="6"/>
  <c r="G3118" i="6"/>
  <c r="G3117" i="6"/>
  <c r="G3116" i="6"/>
  <c r="G3115" i="6"/>
  <c r="G3114" i="6"/>
  <c r="G3113" i="6"/>
  <c r="G3112" i="6"/>
  <c r="G3111" i="6"/>
  <c r="G3110" i="6"/>
  <c r="G3109" i="6"/>
  <c r="G3108" i="6"/>
  <c r="G3107" i="6"/>
  <c r="G3106" i="6"/>
  <c r="G3105" i="6"/>
  <c r="G3104" i="6"/>
  <c r="G3103" i="6"/>
  <c r="G3102" i="6"/>
  <c r="G3101" i="6"/>
  <c r="G3100" i="6"/>
  <c r="G3099" i="6"/>
  <c r="G3098" i="6"/>
  <c r="G3097" i="6"/>
  <c r="G3096" i="6"/>
  <c r="G3095" i="6"/>
  <c r="G3094" i="6"/>
  <c r="G3093" i="6"/>
  <c r="G3092" i="6"/>
  <c r="G3091" i="6"/>
  <c r="G3090" i="6"/>
  <c r="G3089" i="6"/>
  <c r="G3088" i="6"/>
  <c r="G3087" i="6"/>
  <c r="G3086" i="6"/>
  <c r="G3085" i="6"/>
  <c r="G3084" i="6"/>
  <c r="G3083" i="6"/>
  <c r="G3082" i="6"/>
  <c r="G3081" i="6"/>
  <c r="G3080" i="6"/>
  <c r="G3079" i="6"/>
  <c r="G3078" i="6"/>
  <c r="G3077" i="6"/>
  <c r="G3076" i="6"/>
  <c r="G3075" i="6"/>
  <c r="G3074" i="6"/>
  <c r="G3073" i="6"/>
  <c r="G3072" i="6"/>
  <c r="G3071" i="6"/>
  <c r="G3070" i="6"/>
  <c r="G3069" i="6"/>
  <c r="G3068" i="6"/>
  <c r="G3067" i="6"/>
  <c r="G3066" i="6"/>
  <c r="G3065" i="6"/>
  <c r="G3064" i="6"/>
  <c r="G3063" i="6"/>
  <c r="G3062" i="6"/>
  <c r="G3061" i="6"/>
  <c r="G3060" i="6"/>
  <c r="G3059" i="6"/>
  <c r="G3058" i="6"/>
  <c r="G3057" i="6"/>
  <c r="G3056" i="6"/>
  <c r="G3055" i="6"/>
  <c r="G3054" i="6"/>
  <c r="G3053" i="6"/>
  <c r="G3052" i="6"/>
  <c r="G3051" i="6"/>
  <c r="G3050" i="6"/>
  <c r="G3049" i="6"/>
  <c r="G3048" i="6"/>
  <c r="G3047" i="6"/>
  <c r="G3046" i="6"/>
  <c r="G3045" i="6"/>
  <c r="G3044" i="6"/>
  <c r="G3043" i="6"/>
  <c r="G3042" i="6"/>
  <c r="G3041" i="6"/>
  <c r="G3040" i="6"/>
  <c r="G3039" i="6"/>
  <c r="G3038" i="6"/>
  <c r="G3037" i="6"/>
  <c r="G3036" i="6"/>
  <c r="G3035" i="6"/>
  <c r="G3034" i="6"/>
  <c r="G3033" i="6"/>
  <c r="G3032" i="6"/>
  <c r="G3031" i="6"/>
  <c r="G3030" i="6"/>
  <c r="G3029" i="6"/>
  <c r="G3028" i="6"/>
  <c r="G3027" i="6"/>
  <c r="G3026" i="6"/>
  <c r="G3025" i="6"/>
  <c r="G3024" i="6"/>
  <c r="G3023" i="6"/>
  <c r="G3022" i="6"/>
  <c r="G3021" i="6"/>
  <c r="G3020" i="6"/>
  <c r="G3019" i="6"/>
  <c r="G3018" i="6"/>
  <c r="G3017" i="6"/>
  <c r="G3016" i="6"/>
  <c r="G3015" i="6"/>
  <c r="G3014" i="6"/>
  <c r="G3013" i="6"/>
  <c r="G3012" i="6"/>
  <c r="G3011" i="6"/>
  <c r="G3010" i="6"/>
  <c r="G3009" i="6"/>
  <c r="G3008" i="6"/>
  <c r="G3007" i="6"/>
  <c r="G3006" i="6"/>
  <c r="G3005" i="6"/>
  <c r="G3004" i="6"/>
  <c r="G3003" i="6"/>
  <c r="G3002" i="6"/>
  <c r="G3001" i="6"/>
  <c r="G3000" i="6"/>
  <c r="G2999" i="6"/>
  <c r="G2998" i="6"/>
  <c r="G2997" i="6"/>
  <c r="G2996" i="6"/>
  <c r="G2995" i="6"/>
  <c r="G2994" i="6"/>
  <c r="G2993" i="6"/>
  <c r="G2992" i="6"/>
  <c r="G2991" i="6"/>
  <c r="G2990" i="6"/>
  <c r="G2989" i="6"/>
  <c r="G2988" i="6"/>
  <c r="G2987" i="6"/>
  <c r="G2986" i="6"/>
  <c r="G2985" i="6"/>
  <c r="G2984" i="6"/>
  <c r="G2983" i="6"/>
  <c r="G2982" i="6"/>
  <c r="G2981" i="6"/>
  <c r="G2980" i="6"/>
  <c r="G2979" i="6"/>
  <c r="G2978" i="6"/>
  <c r="G2977" i="6"/>
  <c r="G2976" i="6"/>
  <c r="G2975" i="6"/>
  <c r="G2974" i="6"/>
  <c r="G2973" i="6"/>
  <c r="G2972" i="6"/>
  <c r="G2971" i="6"/>
  <c r="G2970" i="6"/>
  <c r="G2969" i="6"/>
  <c r="G2968" i="6"/>
  <c r="G2967" i="6"/>
  <c r="G2966" i="6"/>
  <c r="G2965" i="6"/>
  <c r="G2964" i="6"/>
  <c r="G2963" i="6"/>
  <c r="G2962" i="6"/>
  <c r="G2961" i="6"/>
  <c r="G2960" i="6"/>
  <c r="G2959" i="6"/>
  <c r="G2958" i="6"/>
  <c r="G2957" i="6"/>
  <c r="G2956" i="6"/>
  <c r="G2955" i="6"/>
  <c r="G2954" i="6"/>
  <c r="G2953" i="6"/>
  <c r="G2952" i="6"/>
  <c r="G2951" i="6"/>
  <c r="G2950" i="6"/>
  <c r="G2949" i="6"/>
  <c r="G2948" i="6"/>
  <c r="G2947" i="6"/>
  <c r="G2946" i="6"/>
  <c r="G2945" i="6"/>
  <c r="G2944" i="6"/>
  <c r="G2943" i="6"/>
  <c r="G2942" i="6"/>
  <c r="G2941" i="6"/>
  <c r="G2940" i="6"/>
  <c r="G2939" i="6"/>
  <c r="G2938" i="6"/>
  <c r="G2937" i="6"/>
  <c r="G2936" i="6"/>
  <c r="G2935" i="6"/>
  <c r="G2934" i="6"/>
  <c r="G2933" i="6"/>
  <c r="G2932" i="6"/>
  <c r="G2931" i="6"/>
  <c r="G2930" i="6"/>
  <c r="G2929" i="6"/>
  <c r="G2928" i="6"/>
  <c r="G2927" i="6"/>
  <c r="G2926" i="6"/>
  <c r="G2925" i="6"/>
  <c r="G2924" i="6"/>
  <c r="G2923" i="6"/>
  <c r="G2922" i="6"/>
  <c r="G2921" i="6"/>
  <c r="G2920" i="6"/>
  <c r="G2919" i="6"/>
  <c r="G2918" i="6"/>
  <c r="G2917" i="6"/>
  <c r="G2916" i="6"/>
  <c r="G2915" i="6"/>
  <c r="G2914" i="6"/>
  <c r="G2913" i="6"/>
  <c r="G2912" i="6"/>
  <c r="G2911" i="6"/>
  <c r="G2910" i="6"/>
  <c r="G2909" i="6"/>
  <c r="G2908" i="6"/>
  <c r="G2907" i="6"/>
  <c r="G2906" i="6"/>
  <c r="G2905" i="6"/>
  <c r="G2904" i="6"/>
  <c r="G2903" i="6"/>
  <c r="G2902" i="6"/>
  <c r="G2901" i="6"/>
  <c r="G2900" i="6"/>
  <c r="G2899" i="6"/>
  <c r="G2898" i="6"/>
  <c r="G2897" i="6"/>
  <c r="G2896" i="6"/>
  <c r="G2895" i="6"/>
  <c r="G2894" i="6"/>
  <c r="G2893" i="6"/>
  <c r="G2892" i="6"/>
  <c r="G2891" i="6"/>
  <c r="G2890" i="6"/>
  <c r="G2889" i="6"/>
  <c r="G2888" i="6"/>
  <c r="G2887" i="6"/>
  <c r="G2886" i="6"/>
  <c r="G2885" i="6"/>
  <c r="G2884" i="6"/>
  <c r="G2883" i="6"/>
  <c r="G2882" i="6"/>
  <c r="G2881" i="6"/>
  <c r="G2880" i="6"/>
  <c r="G2879" i="6"/>
  <c r="G2878" i="6"/>
  <c r="G2877" i="6"/>
  <c r="G2876" i="6"/>
  <c r="G2875" i="6"/>
  <c r="G2874" i="6"/>
  <c r="G2873" i="6"/>
  <c r="G2872" i="6"/>
  <c r="G2871" i="6"/>
  <c r="G2870" i="6"/>
  <c r="G2869" i="6"/>
  <c r="G2868" i="6"/>
  <c r="G2867" i="6"/>
  <c r="G2866" i="6"/>
  <c r="G2865" i="6"/>
  <c r="G2864" i="6"/>
  <c r="G2863" i="6"/>
  <c r="G2862" i="6"/>
  <c r="G2861" i="6"/>
  <c r="G2860" i="6"/>
  <c r="G2859" i="6"/>
  <c r="G2858" i="6"/>
  <c r="G2857" i="6"/>
  <c r="G2856" i="6"/>
  <c r="G2855" i="6"/>
  <c r="G2854" i="6"/>
  <c r="G2853" i="6"/>
  <c r="G2852" i="6"/>
  <c r="G2851" i="6"/>
  <c r="G2850" i="6"/>
  <c r="G2849" i="6"/>
  <c r="G2848" i="6"/>
  <c r="G2847" i="6"/>
  <c r="G2846" i="6"/>
  <c r="G2845" i="6"/>
  <c r="G2844" i="6"/>
  <c r="G2843" i="6"/>
  <c r="G2842" i="6"/>
  <c r="G2841" i="6"/>
  <c r="G2840" i="6"/>
  <c r="G2839" i="6"/>
  <c r="G2838" i="6"/>
  <c r="G2837" i="6"/>
  <c r="G2836" i="6"/>
  <c r="G2835" i="6"/>
  <c r="G2834" i="6"/>
  <c r="G2833" i="6"/>
  <c r="G2832" i="6"/>
  <c r="G2831" i="6"/>
  <c r="G2830" i="6"/>
  <c r="G2829" i="6"/>
  <c r="G2828" i="6"/>
  <c r="G2827" i="6"/>
  <c r="G2826" i="6"/>
  <c r="G2825" i="6"/>
  <c r="G2824" i="6"/>
  <c r="G2823" i="6"/>
  <c r="G2822" i="6"/>
  <c r="G2821" i="6"/>
  <c r="G2820" i="6"/>
  <c r="G2819" i="6"/>
  <c r="G2818" i="6"/>
  <c r="G2817" i="6"/>
  <c r="G2816" i="6"/>
  <c r="G2815" i="6"/>
  <c r="G2814" i="6"/>
  <c r="G2813" i="6"/>
  <c r="G2812" i="6"/>
  <c r="G2811" i="6"/>
  <c r="G2810" i="6"/>
  <c r="G2809" i="6"/>
  <c r="G2808" i="6"/>
  <c r="G2807" i="6"/>
  <c r="G2806" i="6"/>
  <c r="G2805" i="6"/>
  <c r="G2804" i="6"/>
  <c r="G2803" i="6"/>
  <c r="G2802" i="6"/>
  <c r="G2801" i="6"/>
  <c r="G2800" i="6"/>
  <c r="G2799" i="6"/>
  <c r="G2798" i="6"/>
  <c r="G2797" i="6"/>
  <c r="G2796" i="6"/>
  <c r="G2795" i="6"/>
  <c r="G2794" i="6"/>
  <c r="G2793" i="6"/>
  <c r="G2792" i="6"/>
  <c r="G2791" i="6"/>
  <c r="G2790" i="6"/>
  <c r="G2789" i="6"/>
  <c r="G2788" i="6"/>
  <c r="G2787" i="6"/>
  <c r="G2786" i="6"/>
  <c r="G2785" i="6"/>
  <c r="G2784" i="6"/>
  <c r="G2783" i="6"/>
  <c r="G2782" i="6"/>
  <c r="G2781" i="6"/>
  <c r="G2780" i="6"/>
  <c r="G2779" i="6"/>
  <c r="G2778" i="6"/>
  <c r="G2777" i="6"/>
  <c r="G2776" i="6"/>
  <c r="G2775" i="6"/>
  <c r="G2774" i="6"/>
  <c r="G2773" i="6"/>
  <c r="G2772" i="6"/>
  <c r="G2771" i="6"/>
  <c r="G2770" i="6"/>
  <c r="G2769" i="6"/>
  <c r="G2768" i="6"/>
  <c r="G2767" i="6"/>
  <c r="G2766" i="6"/>
  <c r="G2765" i="6"/>
  <c r="G2764" i="6"/>
  <c r="G2763" i="6"/>
  <c r="G2762" i="6"/>
  <c r="G2761" i="6"/>
  <c r="G2760" i="6"/>
  <c r="G2759" i="6"/>
  <c r="G2758" i="6"/>
  <c r="G2757" i="6"/>
  <c r="G2756" i="6"/>
  <c r="G2755" i="6"/>
  <c r="G2754" i="6"/>
  <c r="G2753" i="6"/>
  <c r="G2752" i="6"/>
  <c r="G2751" i="6"/>
  <c r="G2750" i="6"/>
  <c r="G2749" i="6"/>
  <c r="G2748" i="6"/>
  <c r="G2747" i="6"/>
  <c r="G2746" i="6"/>
  <c r="G2745" i="6"/>
  <c r="G2744" i="6"/>
  <c r="G2743" i="6"/>
  <c r="G2742" i="6"/>
  <c r="G2741" i="6"/>
  <c r="G2740" i="6"/>
  <c r="G2739" i="6"/>
  <c r="G2738" i="6"/>
  <c r="G2737" i="6"/>
  <c r="G2736" i="6"/>
  <c r="G2735" i="6"/>
  <c r="G2734" i="6"/>
  <c r="G2733" i="6"/>
  <c r="G2732" i="6"/>
  <c r="G2731" i="6"/>
  <c r="G2730" i="6"/>
  <c r="G2729" i="6"/>
  <c r="G2728" i="6"/>
  <c r="G2727" i="6"/>
  <c r="G2726" i="6"/>
  <c r="G2725" i="6"/>
  <c r="G2724" i="6"/>
  <c r="G2723" i="6"/>
  <c r="G2722" i="6"/>
  <c r="G2721" i="6"/>
  <c r="G2720" i="6"/>
  <c r="G2719" i="6"/>
  <c r="G2718" i="6"/>
  <c r="G2717" i="6"/>
  <c r="G2716" i="6"/>
  <c r="G2715" i="6"/>
  <c r="G2714" i="6"/>
  <c r="G2713" i="6"/>
  <c r="G2712" i="6"/>
  <c r="G2711" i="6"/>
  <c r="G2710" i="6"/>
  <c r="G2709" i="6"/>
  <c r="G2708" i="6"/>
  <c r="G2707" i="6"/>
  <c r="G2706" i="6"/>
  <c r="G2705" i="6"/>
  <c r="G2704" i="6"/>
  <c r="G2703" i="6"/>
  <c r="G2702" i="6"/>
  <c r="G2701" i="6"/>
  <c r="G2700" i="6"/>
  <c r="G2699" i="6"/>
  <c r="G2698" i="6"/>
  <c r="G2697" i="6"/>
  <c r="G2696" i="6"/>
  <c r="G2695" i="6"/>
  <c r="G2694" i="6"/>
  <c r="G2693" i="6"/>
  <c r="G2692" i="6"/>
  <c r="G2691" i="6"/>
  <c r="G2690" i="6"/>
  <c r="G2689" i="6"/>
  <c r="G2688" i="6"/>
  <c r="G2687" i="6"/>
  <c r="G2686" i="6"/>
  <c r="G2685" i="6"/>
  <c r="G2684" i="6"/>
  <c r="G2683" i="6"/>
  <c r="G2682" i="6"/>
  <c r="G2681" i="6"/>
  <c r="G2680" i="6"/>
  <c r="G2679" i="6"/>
  <c r="G2678" i="6"/>
  <c r="G2677" i="6"/>
  <c r="G2676" i="6"/>
  <c r="G2675" i="6"/>
  <c r="G2674" i="6"/>
  <c r="G2673" i="6"/>
  <c r="G2672" i="6"/>
  <c r="G2671" i="6"/>
  <c r="G2670" i="6"/>
  <c r="G2669" i="6"/>
  <c r="G2668" i="6"/>
  <c r="G2667" i="6"/>
  <c r="G2666" i="6"/>
  <c r="G2665" i="6"/>
  <c r="G2664" i="6"/>
  <c r="G2663" i="6"/>
  <c r="G2662" i="6"/>
  <c r="G2661" i="6"/>
  <c r="G2660" i="6"/>
  <c r="G2659" i="6"/>
  <c r="G2658" i="6"/>
  <c r="G2657" i="6"/>
  <c r="G2656" i="6"/>
  <c r="G2655" i="6"/>
  <c r="G2654" i="6"/>
  <c r="G2653" i="6"/>
  <c r="G2652" i="6"/>
  <c r="G2651" i="6"/>
  <c r="G2650" i="6"/>
  <c r="G2649" i="6"/>
  <c r="G2648" i="6"/>
  <c r="G2647" i="6"/>
  <c r="G2646" i="6"/>
  <c r="G2645" i="6"/>
  <c r="G2644" i="6"/>
  <c r="G2643" i="6"/>
  <c r="G2642" i="6"/>
  <c r="G2641" i="6"/>
  <c r="G2640" i="6"/>
  <c r="G2639" i="6"/>
  <c r="G2638" i="6"/>
  <c r="G2637" i="6"/>
  <c r="G2636" i="6"/>
  <c r="G2635" i="6"/>
  <c r="G2634" i="6"/>
  <c r="G2633" i="6"/>
  <c r="G2632" i="6"/>
  <c r="G2631" i="6"/>
  <c r="G2630" i="6"/>
  <c r="G2629" i="6"/>
  <c r="G2628" i="6"/>
  <c r="G2627" i="6"/>
  <c r="G2626" i="6"/>
  <c r="G2625" i="6"/>
  <c r="G2624" i="6"/>
  <c r="G2623" i="6"/>
  <c r="G2622" i="6"/>
  <c r="G2621" i="6"/>
  <c r="G2620" i="6"/>
  <c r="G2619" i="6"/>
  <c r="G2618" i="6"/>
  <c r="G2617" i="6"/>
  <c r="G2616" i="6"/>
  <c r="G2615" i="6"/>
  <c r="G2614" i="6"/>
  <c r="G2613" i="6"/>
  <c r="G2612" i="6"/>
  <c r="G2611" i="6"/>
  <c r="G2610" i="6"/>
  <c r="G2609" i="6"/>
  <c r="G2608" i="6"/>
  <c r="G2607" i="6"/>
  <c r="G2606" i="6"/>
  <c r="G2605" i="6"/>
  <c r="G2604" i="6"/>
  <c r="G2603" i="6"/>
  <c r="G2602" i="6"/>
  <c r="G2601" i="6"/>
  <c r="G2600" i="6"/>
  <c r="G2599" i="6"/>
  <c r="G2598" i="6"/>
  <c r="G2597" i="6"/>
  <c r="G2596" i="6"/>
  <c r="G2595" i="6"/>
  <c r="G2594" i="6"/>
  <c r="G2593" i="6"/>
  <c r="G2592" i="6"/>
  <c r="G2591" i="6"/>
  <c r="G2590" i="6"/>
  <c r="G2589" i="6"/>
  <c r="G2588" i="6"/>
  <c r="G2587" i="6"/>
  <c r="G2586" i="6"/>
  <c r="G2585" i="6"/>
  <c r="G2584" i="6"/>
  <c r="G2583" i="6"/>
  <c r="G2582" i="6"/>
  <c r="G2581" i="6"/>
  <c r="G2580" i="6"/>
  <c r="G2579" i="6"/>
  <c r="G2578" i="6"/>
  <c r="G2577" i="6"/>
  <c r="G2576" i="6"/>
  <c r="G2575" i="6"/>
  <c r="G2574" i="6"/>
  <c r="G2573" i="6"/>
  <c r="G2572" i="6"/>
  <c r="G2571" i="6"/>
  <c r="G2570" i="6"/>
  <c r="G2569" i="6"/>
  <c r="G2568" i="6"/>
  <c r="G2567" i="6"/>
  <c r="G2566" i="6"/>
  <c r="G2565" i="6"/>
  <c r="G2564" i="6"/>
  <c r="G2563" i="6"/>
  <c r="G2562" i="6"/>
  <c r="G2561" i="6"/>
  <c r="G2560" i="6"/>
  <c r="G2559" i="6"/>
  <c r="G2558" i="6"/>
  <c r="G2557" i="6"/>
  <c r="G2556" i="6"/>
  <c r="G2555" i="6"/>
  <c r="G2554" i="6"/>
  <c r="G2553" i="6"/>
  <c r="G2552" i="6"/>
  <c r="G2551" i="6"/>
  <c r="G2550" i="6"/>
  <c r="G2549" i="6"/>
  <c r="G2548" i="6"/>
  <c r="G2547" i="6"/>
  <c r="G2546" i="6"/>
  <c r="G2545" i="6"/>
  <c r="G2544" i="6"/>
  <c r="G2543" i="6"/>
  <c r="G2542" i="6"/>
  <c r="G2541" i="6"/>
  <c r="G2540" i="6"/>
  <c r="G2539" i="6"/>
  <c r="G2538" i="6"/>
  <c r="G2537" i="6"/>
  <c r="G2536" i="6"/>
  <c r="G2535" i="6"/>
  <c r="G2534" i="6"/>
  <c r="G2533" i="6"/>
  <c r="G2532" i="6"/>
  <c r="G2531" i="6"/>
  <c r="G2530" i="6"/>
  <c r="G2529" i="6"/>
  <c r="G2528" i="6"/>
  <c r="G2527" i="6"/>
  <c r="G2526" i="6"/>
  <c r="G2525" i="6"/>
  <c r="G2524" i="6"/>
  <c r="G2523" i="6"/>
  <c r="G2522" i="6"/>
  <c r="G2521" i="6"/>
  <c r="G2520" i="6"/>
  <c r="G2519" i="6"/>
  <c r="G2518" i="6"/>
  <c r="G2517" i="6"/>
  <c r="G2516" i="6"/>
  <c r="G2515" i="6"/>
  <c r="G2514" i="6"/>
  <c r="G2513" i="6"/>
  <c r="G2512" i="6"/>
  <c r="G2511" i="6"/>
  <c r="G2510" i="6"/>
  <c r="G2509" i="6"/>
  <c r="G2508" i="6"/>
  <c r="G2507" i="6"/>
  <c r="G2506" i="6"/>
  <c r="G2505" i="6"/>
  <c r="G2504" i="6"/>
  <c r="G2503" i="6"/>
  <c r="G2502" i="6"/>
  <c r="G2501" i="6"/>
  <c r="G2500" i="6"/>
  <c r="G2499" i="6"/>
  <c r="G2498" i="6"/>
  <c r="G2497" i="6"/>
  <c r="G2496" i="6"/>
  <c r="G2495" i="6"/>
  <c r="G2494" i="6"/>
  <c r="G2493" i="6"/>
  <c r="G2492" i="6"/>
  <c r="G2491" i="6"/>
  <c r="G2490" i="6"/>
  <c r="G2489" i="6"/>
  <c r="G2488" i="6"/>
  <c r="G2487" i="6"/>
  <c r="G2486" i="6"/>
  <c r="G2485" i="6"/>
  <c r="G2484" i="6"/>
  <c r="G2483" i="6"/>
  <c r="G2482" i="6"/>
  <c r="G2481" i="6"/>
  <c r="G2480" i="6"/>
  <c r="G2479" i="6"/>
  <c r="G2478" i="6"/>
  <c r="G2477" i="6"/>
  <c r="G2476" i="6"/>
  <c r="G2475" i="6"/>
  <c r="G2474" i="6"/>
  <c r="G2473" i="6"/>
  <c r="G2472" i="6"/>
  <c r="G2471" i="6"/>
  <c r="G2470" i="6"/>
  <c r="G2469" i="6"/>
  <c r="G2468" i="6"/>
  <c r="G2467" i="6"/>
  <c r="G2466" i="6"/>
  <c r="G2465" i="6"/>
  <c r="G2464" i="6"/>
  <c r="G2463" i="6"/>
  <c r="G2462" i="6"/>
  <c r="G2461" i="6"/>
  <c r="G2460" i="6"/>
  <c r="G2459" i="6"/>
  <c r="G2458" i="6"/>
  <c r="G2457" i="6"/>
  <c r="G2456" i="6"/>
  <c r="G2455" i="6"/>
  <c r="G2454" i="6"/>
  <c r="G2453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7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4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8" i="6"/>
  <c r="G2387" i="6"/>
  <c r="G2386" i="6"/>
  <c r="G2385" i="6"/>
  <c r="G2384" i="6"/>
  <c r="G2383" i="6"/>
  <c r="G2382" i="6"/>
  <c r="G2381" i="6"/>
  <c r="G2380" i="6"/>
  <c r="G2379" i="6"/>
  <c r="G2378" i="6"/>
  <c r="G2377" i="6"/>
  <c r="G2376" i="6"/>
  <c r="G2375" i="6"/>
  <c r="G2374" i="6"/>
  <c r="G2373" i="6"/>
  <c r="G2372" i="6"/>
  <c r="G2371" i="6"/>
  <c r="G2370" i="6"/>
  <c r="G2369" i="6"/>
  <c r="G2368" i="6"/>
  <c r="G2367" i="6"/>
  <c r="G2366" i="6"/>
  <c r="G2365" i="6"/>
  <c r="G2364" i="6"/>
  <c r="G2363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9" i="6"/>
  <c r="G2348" i="6"/>
  <c r="G2347" i="6"/>
  <c r="G2346" i="6"/>
  <c r="G2345" i="6"/>
  <c r="G2344" i="6"/>
  <c r="G2343" i="6"/>
  <c r="G2342" i="6"/>
  <c r="G2341" i="6"/>
  <c r="G2340" i="6"/>
  <c r="G2339" i="6"/>
  <c r="G2338" i="6"/>
  <c r="G2337" i="6"/>
  <c r="G2336" i="6"/>
  <c r="G2335" i="6"/>
  <c r="G2334" i="6"/>
  <c r="G2333" i="6"/>
  <c r="G2332" i="6"/>
  <c r="G2331" i="6"/>
  <c r="G2330" i="6"/>
  <c r="G2329" i="6"/>
  <c r="G2328" i="6"/>
  <c r="G2327" i="6"/>
  <c r="G2326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L3787" i="1"/>
  <c r="J3787" i="1"/>
  <c r="L3786" i="1"/>
  <c r="J3786" i="1"/>
  <c r="L3785" i="1"/>
  <c r="J3785" i="1"/>
  <c r="L3784" i="1"/>
  <c r="J3784" i="1"/>
  <c r="L3783" i="1"/>
  <c r="J3783" i="1"/>
  <c r="L3782" i="1"/>
  <c r="J3782" i="1"/>
  <c r="L3781" i="1"/>
  <c r="J3781" i="1"/>
  <c r="L3780" i="1"/>
  <c r="J3780" i="1"/>
  <c r="L3779" i="1"/>
  <c r="J3779" i="1"/>
  <c r="L3778" i="1"/>
  <c r="J3778" i="1"/>
  <c r="L3777" i="1"/>
  <c r="J3777" i="1"/>
  <c r="L3776" i="1"/>
  <c r="J3776" i="1"/>
  <c r="L3775" i="1"/>
  <c r="J3775" i="1"/>
  <c r="L3774" i="1"/>
  <c r="J3774" i="1"/>
  <c r="L3773" i="1"/>
  <c r="J3773" i="1"/>
  <c r="L3772" i="1"/>
  <c r="J3772" i="1"/>
  <c r="L3771" i="1"/>
  <c r="J3771" i="1"/>
  <c r="L3770" i="1"/>
  <c r="J3770" i="1"/>
  <c r="L3769" i="1"/>
  <c r="J3769" i="1"/>
  <c r="L3768" i="1"/>
  <c r="J3768" i="1"/>
  <c r="L3767" i="1"/>
  <c r="J3767" i="1"/>
  <c r="L3766" i="1"/>
  <c r="J3766" i="1"/>
  <c r="L3765" i="1"/>
  <c r="J3765" i="1"/>
  <c r="L3764" i="1"/>
  <c r="J3764" i="1"/>
  <c r="L3763" i="1"/>
  <c r="J3763" i="1"/>
  <c r="L3762" i="1"/>
  <c r="J3762" i="1"/>
  <c r="L3761" i="1"/>
  <c r="J3761" i="1"/>
  <c r="L3760" i="1"/>
  <c r="J3760" i="1"/>
  <c r="L3759" i="1"/>
  <c r="J3759" i="1"/>
  <c r="L3758" i="1"/>
  <c r="J3758" i="1"/>
  <c r="L3757" i="1"/>
  <c r="J3757" i="1"/>
  <c r="L3756" i="1"/>
  <c r="J3756" i="1"/>
  <c r="L3755" i="1"/>
  <c r="J3755" i="1"/>
  <c r="L3754" i="1"/>
  <c r="J3754" i="1"/>
  <c r="L3753" i="1"/>
  <c r="J3753" i="1"/>
  <c r="L3752" i="1"/>
  <c r="J3752" i="1"/>
  <c r="L3751" i="1"/>
  <c r="J3751" i="1"/>
  <c r="L3750" i="1"/>
  <c r="J3750" i="1"/>
  <c r="L3749" i="1"/>
  <c r="J3749" i="1"/>
  <c r="L3748" i="1"/>
  <c r="J3748" i="1"/>
  <c r="L3747" i="1"/>
  <c r="J3747" i="1"/>
  <c r="L3746" i="1"/>
  <c r="J3746" i="1"/>
  <c r="L3745" i="1"/>
  <c r="J3745" i="1"/>
  <c r="L3744" i="1"/>
  <c r="J3744" i="1"/>
  <c r="L3743" i="1"/>
  <c r="J3743" i="1"/>
  <c r="L3742" i="1"/>
  <c r="J3742" i="1"/>
  <c r="L3741" i="1"/>
  <c r="J3741" i="1"/>
  <c r="L3740" i="1"/>
  <c r="J3740" i="1"/>
  <c r="L3739" i="1"/>
  <c r="J3739" i="1"/>
  <c r="L3738" i="1"/>
  <c r="J3738" i="1"/>
  <c r="L3737" i="1"/>
  <c r="J3737" i="1"/>
  <c r="L3736" i="1"/>
  <c r="J3736" i="1"/>
  <c r="L3735" i="1"/>
  <c r="J3735" i="1"/>
  <c r="L3734" i="1"/>
  <c r="J3734" i="1"/>
  <c r="L3733" i="1"/>
  <c r="J3733" i="1"/>
  <c r="L3732" i="1"/>
  <c r="J3732" i="1"/>
  <c r="L3731" i="1"/>
  <c r="J3731" i="1"/>
  <c r="L3730" i="1"/>
  <c r="J3730" i="1"/>
  <c r="L3729" i="1"/>
  <c r="J3729" i="1"/>
  <c r="L3728" i="1"/>
  <c r="J3728" i="1"/>
  <c r="L3727" i="1"/>
  <c r="J3727" i="1"/>
  <c r="L3726" i="1"/>
  <c r="J3726" i="1"/>
  <c r="L3725" i="1"/>
  <c r="J3725" i="1"/>
  <c r="L3724" i="1"/>
  <c r="J3724" i="1"/>
  <c r="L3723" i="1"/>
  <c r="J3723" i="1"/>
  <c r="L3722" i="1"/>
  <c r="J3722" i="1"/>
  <c r="L3721" i="1"/>
  <c r="J3721" i="1"/>
  <c r="L3720" i="1"/>
  <c r="J3720" i="1"/>
  <c r="L3719" i="1"/>
  <c r="J3719" i="1"/>
  <c r="L3718" i="1"/>
  <c r="J3718" i="1"/>
  <c r="L3717" i="1"/>
  <c r="J3717" i="1"/>
  <c r="L3716" i="1"/>
  <c r="J3716" i="1"/>
  <c r="L3715" i="1"/>
  <c r="J3715" i="1"/>
  <c r="L3714" i="1"/>
  <c r="J3714" i="1"/>
  <c r="L3713" i="1"/>
  <c r="J3713" i="1"/>
  <c r="L3712" i="1"/>
  <c r="J3712" i="1"/>
  <c r="L3711" i="1"/>
  <c r="J3711" i="1"/>
  <c r="L3710" i="1"/>
  <c r="J3710" i="1"/>
  <c r="L3709" i="1"/>
  <c r="J3709" i="1"/>
  <c r="L3708" i="1"/>
  <c r="J3708" i="1"/>
  <c r="L3707" i="1"/>
  <c r="J3707" i="1"/>
  <c r="L3706" i="1"/>
  <c r="J3706" i="1"/>
  <c r="L3705" i="1"/>
  <c r="J3705" i="1"/>
  <c r="L3704" i="1"/>
  <c r="J3704" i="1"/>
  <c r="L3703" i="1"/>
  <c r="J3703" i="1"/>
  <c r="L3702" i="1"/>
  <c r="J3702" i="1"/>
  <c r="L3701" i="1"/>
  <c r="J3701" i="1"/>
  <c r="L3700" i="1"/>
  <c r="J3700" i="1"/>
  <c r="L3699" i="1"/>
  <c r="J3699" i="1"/>
  <c r="L3698" i="1"/>
  <c r="J3698" i="1"/>
  <c r="L3697" i="1"/>
  <c r="J3697" i="1"/>
  <c r="L3696" i="1"/>
  <c r="J3696" i="1"/>
  <c r="L3695" i="1"/>
  <c r="J3695" i="1"/>
  <c r="L3694" i="1"/>
  <c r="J3694" i="1"/>
  <c r="L3693" i="1"/>
  <c r="J3693" i="1"/>
  <c r="L3692" i="1"/>
  <c r="J3692" i="1"/>
  <c r="L3691" i="1"/>
  <c r="J3691" i="1"/>
  <c r="L3690" i="1"/>
  <c r="J3690" i="1"/>
  <c r="L3689" i="1"/>
  <c r="J3689" i="1"/>
  <c r="L3688" i="1"/>
  <c r="J3688" i="1"/>
  <c r="L3687" i="1"/>
  <c r="J3687" i="1"/>
  <c r="L3686" i="1"/>
  <c r="J3686" i="1"/>
  <c r="L3685" i="1"/>
  <c r="J3685" i="1"/>
  <c r="L3684" i="1"/>
  <c r="J3684" i="1"/>
  <c r="L3683" i="1"/>
  <c r="J3683" i="1"/>
  <c r="L3682" i="1"/>
  <c r="J3682" i="1"/>
  <c r="L3681" i="1"/>
  <c r="J3681" i="1"/>
  <c r="L3680" i="1"/>
  <c r="J3680" i="1"/>
  <c r="L3679" i="1"/>
  <c r="J3679" i="1"/>
  <c r="L3678" i="1"/>
  <c r="J3678" i="1"/>
  <c r="L3677" i="1"/>
  <c r="J3677" i="1"/>
  <c r="L3676" i="1"/>
  <c r="J3676" i="1"/>
  <c r="L3675" i="1"/>
  <c r="J3675" i="1"/>
  <c r="L3674" i="1"/>
  <c r="J3674" i="1"/>
  <c r="L3673" i="1"/>
  <c r="J3673" i="1"/>
  <c r="L3672" i="1"/>
  <c r="J3672" i="1"/>
  <c r="L3671" i="1"/>
  <c r="J3671" i="1"/>
  <c r="L3670" i="1"/>
  <c r="J3670" i="1"/>
  <c r="L3669" i="1"/>
  <c r="J3669" i="1"/>
  <c r="L3668" i="1"/>
  <c r="J3668" i="1"/>
  <c r="L3667" i="1"/>
  <c r="J3667" i="1"/>
  <c r="L3666" i="1"/>
  <c r="J3666" i="1"/>
  <c r="L3665" i="1"/>
  <c r="J3665" i="1"/>
  <c r="L3664" i="1"/>
  <c r="J3664" i="1"/>
  <c r="L3663" i="1"/>
  <c r="J3663" i="1"/>
  <c r="L3662" i="1"/>
  <c r="J3662" i="1"/>
  <c r="L3661" i="1"/>
  <c r="J3661" i="1"/>
  <c r="L3660" i="1"/>
  <c r="J3660" i="1"/>
  <c r="L3659" i="1"/>
  <c r="J3659" i="1"/>
  <c r="L3658" i="1"/>
  <c r="J3658" i="1"/>
  <c r="L3657" i="1"/>
  <c r="J3657" i="1"/>
  <c r="L3656" i="1"/>
  <c r="J3656" i="1"/>
  <c r="L3655" i="1"/>
  <c r="J3655" i="1"/>
  <c r="L3654" i="1"/>
  <c r="J3654" i="1"/>
  <c r="L3653" i="1"/>
  <c r="J3653" i="1"/>
  <c r="L3652" i="1"/>
  <c r="J3652" i="1"/>
  <c r="L3651" i="1"/>
  <c r="J3651" i="1"/>
  <c r="L3650" i="1"/>
  <c r="J3650" i="1"/>
  <c r="L3649" i="1"/>
  <c r="J3649" i="1"/>
  <c r="L3648" i="1"/>
  <c r="J3648" i="1"/>
  <c r="L3647" i="1"/>
  <c r="J3647" i="1"/>
  <c r="L3646" i="1"/>
  <c r="J3646" i="1"/>
  <c r="L3645" i="1"/>
  <c r="J3645" i="1"/>
  <c r="L3644" i="1"/>
  <c r="J3644" i="1"/>
  <c r="L3643" i="1"/>
  <c r="J3643" i="1"/>
  <c r="L3642" i="1"/>
  <c r="J3642" i="1"/>
  <c r="L3641" i="1"/>
  <c r="J3641" i="1"/>
  <c r="L3640" i="1"/>
  <c r="J3640" i="1"/>
  <c r="L3639" i="1"/>
  <c r="J3639" i="1"/>
  <c r="L3638" i="1"/>
  <c r="J3638" i="1"/>
  <c r="L3637" i="1"/>
  <c r="J3637" i="1"/>
  <c r="L3636" i="1"/>
  <c r="J3636" i="1"/>
  <c r="L3635" i="1"/>
  <c r="J3635" i="1"/>
  <c r="L3634" i="1"/>
  <c r="J3634" i="1"/>
  <c r="L3633" i="1"/>
  <c r="J3633" i="1"/>
  <c r="L3632" i="1"/>
  <c r="J3632" i="1"/>
  <c r="L3631" i="1"/>
  <c r="J3631" i="1"/>
  <c r="L3630" i="1"/>
  <c r="J3630" i="1"/>
  <c r="L3629" i="1"/>
  <c r="J3629" i="1"/>
  <c r="L3628" i="1"/>
  <c r="J3628" i="1"/>
  <c r="L3627" i="1"/>
  <c r="J3627" i="1"/>
  <c r="L3626" i="1"/>
  <c r="J3626" i="1"/>
  <c r="L3625" i="1"/>
  <c r="J3625" i="1"/>
  <c r="L3624" i="1"/>
  <c r="J3624" i="1"/>
  <c r="L3623" i="1"/>
  <c r="J3623" i="1"/>
  <c r="L3622" i="1"/>
  <c r="J3622" i="1"/>
  <c r="L3621" i="1"/>
  <c r="J3621" i="1"/>
  <c r="L3620" i="1"/>
  <c r="J3620" i="1"/>
  <c r="L3619" i="1"/>
  <c r="J3619" i="1"/>
  <c r="L3618" i="1"/>
  <c r="J3618" i="1"/>
  <c r="L3617" i="1"/>
  <c r="J3617" i="1"/>
  <c r="L3616" i="1"/>
  <c r="J3616" i="1"/>
  <c r="L3615" i="1"/>
  <c r="J3615" i="1"/>
  <c r="L3614" i="1"/>
  <c r="J3614" i="1"/>
  <c r="L3613" i="1"/>
  <c r="J3613" i="1"/>
  <c r="L3612" i="1"/>
  <c r="J3612" i="1"/>
  <c r="L3611" i="1"/>
  <c r="J3611" i="1"/>
  <c r="L3610" i="1"/>
  <c r="J3610" i="1"/>
  <c r="L3609" i="1"/>
  <c r="J3609" i="1"/>
  <c r="L3608" i="1"/>
  <c r="J3608" i="1"/>
  <c r="L3607" i="1"/>
  <c r="J3607" i="1"/>
  <c r="L3606" i="1"/>
  <c r="J3606" i="1"/>
  <c r="L3605" i="1"/>
  <c r="J3605" i="1"/>
  <c r="L3604" i="1"/>
  <c r="J3604" i="1"/>
  <c r="L3603" i="1"/>
  <c r="J3603" i="1"/>
  <c r="L3602" i="1"/>
  <c r="J3602" i="1"/>
  <c r="L3601" i="1"/>
  <c r="J3601" i="1"/>
  <c r="L3600" i="1"/>
  <c r="J3600" i="1"/>
  <c r="L3599" i="1"/>
  <c r="J3599" i="1"/>
  <c r="L3598" i="1"/>
  <c r="J3598" i="1"/>
  <c r="L3597" i="1"/>
  <c r="J3597" i="1"/>
  <c r="L3596" i="1"/>
  <c r="J3596" i="1"/>
  <c r="L3595" i="1"/>
  <c r="J3595" i="1"/>
  <c r="L3594" i="1"/>
  <c r="J3594" i="1"/>
  <c r="L3593" i="1"/>
  <c r="J3593" i="1"/>
  <c r="L3592" i="1"/>
  <c r="J3592" i="1"/>
  <c r="L3591" i="1"/>
  <c r="J3591" i="1"/>
  <c r="L3590" i="1"/>
  <c r="J3590" i="1"/>
  <c r="L3589" i="1"/>
  <c r="J3589" i="1"/>
  <c r="L3588" i="1"/>
  <c r="J3588" i="1"/>
  <c r="L3587" i="1"/>
  <c r="J3587" i="1"/>
  <c r="L3586" i="1"/>
  <c r="J3586" i="1"/>
  <c r="L3585" i="1"/>
  <c r="J3585" i="1"/>
  <c r="L3584" i="1"/>
  <c r="J3584" i="1"/>
  <c r="L3583" i="1"/>
  <c r="J3583" i="1"/>
  <c r="L3582" i="1"/>
  <c r="J3582" i="1"/>
  <c r="L3581" i="1"/>
  <c r="J3581" i="1"/>
  <c r="L3580" i="1"/>
  <c r="J3580" i="1"/>
  <c r="L3579" i="1"/>
  <c r="J3579" i="1"/>
  <c r="L3578" i="1"/>
  <c r="J3578" i="1"/>
  <c r="L3577" i="1"/>
  <c r="J3577" i="1"/>
  <c r="L3576" i="1"/>
  <c r="J3576" i="1"/>
  <c r="L3575" i="1"/>
  <c r="J3575" i="1"/>
  <c r="L3574" i="1"/>
  <c r="J3574" i="1"/>
  <c r="L3573" i="1"/>
  <c r="J3573" i="1"/>
  <c r="L3572" i="1"/>
  <c r="J3572" i="1"/>
  <c r="L3571" i="1"/>
  <c r="J3571" i="1"/>
  <c r="L3570" i="1"/>
  <c r="J3570" i="1"/>
  <c r="L3569" i="1"/>
  <c r="J3569" i="1"/>
  <c r="L3568" i="1"/>
  <c r="J3568" i="1"/>
  <c r="L3567" i="1"/>
  <c r="J3567" i="1"/>
  <c r="L3566" i="1"/>
  <c r="J3566" i="1"/>
  <c r="L3565" i="1"/>
  <c r="J3565" i="1"/>
  <c r="L3564" i="1"/>
  <c r="J3564" i="1"/>
  <c r="L3563" i="1"/>
  <c r="J3563" i="1"/>
  <c r="L3562" i="1"/>
  <c r="J3562" i="1"/>
  <c r="L3561" i="1"/>
  <c r="J3561" i="1"/>
  <c r="L3560" i="1"/>
  <c r="J3560" i="1"/>
  <c r="L3559" i="1"/>
  <c r="J3559" i="1"/>
  <c r="L3558" i="1"/>
  <c r="J3558" i="1"/>
  <c r="L3557" i="1"/>
  <c r="J3557" i="1"/>
  <c r="L3556" i="1"/>
  <c r="J3556" i="1"/>
  <c r="L3555" i="1"/>
  <c r="J3555" i="1"/>
  <c r="L3554" i="1"/>
  <c r="J3554" i="1"/>
  <c r="L3553" i="1"/>
  <c r="J3553" i="1"/>
  <c r="L3552" i="1"/>
  <c r="J3552" i="1"/>
  <c r="L3551" i="1"/>
  <c r="J3551" i="1"/>
  <c r="L3550" i="1"/>
  <c r="J3550" i="1"/>
  <c r="L3549" i="1"/>
  <c r="J3549" i="1"/>
  <c r="L3548" i="1"/>
  <c r="J3548" i="1"/>
  <c r="L3547" i="1"/>
  <c r="J3547" i="1"/>
  <c r="L3546" i="1"/>
  <c r="J3546" i="1"/>
  <c r="L3545" i="1"/>
  <c r="J3545" i="1"/>
  <c r="L3544" i="1"/>
  <c r="J3544" i="1"/>
  <c r="L3543" i="1"/>
  <c r="J3543" i="1"/>
  <c r="L3542" i="1"/>
  <c r="J3542" i="1"/>
  <c r="L3541" i="1"/>
  <c r="J3541" i="1"/>
  <c r="L3540" i="1"/>
  <c r="J3540" i="1"/>
  <c r="L3539" i="1"/>
  <c r="J3539" i="1"/>
  <c r="L3538" i="1"/>
  <c r="J3538" i="1"/>
  <c r="L3537" i="1"/>
  <c r="J3537" i="1"/>
  <c r="L3536" i="1"/>
  <c r="J3536" i="1"/>
  <c r="L3535" i="1"/>
  <c r="J3535" i="1"/>
  <c r="L3534" i="1"/>
  <c r="J3534" i="1"/>
  <c r="L3533" i="1"/>
  <c r="J3533" i="1"/>
  <c r="L3532" i="1"/>
  <c r="J3532" i="1"/>
  <c r="L3531" i="1"/>
  <c r="J3531" i="1"/>
  <c r="L3530" i="1"/>
  <c r="J3530" i="1"/>
  <c r="L3529" i="1"/>
  <c r="J3529" i="1"/>
  <c r="L3528" i="1"/>
  <c r="J3528" i="1"/>
  <c r="L3527" i="1"/>
  <c r="J3527" i="1"/>
  <c r="L3526" i="1"/>
  <c r="J3526" i="1"/>
  <c r="L3525" i="1"/>
  <c r="J3525" i="1"/>
  <c r="L3524" i="1"/>
  <c r="J3524" i="1"/>
  <c r="L3523" i="1"/>
  <c r="J3523" i="1"/>
  <c r="L3522" i="1"/>
  <c r="J3522" i="1"/>
  <c r="L3521" i="1"/>
  <c r="J3521" i="1"/>
  <c r="L3520" i="1"/>
  <c r="J3520" i="1"/>
  <c r="L3519" i="1"/>
  <c r="J3519" i="1"/>
  <c r="L3518" i="1"/>
  <c r="J3518" i="1"/>
  <c r="L3517" i="1"/>
  <c r="J3517" i="1"/>
  <c r="L3516" i="1"/>
  <c r="J3516" i="1"/>
  <c r="L3515" i="1"/>
  <c r="J3515" i="1"/>
  <c r="L3514" i="1"/>
  <c r="J3514" i="1"/>
  <c r="L3513" i="1"/>
  <c r="J3513" i="1"/>
  <c r="L3512" i="1"/>
  <c r="J3512" i="1"/>
  <c r="L3511" i="1"/>
  <c r="J3511" i="1"/>
  <c r="L3510" i="1"/>
  <c r="J3510" i="1"/>
  <c r="L3509" i="1"/>
  <c r="J3509" i="1"/>
  <c r="L3508" i="1"/>
  <c r="J3508" i="1"/>
  <c r="L3507" i="1"/>
  <c r="J3507" i="1"/>
  <c r="L3506" i="1"/>
  <c r="J3506" i="1"/>
  <c r="L3505" i="1"/>
  <c r="J3505" i="1"/>
  <c r="L3504" i="1"/>
  <c r="J3504" i="1"/>
  <c r="L3503" i="1"/>
  <c r="J3503" i="1"/>
  <c r="L3502" i="1"/>
  <c r="J3502" i="1"/>
  <c r="L3501" i="1"/>
  <c r="J3501" i="1"/>
  <c r="L3500" i="1"/>
  <c r="J3500" i="1"/>
  <c r="L3499" i="1"/>
  <c r="J3499" i="1"/>
  <c r="L3498" i="1"/>
  <c r="J3498" i="1"/>
  <c r="L3497" i="1"/>
  <c r="J3497" i="1"/>
  <c r="L3496" i="1"/>
  <c r="J3496" i="1"/>
  <c r="L3495" i="1"/>
  <c r="J3495" i="1"/>
  <c r="L3494" i="1"/>
  <c r="J3494" i="1"/>
  <c r="L3493" i="1"/>
  <c r="J3493" i="1"/>
  <c r="L3492" i="1"/>
  <c r="J3492" i="1"/>
  <c r="L3491" i="1"/>
  <c r="J3491" i="1"/>
  <c r="L3490" i="1"/>
  <c r="J3490" i="1"/>
  <c r="L3489" i="1"/>
  <c r="J3489" i="1"/>
  <c r="L3488" i="1"/>
  <c r="J3488" i="1"/>
  <c r="L3487" i="1"/>
  <c r="J3487" i="1"/>
  <c r="L3486" i="1"/>
  <c r="J3486" i="1"/>
  <c r="L3485" i="1"/>
  <c r="J3485" i="1"/>
  <c r="L3484" i="1"/>
  <c r="J3484" i="1"/>
  <c r="L3483" i="1"/>
  <c r="J3483" i="1"/>
  <c r="L3482" i="1"/>
  <c r="J3482" i="1"/>
  <c r="L3481" i="1"/>
  <c r="J3481" i="1"/>
  <c r="L3480" i="1"/>
  <c r="J3480" i="1"/>
  <c r="L3479" i="1"/>
  <c r="J3479" i="1"/>
  <c r="L3478" i="1"/>
  <c r="J3478" i="1"/>
  <c r="L3477" i="1"/>
  <c r="J3477" i="1"/>
  <c r="L3476" i="1"/>
  <c r="J3476" i="1"/>
  <c r="L3475" i="1"/>
  <c r="J3475" i="1"/>
  <c r="L3474" i="1"/>
  <c r="J3474" i="1"/>
  <c r="L3473" i="1"/>
  <c r="J3473" i="1"/>
  <c r="L3472" i="1"/>
  <c r="J3472" i="1"/>
  <c r="L3471" i="1"/>
  <c r="J3471" i="1"/>
  <c r="L3470" i="1"/>
  <c r="J3470" i="1"/>
  <c r="L3469" i="1"/>
  <c r="J3469" i="1"/>
  <c r="L3468" i="1"/>
  <c r="J3468" i="1"/>
  <c r="L3467" i="1"/>
  <c r="J3467" i="1"/>
  <c r="L3466" i="1"/>
  <c r="J3466" i="1"/>
  <c r="L3465" i="1"/>
  <c r="J3465" i="1"/>
  <c r="L3464" i="1"/>
  <c r="J3464" i="1"/>
  <c r="L3463" i="1"/>
  <c r="J3463" i="1"/>
  <c r="L3462" i="1"/>
  <c r="J3462" i="1"/>
  <c r="L3461" i="1"/>
  <c r="J3461" i="1"/>
  <c r="L3460" i="1"/>
  <c r="J3460" i="1"/>
  <c r="L3459" i="1"/>
  <c r="J3459" i="1"/>
  <c r="L3458" i="1"/>
  <c r="J3458" i="1"/>
  <c r="L3457" i="1"/>
  <c r="J3457" i="1"/>
  <c r="L3456" i="1"/>
  <c r="J3456" i="1"/>
  <c r="L3455" i="1"/>
  <c r="J3455" i="1"/>
  <c r="L3454" i="1"/>
  <c r="J3454" i="1"/>
  <c r="L3453" i="1"/>
  <c r="J3453" i="1"/>
  <c r="L3452" i="1"/>
  <c r="J3452" i="1"/>
  <c r="L3451" i="1"/>
  <c r="J3451" i="1"/>
  <c r="L3450" i="1"/>
  <c r="J3450" i="1"/>
  <c r="L3449" i="1"/>
  <c r="J3449" i="1"/>
  <c r="L3448" i="1"/>
  <c r="J3448" i="1"/>
  <c r="L3447" i="1"/>
  <c r="J3447" i="1"/>
  <c r="L3446" i="1"/>
  <c r="J3446" i="1"/>
  <c r="L3445" i="1"/>
  <c r="J3445" i="1"/>
  <c r="L3444" i="1"/>
  <c r="J3444" i="1"/>
  <c r="L3443" i="1"/>
  <c r="J3443" i="1"/>
  <c r="L3442" i="1"/>
  <c r="J3442" i="1"/>
  <c r="L3441" i="1"/>
  <c r="J3441" i="1"/>
  <c r="L3440" i="1"/>
  <c r="J3440" i="1"/>
  <c r="L3439" i="1"/>
  <c r="J3439" i="1"/>
  <c r="L3438" i="1"/>
  <c r="J3438" i="1"/>
  <c r="L3437" i="1"/>
  <c r="J3437" i="1"/>
  <c r="L3436" i="1"/>
  <c r="J3436" i="1"/>
  <c r="L3435" i="1"/>
  <c r="J3435" i="1"/>
  <c r="L3434" i="1"/>
  <c r="J3434" i="1"/>
  <c r="L3433" i="1"/>
  <c r="J3433" i="1"/>
  <c r="L3432" i="1"/>
  <c r="J3432" i="1"/>
  <c r="L3431" i="1"/>
  <c r="J3431" i="1"/>
  <c r="L3430" i="1"/>
  <c r="J3430" i="1"/>
  <c r="L3429" i="1"/>
  <c r="J3429" i="1"/>
  <c r="L3428" i="1"/>
  <c r="J3428" i="1"/>
  <c r="L3427" i="1"/>
  <c r="J3427" i="1"/>
  <c r="L3426" i="1"/>
  <c r="J3426" i="1"/>
  <c r="L3425" i="1"/>
  <c r="J3425" i="1"/>
  <c r="L3424" i="1"/>
  <c r="J3424" i="1"/>
  <c r="L3423" i="1"/>
  <c r="J3423" i="1"/>
  <c r="L3422" i="1"/>
  <c r="J3422" i="1"/>
  <c r="L3421" i="1"/>
  <c r="J3421" i="1"/>
  <c r="L3420" i="1"/>
  <c r="J3420" i="1"/>
  <c r="L3419" i="1"/>
  <c r="J3419" i="1"/>
  <c r="L3418" i="1"/>
  <c r="J3418" i="1"/>
  <c r="L3417" i="1"/>
  <c r="J3417" i="1"/>
  <c r="L3416" i="1"/>
  <c r="J3416" i="1"/>
  <c r="L3415" i="1"/>
  <c r="J3415" i="1"/>
  <c r="L3414" i="1"/>
  <c r="J3414" i="1"/>
  <c r="L3413" i="1"/>
  <c r="J3413" i="1"/>
  <c r="L3412" i="1"/>
  <c r="J3412" i="1"/>
  <c r="L3411" i="1"/>
  <c r="J3411" i="1"/>
  <c r="L3410" i="1"/>
  <c r="J3410" i="1"/>
  <c r="L3409" i="1"/>
  <c r="J3409" i="1"/>
  <c r="L3408" i="1"/>
  <c r="J3408" i="1"/>
  <c r="L3407" i="1"/>
  <c r="J3407" i="1"/>
  <c r="L3406" i="1"/>
  <c r="J3406" i="1"/>
  <c r="L3405" i="1"/>
  <c r="J3405" i="1"/>
  <c r="L3404" i="1"/>
  <c r="J3404" i="1"/>
  <c r="L3403" i="1"/>
  <c r="J3403" i="1"/>
  <c r="L3402" i="1"/>
  <c r="J3402" i="1"/>
  <c r="L3401" i="1"/>
  <c r="J3401" i="1"/>
  <c r="L3400" i="1"/>
  <c r="J3400" i="1"/>
  <c r="L3399" i="1"/>
  <c r="J3399" i="1"/>
  <c r="L3398" i="1"/>
  <c r="J3398" i="1"/>
  <c r="L3397" i="1"/>
  <c r="J3397" i="1"/>
  <c r="L3396" i="1"/>
  <c r="J3396" i="1"/>
  <c r="L3395" i="1"/>
  <c r="J3395" i="1"/>
  <c r="L3394" i="1"/>
  <c r="J3394" i="1"/>
  <c r="L3393" i="1"/>
  <c r="J3393" i="1"/>
  <c r="L3392" i="1"/>
  <c r="J3392" i="1"/>
  <c r="L3391" i="1"/>
  <c r="J3391" i="1"/>
  <c r="L3390" i="1"/>
  <c r="J3390" i="1"/>
  <c r="L3389" i="1"/>
  <c r="J3389" i="1"/>
  <c r="L3388" i="1"/>
  <c r="J3388" i="1"/>
  <c r="L3387" i="1"/>
  <c r="J3387" i="1"/>
  <c r="L3386" i="1"/>
  <c r="J3386" i="1"/>
  <c r="L3385" i="1"/>
  <c r="J3385" i="1"/>
  <c r="L3384" i="1"/>
  <c r="J3384" i="1"/>
  <c r="L3383" i="1"/>
  <c r="J3383" i="1"/>
  <c r="L3382" i="1"/>
  <c r="J3382" i="1"/>
  <c r="L3381" i="1"/>
  <c r="J3381" i="1"/>
  <c r="L3380" i="1"/>
  <c r="J3380" i="1"/>
  <c r="L3379" i="1"/>
  <c r="J3379" i="1"/>
  <c r="L3378" i="1"/>
  <c r="J3378" i="1"/>
  <c r="L3377" i="1"/>
  <c r="J3377" i="1"/>
  <c r="L3376" i="1"/>
  <c r="J3376" i="1"/>
  <c r="L3375" i="1"/>
  <c r="J3375" i="1"/>
  <c r="L3374" i="1"/>
  <c r="J3374" i="1"/>
  <c r="L3373" i="1"/>
  <c r="J3373" i="1"/>
  <c r="L3372" i="1"/>
  <c r="J3372" i="1"/>
  <c r="L3371" i="1"/>
  <c r="J3371" i="1"/>
  <c r="L3370" i="1"/>
  <c r="J3370" i="1"/>
  <c r="L3369" i="1"/>
  <c r="J3369" i="1"/>
  <c r="L3368" i="1"/>
  <c r="J3368" i="1"/>
  <c r="L3367" i="1"/>
  <c r="J3367" i="1"/>
  <c r="L3366" i="1"/>
  <c r="J3366" i="1"/>
  <c r="L3365" i="1"/>
  <c r="J3365" i="1"/>
  <c r="L3364" i="1"/>
  <c r="J3364" i="1"/>
  <c r="L3363" i="1"/>
  <c r="J3363" i="1"/>
  <c r="L3362" i="1"/>
  <c r="J3362" i="1"/>
  <c r="L3361" i="1"/>
  <c r="J3361" i="1"/>
  <c r="L3360" i="1"/>
  <c r="J3360" i="1"/>
  <c r="L3359" i="1"/>
  <c r="J3359" i="1"/>
  <c r="L3358" i="1"/>
  <c r="J3358" i="1"/>
  <c r="L3357" i="1"/>
  <c r="J3357" i="1"/>
  <c r="L3356" i="1"/>
  <c r="J3356" i="1"/>
  <c r="L3355" i="1"/>
  <c r="J3355" i="1"/>
  <c r="L3354" i="1"/>
  <c r="J3354" i="1"/>
  <c r="L3353" i="1"/>
  <c r="J3353" i="1"/>
  <c r="L3352" i="1"/>
  <c r="J3352" i="1"/>
  <c r="L3351" i="1"/>
  <c r="J3351" i="1"/>
  <c r="L3350" i="1"/>
  <c r="J3350" i="1"/>
  <c r="L3349" i="1"/>
  <c r="J3349" i="1"/>
  <c r="L3348" i="1"/>
  <c r="J3348" i="1"/>
  <c r="L3347" i="1"/>
  <c r="J3347" i="1"/>
  <c r="L3346" i="1"/>
  <c r="J3346" i="1"/>
  <c r="L3345" i="1"/>
  <c r="J3345" i="1"/>
  <c r="L3344" i="1"/>
  <c r="J3344" i="1"/>
  <c r="L3343" i="1"/>
  <c r="J3343" i="1"/>
  <c r="L3342" i="1"/>
  <c r="J3342" i="1"/>
  <c r="L3341" i="1"/>
  <c r="J3341" i="1"/>
  <c r="L3340" i="1"/>
  <c r="J3340" i="1"/>
  <c r="L3339" i="1"/>
  <c r="J3339" i="1"/>
  <c r="L3338" i="1"/>
  <c r="J3338" i="1"/>
  <c r="L3337" i="1"/>
  <c r="J3337" i="1"/>
  <c r="L3336" i="1"/>
  <c r="J3336" i="1"/>
  <c r="L3335" i="1"/>
  <c r="J3335" i="1"/>
  <c r="L3334" i="1"/>
  <c r="J3334" i="1"/>
  <c r="L3333" i="1"/>
  <c r="J3333" i="1"/>
  <c r="L3332" i="1"/>
  <c r="J3332" i="1"/>
  <c r="L3331" i="1"/>
  <c r="J3331" i="1"/>
  <c r="L3330" i="1"/>
  <c r="J3330" i="1"/>
  <c r="L3329" i="1"/>
  <c r="J3329" i="1"/>
  <c r="L3328" i="1"/>
  <c r="J3328" i="1"/>
  <c r="L3327" i="1"/>
  <c r="J3327" i="1"/>
  <c r="L3326" i="1"/>
  <c r="J3326" i="1"/>
  <c r="L3325" i="1"/>
  <c r="J3325" i="1"/>
  <c r="L3324" i="1"/>
  <c r="J3324" i="1"/>
  <c r="L3323" i="1"/>
  <c r="J3323" i="1"/>
  <c r="L3322" i="1"/>
  <c r="J3322" i="1"/>
  <c r="L3321" i="1"/>
  <c r="J3321" i="1"/>
  <c r="L3320" i="1"/>
  <c r="J3320" i="1"/>
  <c r="L3319" i="1"/>
  <c r="J3319" i="1"/>
  <c r="L3318" i="1"/>
  <c r="J3318" i="1"/>
  <c r="L3317" i="1"/>
  <c r="J3317" i="1"/>
  <c r="L3316" i="1"/>
  <c r="J3316" i="1"/>
  <c r="L3315" i="1"/>
  <c r="J3315" i="1"/>
  <c r="L3314" i="1"/>
  <c r="J3314" i="1"/>
  <c r="L3313" i="1"/>
  <c r="J3313" i="1"/>
  <c r="L3312" i="1"/>
  <c r="J3312" i="1"/>
  <c r="L3311" i="1"/>
  <c r="J3311" i="1"/>
  <c r="L3310" i="1"/>
  <c r="J3310" i="1"/>
  <c r="L3309" i="1"/>
  <c r="J3309" i="1"/>
  <c r="L3308" i="1"/>
  <c r="J3308" i="1"/>
  <c r="L3307" i="1"/>
  <c r="J3307" i="1"/>
  <c r="L3306" i="1"/>
  <c r="J3306" i="1"/>
  <c r="L3305" i="1"/>
  <c r="J3305" i="1"/>
  <c r="L3304" i="1"/>
  <c r="J3304" i="1"/>
  <c r="L3303" i="1"/>
  <c r="J3303" i="1"/>
  <c r="L3302" i="1"/>
  <c r="J3302" i="1"/>
  <c r="L3301" i="1"/>
  <c r="J3301" i="1"/>
  <c r="L3300" i="1"/>
  <c r="J3300" i="1"/>
  <c r="L3299" i="1"/>
  <c r="J3299" i="1"/>
  <c r="L3298" i="1"/>
  <c r="J3298" i="1"/>
  <c r="L3297" i="1"/>
  <c r="J3297" i="1"/>
  <c r="L3296" i="1"/>
  <c r="J3296" i="1"/>
  <c r="L3295" i="1"/>
  <c r="J3295" i="1"/>
  <c r="L3294" i="1"/>
  <c r="J3294" i="1"/>
  <c r="L3293" i="1"/>
  <c r="J3293" i="1"/>
  <c r="L3292" i="1"/>
  <c r="J3292" i="1"/>
  <c r="L3291" i="1"/>
  <c r="J3291" i="1"/>
  <c r="L3290" i="1"/>
  <c r="J3290" i="1"/>
  <c r="L3289" i="1"/>
  <c r="J3289" i="1"/>
  <c r="L3288" i="1"/>
  <c r="J3288" i="1"/>
  <c r="L3287" i="1"/>
  <c r="J3287" i="1"/>
  <c r="L3286" i="1"/>
  <c r="J3286" i="1"/>
  <c r="L3285" i="1"/>
  <c r="J3285" i="1"/>
  <c r="L3284" i="1"/>
  <c r="J3284" i="1"/>
  <c r="L3283" i="1"/>
  <c r="J3283" i="1"/>
  <c r="L3282" i="1"/>
  <c r="J3282" i="1"/>
  <c r="L3281" i="1"/>
  <c r="J3281" i="1"/>
  <c r="L3280" i="1"/>
  <c r="J3280" i="1"/>
  <c r="L3279" i="1"/>
  <c r="J3279" i="1"/>
  <c r="L3278" i="1"/>
  <c r="J3278" i="1"/>
  <c r="L3277" i="1"/>
  <c r="J3277" i="1"/>
  <c r="L3276" i="1"/>
  <c r="J3276" i="1"/>
  <c r="L3275" i="1"/>
  <c r="J3275" i="1"/>
  <c r="L3274" i="1"/>
  <c r="J3274" i="1"/>
  <c r="L3273" i="1"/>
  <c r="J3273" i="1"/>
  <c r="L3272" i="1"/>
  <c r="J3272" i="1"/>
  <c r="L3271" i="1"/>
  <c r="J3271" i="1"/>
  <c r="L3270" i="1"/>
  <c r="J3270" i="1"/>
  <c r="L3269" i="1"/>
  <c r="J3269" i="1"/>
  <c r="L3268" i="1"/>
  <c r="J3268" i="1"/>
  <c r="L3267" i="1"/>
  <c r="J3267" i="1"/>
  <c r="L3266" i="1"/>
  <c r="J3266" i="1"/>
  <c r="L3265" i="1"/>
  <c r="J3265" i="1"/>
  <c r="L3264" i="1"/>
  <c r="J3264" i="1"/>
  <c r="L3263" i="1"/>
  <c r="J3263" i="1"/>
  <c r="L3262" i="1"/>
  <c r="J3262" i="1"/>
  <c r="L3261" i="1"/>
  <c r="J3261" i="1"/>
  <c r="L3260" i="1"/>
  <c r="J3260" i="1"/>
  <c r="L3259" i="1"/>
  <c r="J3259" i="1"/>
  <c r="L3258" i="1"/>
  <c r="J3258" i="1"/>
  <c r="L3257" i="1"/>
  <c r="J3257" i="1"/>
  <c r="L3256" i="1"/>
  <c r="J3256" i="1"/>
  <c r="L3255" i="1"/>
  <c r="J3255" i="1"/>
  <c r="L3254" i="1"/>
  <c r="J3254" i="1"/>
  <c r="L3253" i="1"/>
  <c r="J3253" i="1"/>
  <c r="L3252" i="1"/>
  <c r="J3252" i="1"/>
  <c r="L3251" i="1"/>
  <c r="J3251" i="1"/>
  <c r="L3250" i="1"/>
  <c r="J3250" i="1"/>
  <c r="L3249" i="1"/>
  <c r="J3249" i="1"/>
  <c r="L3248" i="1"/>
  <c r="J3248" i="1"/>
  <c r="L3247" i="1"/>
  <c r="J3247" i="1"/>
  <c r="L3246" i="1"/>
  <c r="J3246" i="1"/>
  <c r="L3245" i="1"/>
  <c r="J3245" i="1"/>
  <c r="L3244" i="1"/>
  <c r="J3244" i="1"/>
  <c r="L3243" i="1"/>
  <c r="J3243" i="1"/>
  <c r="L3242" i="1"/>
  <c r="J3242" i="1"/>
  <c r="L3241" i="1"/>
  <c r="J3241" i="1"/>
  <c r="L3240" i="1"/>
  <c r="J3240" i="1"/>
  <c r="L3239" i="1"/>
  <c r="J3239" i="1"/>
  <c r="L3238" i="1"/>
  <c r="J3238" i="1"/>
  <c r="L3237" i="1"/>
  <c r="J3237" i="1"/>
  <c r="L3236" i="1"/>
  <c r="J3236" i="1"/>
  <c r="L3235" i="1"/>
  <c r="J3235" i="1"/>
  <c r="L3234" i="1"/>
  <c r="J3234" i="1"/>
  <c r="L3233" i="1"/>
  <c r="J3233" i="1"/>
  <c r="L3232" i="1"/>
  <c r="J3232" i="1"/>
  <c r="L3231" i="1"/>
  <c r="J3231" i="1"/>
  <c r="L3230" i="1"/>
  <c r="J3230" i="1"/>
  <c r="L3229" i="1"/>
  <c r="J3229" i="1"/>
  <c r="L3228" i="1"/>
  <c r="J3228" i="1"/>
  <c r="L3227" i="1"/>
  <c r="J3227" i="1"/>
  <c r="L3226" i="1"/>
  <c r="J3226" i="1"/>
  <c r="L3225" i="1"/>
  <c r="J3225" i="1"/>
  <c r="L3224" i="1"/>
  <c r="J3224" i="1"/>
  <c r="L3223" i="1"/>
  <c r="J3223" i="1"/>
  <c r="L3222" i="1"/>
  <c r="J3222" i="1"/>
  <c r="L3221" i="1"/>
  <c r="J3221" i="1"/>
  <c r="L3220" i="1"/>
  <c r="J3220" i="1"/>
  <c r="L3219" i="1"/>
  <c r="J3219" i="1"/>
  <c r="L3218" i="1"/>
  <c r="J3218" i="1"/>
  <c r="L3217" i="1"/>
  <c r="J3217" i="1"/>
  <c r="L3216" i="1"/>
  <c r="J3216" i="1"/>
  <c r="L3215" i="1"/>
  <c r="J3215" i="1"/>
  <c r="L3214" i="1"/>
  <c r="J3214" i="1"/>
  <c r="L3213" i="1"/>
  <c r="J3213" i="1"/>
  <c r="L3212" i="1"/>
  <c r="J3212" i="1"/>
  <c r="L3211" i="1"/>
  <c r="J3211" i="1"/>
  <c r="L3210" i="1"/>
  <c r="J3210" i="1"/>
  <c r="L3209" i="1"/>
  <c r="J3209" i="1"/>
  <c r="L3208" i="1"/>
  <c r="J3208" i="1"/>
  <c r="L3207" i="1"/>
  <c r="J3207" i="1"/>
  <c r="L3206" i="1"/>
  <c r="J3206" i="1"/>
  <c r="L3205" i="1"/>
  <c r="J3205" i="1"/>
  <c r="L3204" i="1"/>
  <c r="J3204" i="1"/>
  <c r="L3203" i="1"/>
  <c r="J3203" i="1"/>
  <c r="L3202" i="1"/>
  <c r="J3202" i="1"/>
  <c r="L3201" i="1"/>
  <c r="J3201" i="1"/>
  <c r="L3200" i="1"/>
  <c r="J3200" i="1"/>
  <c r="L3199" i="1"/>
  <c r="J3199" i="1"/>
  <c r="L3198" i="1"/>
  <c r="J3198" i="1"/>
  <c r="L3197" i="1"/>
  <c r="J3197" i="1"/>
  <c r="L3196" i="1"/>
  <c r="J3196" i="1"/>
  <c r="L3195" i="1"/>
  <c r="J3195" i="1"/>
  <c r="L3194" i="1"/>
  <c r="J3194" i="1"/>
  <c r="L3193" i="1"/>
  <c r="J3193" i="1"/>
  <c r="L3192" i="1"/>
  <c r="J3192" i="1"/>
  <c r="L3191" i="1"/>
  <c r="J3191" i="1"/>
  <c r="L3190" i="1"/>
  <c r="J3190" i="1"/>
  <c r="L3189" i="1"/>
  <c r="J3189" i="1"/>
  <c r="L3188" i="1"/>
  <c r="J3188" i="1"/>
  <c r="L3187" i="1"/>
  <c r="J3187" i="1"/>
  <c r="L3186" i="1"/>
  <c r="J3186" i="1"/>
  <c r="L3185" i="1"/>
  <c r="J3185" i="1"/>
  <c r="L3184" i="1"/>
  <c r="J3184" i="1"/>
  <c r="L3183" i="1"/>
  <c r="J3183" i="1"/>
  <c r="L3182" i="1"/>
  <c r="J3182" i="1"/>
  <c r="L3181" i="1"/>
  <c r="J3181" i="1"/>
  <c r="L3180" i="1"/>
  <c r="J3180" i="1"/>
  <c r="L3179" i="1"/>
  <c r="J3179" i="1"/>
  <c r="L3178" i="1"/>
  <c r="J3178" i="1"/>
  <c r="L3177" i="1"/>
  <c r="J3177" i="1"/>
  <c r="L3176" i="1"/>
  <c r="J3176" i="1"/>
  <c r="L3175" i="1"/>
  <c r="J3175" i="1"/>
  <c r="L3174" i="1"/>
  <c r="J3174" i="1"/>
  <c r="L3173" i="1"/>
  <c r="J3173" i="1"/>
  <c r="L3172" i="1"/>
  <c r="J3172" i="1"/>
  <c r="L3171" i="1"/>
  <c r="J3171" i="1"/>
  <c r="L3170" i="1"/>
  <c r="J3170" i="1"/>
  <c r="L3169" i="1"/>
  <c r="J3169" i="1"/>
  <c r="L3168" i="1"/>
  <c r="J3168" i="1"/>
  <c r="L3167" i="1"/>
  <c r="J3167" i="1"/>
  <c r="L3166" i="1"/>
  <c r="J3166" i="1"/>
  <c r="L3165" i="1"/>
  <c r="J3165" i="1"/>
  <c r="L3164" i="1"/>
  <c r="J3164" i="1"/>
  <c r="L3163" i="1"/>
  <c r="J3163" i="1"/>
  <c r="L3162" i="1"/>
  <c r="J3162" i="1"/>
  <c r="L3161" i="1"/>
  <c r="J3161" i="1"/>
  <c r="L3160" i="1"/>
  <c r="J3160" i="1"/>
  <c r="L3159" i="1"/>
  <c r="J3159" i="1"/>
  <c r="L3158" i="1"/>
  <c r="J3158" i="1"/>
  <c r="L3157" i="1"/>
  <c r="J3157" i="1"/>
  <c r="L3156" i="1"/>
  <c r="J3156" i="1"/>
  <c r="L3155" i="1"/>
  <c r="J3155" i="1"/>
  <c r="L3154" i="1"/>
  <c r="J3154" i="1"/>
  <c r="L3153" i="1"/>
  <c r="J3153" i="1"/>
  <c r="L3152" i="1"/>
  <c r="J3152" i="1"/>
  <c r="L3151" i="1"/>
  <c r="J3151" i="1"/>
  <c r="L3150" i="1"/>
  <c r="J3150" i="1"/>
  <c r="L3149" i="1"/>
  <c r="J3149" i="1"/>
  <c r="L3148" i="1"/>
  <c r="J3148" i="1"/>
  <c r="L3147" i="1"/>
  <c r="J3147" i="1"/>
  <c r="L3146" i="1"/>
  <c r="J3146" i="1"/>
  <c r="L3145" i="1"/>
  <c r="J3145" i="1"/>
  <c r="L3144" i="1"/>
  <c r="J3144" i="1"/>
  <c r="L3143" i="1"/>
  <c r="J3143" i="1"/>
  <c r="L3142" i="1"/>
  <c r="J3142" i="1"/>
  <c r="L3141" i="1"/>
  <c r="J3141" i="1"/>
  <c r="L3140" i="1"/>
  <c r="J3140" i="1"/>
  <c r="L3139" i="1"/>
  <c r="J3139" i="1"/>
  <c r="L3138" i="1"/>
  <c r="J3138" i="1"/>
  <c r="L3137" i="1"/>
  <c r="J3137" i="1"/>
  <c r="L3136" i="1"/>
  <c r="J3136" i="1"/>
  <c r="L3135" i="1"/>
  <c r="J3135" i="1"/>
  <c r="L3134" i="1"/>
  <c r="J3134" i="1"/>
  <c r="L3133" i="1"/>
  <c r="J3133" i="1"/>
  <c r="L3132" i="1"/>
  <c r="J3132" i="1"/>
  <c r="L3131" i="1"/>
  <c r="J3131" i="1"/>
  <c r="L3130" i="1"/>
  <c r="J3130" i="1"/>
  <c r="L3129" i="1"/>
  <c r="J3129" i="1"/>
  <c r="L3128" i="1"/>
  <c r="J3128" i="1"/>
  <c r="L3127" i="1"/>
  <c r="J3127" i="1"/>
  <c r="L3126" i="1"/>
  <c r="J3126" i="1"/>
  <c r="L3125" i="1"/>
  <c r="J3125" i="1"/>
  <c r="L3124" i="1"/>
  <c r="J3124" i="1"/>
  <c r="L3123" i="1"/>
  <c r="J3123" i="1"/>
  <c r="L3122" i="1"/>
  <c r="J3122" i="1"/>
  <c r="L3121" i="1"/>
  <c r="J3121" i="1"/>
  <c r="L3120" i="1"/>
  <c r="J3120" i="1"/>
  <c r="L3119" i="1"/>
  <c r="J3119" i="1"/>
  <c r="L3118" i="1"/>
  <c r="J3118" i="1"/>
  <c r="L3117" i="1"/>
  <c r="J3117" i="1"/>
  <c r="L3116" i="1"/>
  <c r="J3116" i="1"/>
  <c r="L3115" i="1"/>
  <c r="J3115" i="1"/>
  <c r="L3114" i="1"/>
  <c r="J3114" i="1"/>
  <c r="L3113" i="1"/>
  <c r="J3113" i="1"/>
  <c r="L3112" i="1"/>
  <c r="J3112" i="1"/>
  <c r="L3111" i="1"/>
  <c r="J3111" i="1"/>
  <c r="L3110" i="1"/>
  <c r="J3110" i="1"/>
  <c r="L3109" i="1"/>
  <c r="J3109" i="1"/>
  <c r="L3108" i="1"/>
  <c r="J3108" i="1"/>
  <c r="L3107" i="1"/>
  <c r="J3107" i="1"/>
  <c r="L3106" i="1"/>
  <c r="J3106" i="1"/>
  <c r="L3105" i="1"/>
  <c r="J3105" i="1"/>
  <c r="L3104" i="1"/>
  <c r="J3104" i="1"/>
  <c r="L3103" i="1"/>
  <c r="J3103" i="1"/>
  <c r="L3102" i="1"/>
  <c r="J3102" i="1"/>
  <c r="L3101" i="1"/>
  <c r="J3101" i="1"/>
  <c r="L3100" i="1"/>
  <c r="J3100" i="1"/>
  <c r="L3099" i="1"/>
  <c r="J3099" i="1"/>
  <c r="L3098" i="1"/>
  <c r="J3098" i="1"/>
  <c r="L3097" i="1"/>
  <c r="J3097" i="1"/>
  <c r="L3096" i="1"/>
  <c r="J3096" i="1"/>
  <c r="L3095" i="1"/>
  <c r="J3095" i="1"/>
  <c r="L3094" i="1"/>
  <c r="J3094" i="1"/>
  <c r="L3093" i="1"/>
  <c r="J3093" i="1"/>
  <c r="L3092" i="1"/>
  <c r="J3092" i="1"/>
  <c r="L3091" i="1"/>
  <c r="J3091" i="1"/>
  <c r="L3090" i="1"/>
  <c r="J3090" i="1"/>
  <c r="L3089" i="1"/>
  <c r="J3089" i="1"/>
  <c r="L3088" i="1"/>
  <c r="J3088" i="1"/>
  <c r="L3087" i="1"/>
  <c r="J3087" i="1"/>
  <c r="L3086" i="1"/>
  <c r="J3086" i="1"/>
  <c r="L3085" i="1"/>
  <c r="J3085" i="1"/>
  <c r="L3084" i="1"/>
  <c r="J3084" i="1"/>
  <c r="L3083" i="1"/>
  <c r="J3083" i="1"/>
  <c r="L3082" i="1"/>
  <c r="J3082" i="1"/>
  <c r="L3081" i="1"/>
  <c r="J3081" i="1"/>
  <c r="L3080" i="1"/>
  <c r="J3080" i="1"/>
  <c r="L3079" i="1"/>
  <c r="J3079" i="1"/>
  <c r="L3078" i="1"/>
  <c r="J3078" i="1"/>
  <c r="L3077" i="1"/>
  <c r="J3077" i="1"/>
  <c r="L3076" i="1"/>
  <c r="J3076" i="1"/>
  <c r="L3075" i="1"/>
  <c r="J3075" i="1"/>
  <c r="L3074" i="1"/>
  <c r="J3074" i="1"/>
  <c r="L3073" i="1"/>
  <c r="J3073" i="1"/>
  <c r="L3072" i="1"/>
  <c r="J3072" i="1"/>
  <c r="L3071" i="1"/>
  <c r="J3071" i="1"/>
  <c r="L3070" i="1"/>
  <c r="J3070" i="1"/>
  <c r="L3069" i="1"/>
  <c r="J3069" i="1"/>
  <c r="L3068" i="1"/>
  <c r="J3068" i="1"/>
  <c r="L3067" i="1"/>
  <c r="J3067" i="1"/>
  <c r="L3066" i="1"/>
  <c r="J3066" i="1"/>
  <c r="L3065" i="1"/>
  <c r="J3065" i="1"/>
  <c r="L3064" i="1"/>
  <c r="J3064" i="1"/>
  <c r="L3063" i="1"/>
  <c r="J3063" i="1"/>
  <c r="L3062" i="1"/>
  <c r="J3062" i="1"/>
  <c r="L3061" i="1"/>
  <c r="J3061" i="1"/>
  <c r="L3060" i="1"/>
  <c r="J3060" i="1"/>
  <c r="L3059" i="1"/>
  <c r="J3059" i="1"/>
  <c r="L3058" i="1"/>
  <c r="J3058" i="1"/>
  <c r="L3057" i="1"/>
  <c r="J3057" i="1"/>
  <c r="L3056" i="1"/>
  <c r="J3056" i="1"/>
  <c r="L3055" i="1"/>
  <c r="J3055" i="1"/>
  <c r="L3054" i="1"/>
  <c r="J3054" i="1"/>
  <c r="L3053" i="1"/>
  <c r="J3053" i="1"/>
  <c r="L3052" i="1"/>
  <c r="J3052" i="1"/>
  <c r="L3051" i="1"/>
  <c r="J3051" i="1"/>
  <c r="L3050" i="1"/>
  <c r="J3050" i="1"/>
  <c r="L3049" i="1"/>
  <c r="J3049" i="1"/>
  <c r="L3048" i="1"/>
  <c r="J3048" i="1"/>
  <c r="L3047" i="1"/>
  <c r="J3047" i="1"/>
  <c r="L3046" i="1"/>
  <c r="J3046" i="1"/>
  <c r="L3045" i="1"/>
  <c r="J3045" i="1"/>
  <c r="L3044" i="1"/>
  <c r="J3044" i="1"/>
  <c r="L3043" i="1"/>
  <c r="J3043" i="1"/>
  <c r="L3042" i="1"/>
  <c r="J3042" i="1"/>
  <c r="L3041" i="1"/>
  <c r="J3041" i="1"/>
  <c r="L3040" i="1"/>
  <c r="J3040" i="1"/>
  <c r="L3039" i="1"/>
  <c r="J3039" i="1"/>
  <c r="L3038" i="1"/>
  <c r="J3038" i="1"/>
  <c r="L3037" i="1"/>
  <c r="J3037" i="1"/>
  <c r="L3036" i="1"/>
  <c r="J3036" i="1"/>
  <c r="L3035" i="1"/>
  <c r="J3035" i="1"/>
  <c r="L3034" i="1"/>
  <c r="J3034" i="1"/>
  <c r="L3033" i="1"/>
  <c r="J3033" i="1"/>
  <c r="L3032" i="1"/>
  <c r="J3032" i="1"/>
  <c r="L3031" i="1"/>
  <c r="J3031" i="1"/>
  <c r="L3030" i="1"/>
  <c r="J3030" i="1"/>
  <c r="L3029" i="1"/>
  <c r="J3029" i="1"/>
  <c r="L3028" i="1"/>
  <c r="J3028" i="1"/>
  <c r="L3027" i="1"/>
  <c r="J3027" i="1"/>
  <c r="L3026" i="1"/>
  <c r="J3026" i="1"/>
  <c r="L3025" i="1"/>
  <c r="J3025" i="1"/>
  <c r="L3024" i="1"/>
  <c r="J3024" i="1"/>
  <c r="L3023" i="1"/>
  <c r="J3023" i="1"/>
  <c r="L3022" i="1"/>
  <c r="J3022" i="1"/>
  <c r="L3021" i="1"/>
  <c r="J3021" i="1"/>
  <c r="L3020" i="1"/>
  <c r="J3020" i="1"/>
  <c r="L3019" i="1"/>
  <c r="J3019" i="1"/>
  <c r="L3018" i="1"/>
  <c r="J3018" i="1"/>
  <c r="L3017" i="1"/>
  <c r="J3017" i="1"/>
  <c r="L3016" i="1"/>
  <c r="J3016" i="1"/>
  <c r="L3015" i="1"/>
  <c r="J3015" i="1"/>
  <c r="L3014" i="1"/>
  <c r="J3014" i="1"/>
  <c r="L3013" i="1"/>
  <c r="J3013" i="1"/>
  <c r="L3012" i="1"/>
  <c r="J3012" i="1"/>
  <c r="L3011" i="1"/>
  <c r="J3011" i="1"/>
  <c r="L3010" i="1"/>
  <c r="J3010" i="1"/>
  <c r="L3009" i="1"/>
  <c r="J3009" i="1"/>
  <c r="L3008" i="1"/>
  <c r="J3008" i="1"/>
  <c r="L3007" i="1"/>
  <c r="J3007" i="1"/>
  <c r="L3006" i="1"/>
  <c r="J3006" i="1"/>
  <c r="L3005" i="1"/>
  <c r="J3005" i="1"/>
  <c r="L3004" i="1"/>
  <c r="J3004" i="1"/>
  <c r="L3003" i="1"/>
  <c r="J3003" i="1"/>
  <c r="L3002" i="1"/>
  <c r="J3002" i="1"/>
  <c r="L3001" i="1"/>
  <c r="J3001" i="1"/>
  <c r="L3000" i="1"/>
  <c r="J3000" i="1"/>
  <c r="L2999" i="1"/>
  <c r="J2999" i="1"/>
  <c r="L2998" i="1"/>
  <c r="J2998" i="1"/>
  <c r="L2997" i="1"/>
  <c r="J2997" i="1"/>
  <c r="L2996" i="1"/>
  <c r="J2996" i="1"/>
  <c r="L2995" i="1"/>
  <c r="J2995" i="1"/>
  <c r="L2994" i="1"/>
  <c r="J2994" i="1"/>
  <c r="L2993" i="1"/>
  <c r="J2993" i="1"/>
  <c r="L2992" i="1"/>
  <c r="J2992" i="1"/>
  <c r="L2991" i="1"/>
  <c r="J2991" i="1"/>
  <c r="L2990" i="1"/>
  <c r="J2990" i="1"/>
  <c r="L2989" i="1"/>
  <c r="J2989" i="1"/>
  <c r="L2988" i="1"/>
  <c r="J2988" i="1"/>
  <c r="L2987" i="1"/>
  <c r="J2987" i="1"/>
  <c r="L2986" i="1"/>
  <c r="J2986" i="1"/>
  <c r="L2985" i="1"/>
  <c r="J2985" i="1"/>
  <c r="L2984" i="1"/>
  <c r="J2984" i="1"/>
  <c r="L2983" i="1"/>
  <c r="J2983" i="1"/>
  <c r="L2982" i="1"/>
  <c r="J2982" i="1"/>
  <c r="L2981" i="1"/>
  <c r="J2981" i="1"/>
  <c r="L2980" i="1"/>
  <c r="J2980" i="1"/>
  <c r="L2979" i="1"/>
  <c r="J2979" i="1"/>
  <c r="L2978" i="1"/>
  <c r="J2978" i="1"/>
  <c r="L2977" i="1"/>
  <c r="J2977" i="1"/>
  <c r="L2976" i="1"/>
  <c r="J2976" i="1"/>
  <c r="L2975" i="1"/>
  <c r="J2975" i="1"/>
  <c r="L2974" i="1"/>
  <c r="J2974" i="1"/>
  <c r="L2973" i="1"/>
  <c r="J2973" i="1"/>
  <c r="L2972" i="1"/>
  <c r="J2972" i="1"/>
  <c r="L2971" i="1"/>
  <c r="J2971" i="1"/>
  <c r="L2970" i="1"/>
  <c r="J2970" i="1"/>
  <c r="L2969" i="1"/>
  <c r="J2969" i="1"/>
  <c r="L2968" i="1"/>
  <c r="J2968" i="1"/>
  <c r="L2967" i="1"/>
  <c r="J2967" i="1"/>
  <c r="L2966" i="1"/>
  <c r="J2966" i="1"/>
  <c r="L2965" i="1"/>
  <c r="J2965" i="1"/>
  <c r="L2964" i="1"/>
  <c r="J2964" i="1"/>
  <c r="L2963" i="1"/>
  <c r="J2963" i="1"/>
  <c r="L2962" i="1"/>
  <c r="J2962" i="1"/>
  <c r="L2961" i="1"/>
  <c r="J2961" i="1"/>
  <c r="L2960" i="1"/>
  <c r="J2960" i="1"/>
  <c r="L2959" i="1"/>
  <c r="J2959" i="1"/>
  <c r="L2958" i="1"/>
  <c r="J2958" i="1"/>
  <c r="L2957" i="1"/>
  <c r="J2957" i="1"/>
  <c r="L2956" i="1"/>
  <c r="J2956" i="1"/>
  <c r="L2955" i="1"/>
  <c r="J2955" i="1"/>
  <c r="L2954" i="1"/>
  <c r="J2954" i="1"/>
  <c r="L2953" i="1"/>
  <c r="J2953" i="1"/>
  <c r="L2952" i="1"/>
  <c r="J2952" i="1"/>
  <c r="L2951" i="1"/>
  <c r="J2951" i="1"/>
  <c r="L2950" i="1"/>
  <c r="J2950" i="1"/>
  <c r="L2949" i="1"/>
  <c r="J2949" i="1"/>
  <c r="L2948" i="1"/>
  <c r="J2948" i="1"/>
  <c r="L2947" i="1"/>
  <c r="J2947" i="1"/>
  <c r="L2946" i="1"/>
  <c r="J2946" i="1"/>
  <c r="L2945" i="1"/>
  <c r="J2945" i="1"/>
  <c r="L2944" i="1"/>
  <c r="J2944" i="1"/>
  <c r="L2943" i="1"/>
  <c r="J2943" i="1"/>
  <c r="L2942" i="1"/>
  <c r="J2942" i="1"/>
  <c r="L2941" i="1"/>
  <c r="J2941" i="1"/>
  <c r="L2940" i="1"/>
  <c r="J2940" i="1"/>
  <c r="L2939" i="1"/>
  <c r="J2939" i="1"/>
  <c r="L2938" i="1"/>
  <c r="J2938" i="1"/>
  <c r="L2937" i="1"/>
  <c r="J2937" i="1"/>
  <c r="L2936" i="1"/>
  <c r="J2936" i="1"/>
  <c r="L2935" i="1"/>
  <c r="J2935" i="1"/>
  <c r="L2934" i="1"/>
  <c r="J2934" i="1"/>
  <c r="L2933" i="1"/>
  <c r="J2933" i="1"/>
  <c r="L2932" i="1"/>
  <c r="J2932" i="1"/>
  <c r="L2931" i="1"/>
  <c r="J2931" i="1"/>
  <c r="L2930" i="1"/>
  <c r="J2930" i="1"/>
  <c r="L2929" i="1"/>
  <c r="J2929" i="1"/>
  <c r="L2928" i="1"/>
  <c r="J2928" i="1"/>
  <c r="L2927" i="1"/>
  <c r="J2927" i="1"/>
  <c r="L2926" i="1"/>
  <c r="J2926" i="1"/>
  <c r="L2925" i="1"/>
  <c r="J2925" i="1"/>
  <c r="L2924" i="1"/>
  <c r="J2924" i="1"/>
  <c r="L2923" i="1"/>
  <c r="J2923" i="1"/>
  <c r="L2922" i="1"/>
  <c r="J2922" i="1"/>
  <c r="L2921" i="1"/>
  <c r="J2921" i="1"/>
  <c r="L2920" i="1"/>
  <c r="J2920" i="1"/>
  <c r="L2919" i="1"/>
  <c r="J2919" i="1"/>
  <c r="L2918" i="1"/>
  <c r="J2918" i="1"/>
  <c r="L2917" i="1"/>
  <c r="J2917" i="1"/>
  <c r="L2916" i="1"/>
  <c r="J2916" i="1"/>
  <c r="L2915" i="1"/>
  <c r="J2915" i="1"/>
  <c r="L2914" i="1"/>
  <c r="J2914" i="1"/>
  <c r="L2913" i="1"/>
  <c r="J2913" i="1"/>
  <c r="L2912" i="1"/>
  <c r="J2912" i="1"/>
  <c r="L2911" i="1"/>
  <c r="J2911" i="1"/>
  <c r="L2910" i="1"/>
  <c r="J2910" i="1"/>
  <c r="L2909" i="1"/>
  <c r="J2909" i="1"/>
  <c r="L2908" i="1"/>
  <c r="J2908" i="1"/>
  <c r="L2907" i="1"/>
  <c r="J2907" i="1"/>
  <c r="L2906" i="1"/>
  <c r="J2906" i="1"/>
  <c r="L2905" i="1"/>
  <c r="J2905" i="1"/>
  <c r="L2904" i="1"/>
  <c r="J2904" i="1"/>
  <c r="L2903" i="1"/>
  <c r="J2903" i="1"/>
  <c r="L2902" i="1"/>
  <c r="J2902" i="1"/>
  <c r="L2901" i="1"/>
  <c r="J2901" i="1"/>
  <c r="L2900" i="1"/>
  <c r="J2900" i="1"/>
  <c r="L2899" i="1"/>
  <c r="J2899" i="1"/>
  <c r="L2898" i="1"/>
  <c r="J2898" i="1"/>
  <c r="L2897" i="1"/>
  <c r="J2897" i="1"/>
  <c r="L2896" i="1"/>
  <c r="J2896" i="1"/>
  <c r="L2895" i="1"/>
  <c r="J2895" i="1"/>
  <c r="L2894" i="1"/>
  <c r="J2894" i="1"/>
  <c r="L2893" i="1"/>
  <c r="J2893" i="1"/>
  <c r="L2892" i="1"/>
  <c r="J2892" i="1"/>
  <c r="L2891" i="1"/>
  <c r="J2891" i="1"/>
  <c r="L2890" i="1"/>
  <c r="J2890" i="1"/>
  <c r="L2889" i="1"/>
  <c r="J2889" i="1"/>
  <c r="L2888" i="1"/>
  <c r="J2888" i="1"/>
  <c r="L2887" i="1"/>
  <c r="J2887" i="1"/>
  <c r="L2886" i="1"/>
  <c r="J2886" i="1"/>
  <c r="L2885" i="1"/>
  <c r="J2885" i="1"/>
  <c r="L2884" i="1"/>
  <c r="J2884" i="1"/>
  <c r="L2883" i="1"/>
  <c r="J2883" i="1"/>
  <c r="L2882" i="1"/>
  <c r="J2882" i="1"/>
  <c r="L2881" i="1"/>
  <c r="J2881" i="1"/>
  <c r="L2880" i="1"/>
  <c r="J2880" i="1"/>
  <c r="L2879" i="1"/>
  <c r="J2879" i="1"/>
  <c r="L2878" i="1"/>
  <c r="J2878" i="1"/>
  <c r="L2877" i="1"/>
  <c r="J2877" i="1"/>
  <c r="L2876" i="1"/>
  <c r="J2876" i="1"/>
  <c r="L2875" i="1"/>
  <c r="J2875" i="1"/>
  <c r="L2874" i="1"/>
  <c r="J2874" i="1"/>
  <c r="L2873" i="1"/>
  <c r="J2873" i="1"/>
  <c r="L2872" i="1"/>
  <c r="J2872" i="1"/>
  <c r="L2871" i="1"/>
  <c r="J2871" i="1"/>
  <c r="L2870" i="1"/>
  <c r="J2870" i="1"/>
  <c r="L2869" i="1"/>
  <c r="J2869" i="1"/>
  <c r="L2868" i="1"/>
  <c r="J2868" i="1"/>
  <c r="L2867" i="1"/>
  <c r="J2867" i="1"/>
  <c r="L2866" i="1"/>
  <c r="J2866" i="1"/>
  <c r="L2865" i="1"/>
  <c r="J2865" i="1"/>
  <c r="L2864" i="1"/>
  <c r="J2864" i="1"/>
  <c r="L2863" i="1"/>
  <c r="J2863" i="1"/>
  <c r="L2862" i="1"/>
  <c r="J2862" i="1"/>
  <c r="L2861" i="1"/>
  <c r="J2861" i="1"/>
  <c r="L2860" i="1"/>
  <c r="J2860" i="1"/>
  <c r="L2859" i="1"/>
  <c r="J2859" i="1"/>
  <c r="L2858" i="1"/>
  <c r="J2858" i="1"/>
  <c r="L2857" i="1"/>
  <c r="J2857" i="1"/>
  <c r="L2856" i="1"/>
  <c r="J2856" i="1"/>
  <c r="L2855" i="1"/>
  <c r="J2855" i="1"/>
  <c r="L2854" i="1"/>
  <c r="J2854" i="1"/>
  <c r="L2853" i="1"/>
  <c r="J2853" i="1"/>
  <c r="L2852" i="1"/>
  <c r="J2852" i="1"/>
  <c r="L2851" i="1"/>
  <c r="J2851" i="1"/>
  <c r="L2850" i="1"/>
  <c r="J2850" i="1"/>
  <c r="L2849" i="1"/>
  <c r="J2849" i="1"/>
  <c r="L2848" i="1"/>
  <c r="J2848" i="1"/>
  <c r="L2847" i="1"/>
  <c r="J2847" i="1"/>
  <c r="L2846" i="1"/>
  <c r="J2846" i="1"/>
  <c r="L2845" i="1"/>
  <c r="J2845" i="1"/>
  <c r="L2844" i="1"/>
  <c r="J2844" i="1"/>
  <c r="L2843" i="1"/>
  <c r="J2843" i="1"/>
  <c r="L2842" i="1"/>
  <c r="J2842" i="1"/>
  <c r="L2841" i="1"/>
  <c r="J2841" i="1"/>
  <c r="L2840" i="1"/>
  <c r="J2840" i="1"/>
  <c r="L2839" i="1"/>
  <c r="J2839" i="1"/>
  <c r="L2838" i="1"/>
  <c r="J2838" i="1"/>
  <c r="L2837" i="1"/>
  <c r="J2837" i="1"/>
  <c r="L2836" i="1"/>
  <c r="J2836" i="1"/>
  <c r="L2835" i="1"/>
  <c r="J2835" i="1"/>
  <c r="L2834" i="1"/>
  <c r="J2834" i="1"/>
  <c r="L2833" i="1"/>
  <c r="J2833" i="1"/>
  <c r="L2832" i="1"/>
  <c r="J2832" i="1"/>
  <c r="L2831" i="1"/>
  <c r="J2831" i="1"/>
  <c r="L2830" i="1"/>
  <c r="J2830" i="1"/>
  <c r="L2829" i="1"/>
  <c r="J2829" i="1"/>
  <c r="L2828" i="1"/>
  <c r="J2828" i="1"/>
  <c r="L2827" i="1"/>
  <c r="J2827" i="1"/>
  <c r="L2826" i="1"/>
  <c r="J2826" i="1"/>
  <c r="L2825" i="1"/>
  <c r="J2825" i="1"/>
  <c r="L2824" i="1"/>
  <c r="J2824" i="1"/>
  <c r="L2823" i="1"/>
  <c r="J2823" i="1"/>
  <c r="L2822" i="1"/>
  <c r="J2822" i="1"/>
  <c r="L2821" i="1"/>
  <c r="J2821" i="1"/>
  <c r="L2820" i="1"/>
  <c r="J2820" i="1"/>
  <c r="L2819" i="1"/>
  <c r="J2819" i="1"/>
  <c r="L2818" i="1"/>
  <c r="J2818" i="1"/>
  <c r="L2817" i="1"/>
  <c r="J2817" i="1"/>
  <c r="L2816" i="1"/>
  <c r="J2816" i="1"/>
  <c r="L2815" i="1"/>
  <c r="J2815" i="1"/>
  <c r="L2814" i="1"/>
  <c r="J2814" i="1"/>
  <c r="L2813" i="1"/>
  <c r="J2813" i="1"/>
  <c r="L2812" i="1"/>
  <c r="J2812" i="1"/>
  <c r="L2811" i="1"/>
  <c r="J2811" i="1"/>
  <c r="L2810" i="1"/>
  <c r="J2810" i="1"/>
  <c r="L2809" i="1"/>
  <c r="J2809" i="1"/>
  <c r="L2808" i="1"/>
  <c r="J2808" i="1"/>
  <c r="L2807" i="1"/>
  <c r="J2807" i="1"/>
  <c r="L2806" i="1"/>
  <c r="J2806" i="1"/>
  <c r="L2805" i="1"/>
  <c r="J2805" i="1"/>
  <c r="L2804" i="1"/>
  <c r="J2804" i="1"/>
  <c r="L2803" i="1"/>
  <c r="J2803" i="1"/>
  <c r="L2802" i="1"/>
  <c r="J2802" i="1"/>
  <c r="L2801" i="1"/>
  <c r="J2801" i="1"/>
  <c r="L2800" i="1"/>
  <c r="J2800" i="1"/>
  <c r="L2799" i="1"/>
  <c r="J2799" i="1"/>
  <c r="L2798" i="1"/>
  <c r="J2798" i="1"/>
  <c r="L2797" i="1"/>
  <c r="J2797" i="1"/>
  <c r="L2796" i="1"/>
  <c r="J2796" i="1"/>
  <c r="L2795" i="1"/>
  <c r="J2795" i="1"/>
  <c r="L2794" i="1"/>
  <c r="J2794" i="1"/>
  <c r="L2793" i="1"/>
  <c r="J2793" i="1"/>
  <c r="L2792" i="1"/>
  <c r="J2792" i="1"/>
  <c r="L2791" i="1"/>
  <c r="J2791" i="1"/>
  <c r="L2790" i="1"/>
  <c r="J2790" i="1"/>
  <c r="L2789" i="1"/>
  <c r="J2789" i="1"/>
  <c r="L2788" i="1"/>
  <c r="J2788" i="1"/>
  <c r="L2787" i="1"/>
  <c r="J2787" i="1"/>
  <c r="L2786" i="1"/>
  <c r="J2786" i="1"/>
  <c r="L2785" i="1"/>
  <c r="J2785" i="1"/>
  <c r="L2784" i="1"/>
  <c r="J2784" i="1"/>
  <c r="L2783" i="1"/>
  <c r="J2783" i="1"/>
  <c r="L2782" i="1"/>
  <c r="J2782" i="1"/>
  <c r="L2781" i="1"/>
  <c r="J2781" i="1"/>
  <c r="L2780" i="1"/>
  <c r="J2780" i="1"/>
  <c r="L2779" i="1"/>
  <c r="J2779" i="1"/>
  <c r="L2778" i="1"/>
  <c r="J2778" i="1"/>
  <c r="L2777" i="1"/>
  <c r="J2777" i="1"/>
  <c r="L2776" i="1"/>
  <c r="J2776" i="1"/>
  <c r="L2775" i="1"/>
  <c r="J2775" i="1"/>
  <c r="L2774" i="1"/>
  <c r="J2774" i="1"/>
  <c r="L2773" i="1"/>
  <c r="J2773" i="1"/>
  <c r="L2772" i="1"/>
  <c r="J2772" i="1"/>
  <c r="L2771" i="1"/>
  <c r="J2771" i="1"/>
  <c r="L2770" i="1"/>
  <c r="J2770" i="1"/>
  <c r="L2769" i="1"/>
  <c r="J2769" i="1"/>
  <c r="L2768" i="1"/>
  <c r="J2768" i="1"/>
  <c r="L2767" i="1"/>
  <c r="J2767" i="1"/>
  <c r="L2766" i="1"/>
  <c r="J2766" i="1"/>
  <c r="L2765" i="1"/>
  <c r="J2765" i="1"/>
  <c r="L2764" i="1"/>
  <c r="J2764" i="1"/>
  <c r="L2763" i="1"/>
  <c r="J2763" i="1"/>
  <c r="L2762" i="1"/>
  <c r="J2762" i="1"/>
  <c r="L2761" i="1"/>
  <c r="J2761" i="1"/>
  <c r="L2760" i="1"/>
  <c r="J2760" i="1"/>
  <c r="L2759" i="1"/>
  <c r="J2759" i="1"/>
  <c r="L2758" i="1"/>
  <c r="J2758" i="1"/>
  <c r="L2757" i="1"/>
  <c r="J2757" i="1"/>
  <c r="L2756" i="1"/>
  <c r="J2756" i="1"/>
  <c r="L2755" i="1"/>
  <c r="J2755" i="1"/>
  <c r="L2754" i="1"/>
  <c r="J2754" i="1"/>
  <c r="L2753" i="1"/>
  <c r="J2753" i="1"/>
  <c r="L2752" i="1"/>
  <c r="J2752" i="1"/>
  <c r="L2751" i="1"/>
  <c r="J2751" i="1"/>
  <c r="L2750" i="1"/>
  <c r="J2750" i="1"/>
  <c r="L2749" i="1"/>
  <c r="J2749" i="1"/>
  <c r="L2748" i="1"/>
  <c r="J2748" i="1"/>
  <c r="L2747" i="1"/>
  <c r="J2747" i="1"/>
  <c r="L2746" i="1"/>
  <c r="J2746" i="1"/>
  <c r="L2745" i="1"/>
  <c r="J2745" i="1"/>
  <c r="L2744" i="1"/>
  <c r="J2744" i="1"/>
  <c r="L2743" i="1"/>
  <c r="J2743" i="1"/>
  <c r="L2742" i="1"/>
  <c r="J2742" i="1"/>
  <c r="L2741" i="1"/>
  <c r="J2741" i="1"/>
  <c r="L2740" i="1"/>
  <c r="J2740" i="1"/>
  <c r="L2739" i="1"/>
  <c r="J2739" i="1"/>
  <c r="L2738" i="1"/>
  <c r="J2738" i="1"/>
  <c r="L2737" i="1"/>
  <c r="J2737" i="1"/>
  <c r="L2736" i="1"/>
  <c r="J2736" i="1"/>
  <c r="L2735" i="1"/>
  <c r="J2735" i="1"/>
  <c r="L2734" i="1"/>
  <c r="J2734" i="1"/>
  <c r="L2733" i="1"/>
  <c r="J2733" i="1"/>
  <c r="L2732" i="1"/>
  <c r="J2732" i="1"/>
  <c r="L2731" i="1"/>
  <c r="J2731" i="1"/>
  <c r="L2730" i="1"/>
  <c r="J2730" i="1"/>
  <c r="L2729" i="1"/>
  <c r="J2729" i="1"/>
  <c r="L2728" i="1"/>
  <c r="J2728" i="1"/>
  <c r="L2727" i="1"/>
  <c r="J2727" i="1"/>
  <c r="L2726" i="1"/>
  <c r="J2726" i="1"/>
  <c r="L2725" i="1"/>
  <c r="J2725" i="1"/>
  <c r="L2724" i="1"/>
  <c r="J2724" i="1"/>
  <c r="L2723" i="1"/>
  <c r="J2723" i="1"/>
  <c r="L2722" i="1"/>
  <c r="J2722" i="1"/>
  <c r="L2721" i="1"/>
  <c r="J2721" i="1"/>
  <c r="L2720" i="1"/>
  <c r="J2720" i="1"/>
  <c r="L2719" i="1"/>
  <c r="J2719" i="1"/>
  <c r="L2718" i="1"/>
  <c r="J2718" i="1"/>
  <c r="L2717" i="1"/>
  <c r="J2717" i="1"/>
  <c r="L2716" i="1"/>
  <c r="J2716" i="1"/>
  <c r="L2715" i="1"/>
  <c r="J2715" i="1"/>
  <c r="L2714" i="1"/>
  <c r="J2714" i="1"/>
  <c r="L2713" i="1"/>
  <c r="J2713" i="1"/>
  <c r="L2712" i="1"/>
  <c r="J2712" i="1"/>
  <c r="L2711" i="1"/>
  <c r="J2711" i="1"/>
  <c r="L2710" i="1"/>
  <c r="J2710" i="1"/>
  <c r="L2709" i="1"/>
  <c r="J2709" i="1"/>
  <c r="L2708" i="1"/>
  <c r="J2708" i="1"/>
  <c r="L2707" i="1"/>
  <c r="J2707" i="1"/>
  <c r="L2706" i="1"/>
  <c r="J2706" i="1"/>
  <c r="L2705" i="1"/>
  <c r="J2705" i="1"/>
  <c r="L2704" i="1"/>
  <c r="J2704" i="1"/>
  <c r="L2703" i="1"/>
  <c r="J2703" i="1"/>
  <c r="L2702" i="1"/>
  <c r="J2702" i="1"/>
  <c r="L2701" i="1"/>
  <c r="J2701" i="1"/>
  <c r="L2700" i="1"/>
  <c r="J2700" i="1"/>
  <c r="L2699" i="1"/>
  <c r="J2699" i="1"/>
  <c r="L2698" i="1"/>
  <c r="J2698" i="1"/>
  <c r="L2697" i="1"/>
  <c r="J2697" i="1"/>
  <c r="L2696" i="1"/>
  <c r="J2696" i="1"/>
  <c r="L2695" i="1"/>
  <c r="J2695" i="1"/>
  <c r="L2694" i="1"/>
  <c r="J2694" i="1"/>
  <c r="L2693" i="1"/>
  <c r="J2693" i="1"/>
  <c r="L2692" i="1"/>
  <c r="J2692" i="1"/>
  <c r="L2691" i="1"/>
  <c r="J2691" i="1"/>
  <c r="L2690" i="1"/>
  <c r="J2690" i="1"/>
  <c r="L2689" i="1"/>
  <c r="J2689" i="1"/>
  <c r="L2688" i="1"/>
  <c r="J2688" i="1"/>
  <c r="L2687" i="1"/>
  <c r="J2687" i="1"/>
  <c r="L2686" i="1"/>
  <c r="J2686" i="1"/>
  <c r="L2685" i="1"/>
  <c r="J2685" i="1"/>
  <c r="L2684" i="1"/>
  <c r="J2684" i="1"/>
  <c r="L2683" i="1"/>
  <c r="J2683" i="1"/>
  <c r="L2682" i="1"/>
  <c r="J2682" i="1"/>
  <c r="L2681" i="1"/>
  <c r="J2681" i="1"/>
  <c r="L2680" i="1"/>
  <c r="J2680" i="1"/>
  <c r="L2679" i="1"/>
  <c r="J2679" i="1"/>
  <c r="L2678" i="1"/>
  <c r="J2678" i="1"/>
  <c r="L2677" i="1"/>
  <c r="J2677" i="1"/>
  <c r="L2676" i="1"/>
  <c r="J2676" i="1"/>
  <c r="L2675" i="1"/>
  <c r="J2675" i="1"/>
  <c r="L2674" i="1"/>
  <c r="J2674" i="1"/>
  <c r="L2673" i="1"/>
  <c r="J2673" i="1"/>
  <c r="L2672" i="1"/>
  <c r="J2672" i="1"/>
  <c r="L2671" i="1"/>
  <c r="J2671" i="1"/>
  <c r="L2670" i="1"/>
  <c r="J2670" i="1"/>
  <c r="L2669" i="1"/>
  <c r="J2669" i="1"/>
  <c r="L2668" i="1"/>
  <c r="J2668" i="1"/>
  <c r="L2667" i="1"/>
  <c r="J2667" i="1"/>
  <c r="L2666" i="1"/>
  <c r="J2666" i="1"/>
  <c r="L2665" i="1"/>
  <c r="J2665" i="1"/>
  <c r="L2664" i="1"/>
  <c r="J2664" i="1"/>
  <c r="L2663" i="1"/>
  <c r="J2663" i="1"/>
  <c r="L2662" i="1"/>
  <c r="J2662" i="1"/>
  <c r="L2661" i="1"/>
  <c r="J2661" i="1"/>
  <c r="L2660" i="1"/>
  <c r="J2660" i="1"/>
  <c r="L2659" i="1"/>
  <c r="J2659" i="1"/>
  <c r="L2658" i="1"/>
  <c r="J2658" i="1"/>
  <c r="L2657" i="1"/>
  <c r="J2657" i="1"/>
  <c r="L2656" i="1"/>
  <c r="J2656" i="1"/>
  <c r="L2655" i="1"/>
  <c r="J2655" i="1"/>
  <c r="L2654" i="1"/>
  <c r="J2654" i="1"/>
  <c r="L2653" i="1"/>
  <c r="J2653" i="1"/>
  <c r="L2652" i="1"/>
  <c r="J2652" i="1"/>
  <c r="L2651" i="1"/>
  <c r="J2651" i="1"/>
  <c r="L2650" i="1"/>
  <c r="J2650" i="1"/>
  <c r="L2649" i="1"/>
  <c r="J2649" i="1"/>
  <c r="L2648" i="1"/>
  <c r="J2648" i="1"/>
  <c r="L2647" i="1"/>
  <c r="J2647" i="1"/>
  <c r="L2646" i="1"/>
  <c r="J2646" i="1"/>
  <c r="L2645" i="1"/>
  <c r="J2645" i="1"/>
  <c r="L2644" i="1"/>
  <c r="J2644" i="1"/>
  <c r="L2643" i="1"/>
  <c r="J2643" i="1"/>
  <c r="L2642" i="1"/>
  <c r="J2642" i="1"/>
  <c r="L2641" i="1"/>
  <c r="J2641" i="1"/>
  <c r="L2640" i="1"/>
  <c r="J2640" i="1"/>
  <c r="L2639" i="1"/>
  <c r="J2639" i="1"/>
  <c r="L2638" i="1"/>
  <c r="J2638" i="1"/>
  <c r="L2637" i="1"/>
  <c r="J2637" i="1"/>
  <c r="L2636" i="1"/>
  <c r="J2636" i="1"/>
  <c r="L2635" i="1"/>
  <c r="J2635" i="1"/>
  <c r="L2634" i="1"/>
  <c r="J2634" i="1"/>
  <c r="L2633" i="1"/>
  <c r="J2633" i="1"/>
  <c r="L2632" i="1"/>
  <c r="J2632" i="1"/>
  <c r="L2631" i="1"/>
  <c r="J2631" i="1"/>
  <c r="L2630" i="1"/>
  <c r="J2630" i="1"/>
  <c r="L2629" i="1"/>
  <c r="J2629" i="1"/>
  <c r="L2628" i="1"/>
  <c r="J2628" i="1"/>
  <c r="L2627" i="1"/>
  <c r="J2627" i="1"/>
  <c r="L2626" i="1"/>
  <c r="J2626" i="1"/>
  <c r="L2625" i="1"/>
  <c r="J2625" i="1"/>
  <c r="L2624" i="1"/>
  <c r="J2624" i="1"/>
  <c r="L2623" i="1"/>
  <c r="J2623" i="1"/>
  <c r="L2622" i="1"/>
  <c r="J2622" i="1"/>
  <c r="L2621" i="1"/>
  <c r="J2621" i="1"/>
  <c r="L2620" i="1"/>
  <c r="J2620" i="1"/>
  <c r="L2619" i="1"/>
  <c r="J2619" i="1"/>
  <c r="L2618" i="1"/>
  <c r="J2618" i="1"/>
  <c r="L2617" i="1"/>
  <c r="J2617" i="1"/>
  <c r="L2616" i="1"/>
  <c r="J2616" i="1"/>
  <c r="L2615" i="1"/>
  <c r="J2615" i="1"/>
  <c r="L2614" i="1"/>
  <c r="J2614" i="1"/>
  <c r="L2613" i="1"/>
  <c r="J2613" i="1"/>
  <c r="L2612" i="1"/>
  <c r="J2612" i="1"/>
  <c r="L2611" i="1"/>
  <c r="J2611" i="1"/>
  <c r="L2610" i="1"/>
  <c r="J2610" i="1"/>
  <c r="L2609" i="1"/>
  <c r="J2609" i="1"/>
  <c r="L2608" i="1"/>
  <c r="J2608" i="1"/>
  <c r="L2607" i="1"/>
  <c r="J2607" i="1"/>
  <c r="L2606" i="1"/>
  <c r="J2606" i="1"/>
  <c r="L2605" i="1"/>
  <c r="J2605" i="1"/>
  <c r="L2604" i="1"/>
  <c r="J2604" i="1"/>
  <c r="L2603" i="1"/>
  <c r="J2603" i="1"/>
  <c r="L2602" i="1"/>
  <c r="J2602" i="1"/>
  <c r="L2601" i="1"/>
  <c r="J2601" i="1"/>
  <c r="L2600" i="1"/>
  <c r="J2600" i="1"/>
  <c r="L2599" i="1"/>
  <c r="J2599" i="1"/>
  <c r="L2598" i="1"/>
  <c r="J2598" i="1"/>
  <c r="L2597" i="1"/>
  <c r="J2597" i="1"/>
  <c r="L2596" i="1"/>
  <c r="J2596" i="1"/>
  <c r="L2595" i="1"/>
  <c r="J2595" i="1"/>
  <c r="L2594" i="1"/>
  <c r="J2594" i="1"/>
  <c r="L2593" i="1"/>
  <c r="J2593" i="1"/>
  <c r="L2592" i="1"/>
  <c r="J2592" i="1"/>
  <c r="L2591" i="1"/>
  <c r="J2591" i="1"/>
  <c r="L2590" i="1"/>
  <c r="J2590" i="1"/>
  <c r="L2589" i="1"/>
  <c r="J2589" i="1"/>
  <c r="L2588" i="1"/>
  <c r="J2588" i="1"/>
  <c r="L2587" i="1"/>
  <c r="J2587" i="1"/>
  <c r="L2586" i="1"/>
  <c r="J2586" i="1"/>
  <c r="L2585" i="1"/>
  <c r="J2585" i="1"/>
  <c r="L2584" i="1"/>
  <c r="J2584" i="1"/>
  <c r="L2583" i="1"/>
  <c r="J2583" i="1"/>
  <c r="L2582" i="1"/>
  <c r="J2582" i="1"/>
  <c r="L2581" i="1"/>
  <c r="J2581" i="1"/>
  <c r="L2580" i="1"/>
  <c r="J2580" i="1"/>
  <c r="L2579" i="1"/>
  <c r="J2579" i="1"/>
  <c r="L2578" i="1"/>
  <c r="J2578" i="1"/>
  <c r="L2577" i="1"/>
  <c r="J2577" i="1"/>
  <c r="L2576" i="1"/>
  <c r="J2576" i="1"/>
  <c r="L2575" i="1"/>
  <c r="J2575" i="1"/>
  <c r="L2574" i="1"/>
  <c r="J2574" i="1"/>
  <c r="L2573" i="1"/>
  <c r="J2573" i="1"/>
  <c r="L2572" i="1"/>
  <c r="J2572" i="1"/>
  <c r="L2571" i="1"/>
  <c r="J2571" i="1"/>
  <c r="L2570" i="1"/>
  <c r="J2570" i="1"/>
  <c r="L2569" i="1"/>
  <c r="J2569" i="1"/>
  <c r="L2568" i="1"/>
  <c r="J2568" i="1"/>
  <c r="L2567" i="1"/>
  <c r="J2567" i="1"/>
  <c r="L2566" i="1"/>
  <c r="J2566" i="1"/>
  <c r="L2565" i="1"/>
  <c r="J2565" i="1"/>
  <c r="L2564" i="1"/>
  <c r="J2564" i="1"/>
  <c r="L2563" i="1"/>
  <c r="J2563" i="1"/>
  <c r="L2562" i="1"/>
  <c r="J2562" i="1"/>
  <c r="L2561" i="1"/>
  <c r="J2561" i="1"/>
  <c r="L2560" i="1"/>
  <c r="J2560" i="1"/>
  <c r="L2559" i="1"/>
  <c r="J2559" i="1"/>
  <c r="L2558" i="1"/>
  <c r="J2558" i="1"/>
  <c r="L2557" i="1"/>
  <c r="J2557" i="1"/>
  <c r="L2556" i="1"/>
  <c r="J2556" i="1"/>
  <c r="L2555" i="1"/>
  <c r="J2555" i="1"/>
  <c r="L2554" i="1"/>
  <c r="J2554" i="1"/>
  <c r="L2553" i="1"/>
  <c r="J2553" i="1"/>
  <c r="L2552" i="1"/>
  <c r="J2552" i="1"/>
  <c r="L2551" i="1"/>
  <c r="J2551" i="1"/>
  <c r="L2550" i="1"/>
  <c r="J2550" i="1"/>
  <c r="L2549" i="1"/>
  <c r="J2549" i="1"/>
  <c r="L2548" i="1"/>
  <c r="J2548" i="1"/>
  <c r="L2547" i="1"/>
  <c r="J2547" i="1"/>
  <c r="L2546" i="1"/>
  <c r="J2546" i="1"/>
  <c r="L2545" i="1"/>
  <c r="J2545" i="1"/>
  <c r="L2544" i="1"/>
  <c r="J2544" i="1"/>
  <c r="L2543" i="1"/>
  <c r="J2543" i="1"/>
  <c r="L2542" i="1"/>
  <c r="J2542" i="1"/>
  <c r="L2541" i="1"/>
  <c r="J2541" i="1"/>
  <c r="L2540" i="1"/>
  <c r="J2540" i="1"/>
  <c r="L2539" i="1"/>
  <c r="J2539" i="1"/>
  <c r="L2538" i="1"/>
  <c r="J2538" i="1"/>
  <c r="L2537" i="1"/>
  <c r="J2537" i="1"/>
  <c r="L2536" i="1"/>
  <c r="J2536" i="1"/>
  <c r="L2535" i="1"/>
  <c r="J2535" i="1"/>
  <c r="L2534" i="1"/>
  <c r="J2534" i="1"/>
  <c r="L2533" i="1"/>
  <c r="J2533" i="1"/>
  <c r="L2532" i="1"/>
  <c r="J2532" i="1"/>
  <c r="L2531" i="1"/>
  <c r="J2531" i="1"/>
  <c r="L2530" i="1"/>
  <c r="J2530" i="1"/>
  <c r="L2529" i="1"/>
  <c r="J2529" i="1"/>
  <c r="L2528" i="1"/>
  <c r="J2528" i="1"/>
  <c r="L2527" i="1"/>
  <c r="J2527" i="1"/>
  <c r="L2526" i="1"/>
  <c r="J2526" i="1"/>
  <c r="L2525" i="1"/>
  <c r="J2525" i="1"/>
  <c r="L2524" i="1"/>
  <c r="J2524" i="1"/>
  <c r="L2523" i="1"/>
  <c r="J2523" i="1"/>
  <c r="L2522" i="1"/>
  <c r="J2522" i="1"/>
  <c r="L2521" i="1"/>
  <c r="J2521" i="1"/>
  <c r="L2520" i="1"/>
  <c r="J2520" i="1"/>
  <c r="L2519" i="1"/>
  <c r="J2519" i="1"/>
  <c r="L2518" i="1"/>
  <c r="J2518" i="1"/>
  <c r="L2517" i="1"/>
  <c r="J2517" i="1"/>
  <c r="L2516" i="1"/>
  <c r="J2516" i="1"/>
  <c r="L2515" i="1"/>
  <c r="J2515" i="1"/>
  <c r="L2514" i="1"/>
  <c r="J2514" i="1"/>
  <c r="L2513" i="1"/>
  <c r="J2513" i="1"/>
  <c r="L2512" i="1"/>
  <c r="J2512" i="1"/>
  <c r="L2511" i="1"/>
  <c r="J2511" i="1"/>
  <c r="L2510" i="1"/>
  <c r="J2510" i="1"/>
  <c r="L2509" i="1"/>
  <c r="J2509" i="1"/>
  <c r="L2508" i="1"/>
  <c r="J2508" i="1"/>
  <c r="L2507" i="1"/>
  <c r="J2507" i="1"/>
  <c r="L2506" i="1"/>
  <c r="J2506" i="1"/>
  <c r="L2505" i="1"/>
  <c r="J2505" i="1"/>
  <c r="L2504" i="1"/>
  <c r="J2504" i="1"/>
  <c r="L2503" i="1"/>
  <c r="J2503" i="1"/>
  <c r="L2502" i="1"/>
  <c r="J2502" i="1"/>
  <c r="L2501" i="1"/>
  <c r="J2501" i="1"/>
  <c r="L2500" i="1"/>
  <c r="J2500" i="1"/>
  <c r="L2499" i="1"/>
  <c r="J2499" i="1"/>
  <c r="L2498" i="1"/>
  <c r="J2498" i="1"/>
  <c r="L2497" i="1"/>
  <c r="J2497" i="1"/>
  <c r="L2496" i="1"/>
  <c r="J2496" i="1"/>
  <c r="L2495" i="1"/>
  <c r="J2495" i="1"/>
  <c r="L2494" i="1"/>
  <c r="J2494" i="1"/>
  <c r="L2493" i="1"/>
  <c r="J2493" i="1"/>
  <c r="L2492" i="1"/>
  <c r="J2492" i="1"/>
  <c r="L2491" i="1"/>
  <c r="J2491" i="1"/>
  <c r="L2490" i="1"/>
  <c r="J2490" i="1"/>
  <c r="L2489" i="1"/>
  <c r="J2489" i="1"/>
  <c r="L2488" i="1"/>
  <c r="J2488" i="1"/>
  <c r="L2487" i="1"/>
  <c r="J2487" i="1"/>
  <c r="L2486" i="1"/>
  <c r="J2486" i="1"/>
  <c r="L2485" i="1"/>
  <c r="J2485" i="1"/>
  <c r="L2484" i="1"/>
  <c r="J2484" i="1"/>
  <c r="L2483" i="1"/>
  <c r="J2483" i="1"/>
  <c r="L2482" i="1"/>
  <c r="J2482" i="1"/>
  <c r="L2481" i="1"/>
  <c r="J2481" i="1"/>
  <c r="L2480" i="1"/>
  <c r="J2480" i="1"/>
  <c r="L2479" i="1"/>
  <c r="J2479" i="1"/>
  <c r="L2478" i="1"/>
  <c r="J2478" i="1"/>
  <c r="L2477" i="1"/>
  <c r="J2477" i="1"/>
  <c r="L2476" i="1"/>
  <c r="J2476" i="1"/>
  <c r="L2475" i="1"/>
  <c r="J2475" i="1"/>
  <c r="L2474" i="1"/>
  <c r="J2474" i="1"/>
  <c r="L2473" i="1"/>
  <c r="J2473" i="1"/>
  <c r="L2472" i="1"/>
  <c r="J2472" i="1"/>
  <c r="L2471" i="1"/>
  <c r="J2471" i="1"/>
  <c r="L2470" i="1"/>
  <c r="J2470" i="1"/>
  <c r="L2469" i="1"/>
  <c r="J2469" i="1"/>
  <c r="L2468" i="1"/>
  <c r="J2468" i="1"/>
  <c r="L2467" i="1"/>
  <c r="J2467" i="1"/>
  <c r="L2466" i="1"/>
  <c r="J2466" i="1"/>
  <c r="L2465" i="1"/>
  <c r="J2465" i="1"/>
  <c r="L2464" i="1"/>
  <c r="J2464" i="1"/>
  <c r="L2463" i="1"/>
  <c r="J2463" i="1"/>
  <c r="L2462" i="1"/>
  <c r="J2462" i="1"/>
  <c r="L2461" i="1"/>
  <c r="J2461" i="1"/>
  <c r="L2460" i="1"/>
  <c r="J2460" i="1"/>
  <c r="L2459" i="1"/>
  <c r="J2459" i="1"/>
  <c r="L2458" i="1"/>
  <c r="J2458" i="1"/>
  <c r="L2457" i="1"/>
  <c r="J2457" i="1"/>
  <c r="L2456" i="1"/>
  <c r="J2456" i="1"/>
  <c r="L2455" i="1"/>
  <c r="J2455" i="1"/>
  <c r="L2454" i="1"/>
  <c r="J2454" i="1"/>
  <c r="L2453" i="1"/>
  <c r="J2453" i="1"/>
  <c r="L2452" i="1"/>
  <c r="J2452" i="1"/>
  <c r="L2451" i="1"/>
  <c r="J2451" i="1"/>
  <c r="L2450" i="1"/>
  <c r="J2450" i="1"/>
  <c r="L2449" i="1"/>
  <c r="J2449" i="1"/>
  <c r="L2448" i="1"/>
  <c r="J2448" i="1"/>
  <c r="L2447" i="1"/>
  <c r="J2447" i="1"/>
  <c r="L2446" i="1"/>
  <c r="J2446" i="1"/>
  <c r="L2445" i="1"/>
  <c r="J2445" i="1"/>
  <c r="L2444" i="1"/>
  <c r="J2444" i="1"/>
  <c r="L2443" i="1"/>
  <c r="J2443" i="1"/>
  <c r="L2442" i="1"/>
  <c r="J2442" i="1"/>
  <c r="L2441" i="1"/>
  <c r="J2441" i="1"/>
  <c r="L2440" i="1"/>
  <c r="J2440" i="1"/>
  <c r="L2439" i="1"/>
  <c r="J2439" i="1"/>
  <c r="L2438" i="1"/>
  <c r="J2438" i="1"/>
  <c r="L2437" i="1"/>
  <c r="J2437" i="1"/>
  <c r="L2436" i="1"/>
  <c r="J2436" i="1"/>
  <c r="L2435" i="1"/>
  <c r="J2435" i="1"/>
  <c r="L2434" i="1"/>
  <c r="J2434" i="1"/>
  <c r="L2433" i="1"/>
  <c r="J2433" i="1"/>
  <c r="L2432" i="1"/>
  <c r="J2432" i="1"/>
  <c r="L2431" i="1"/>
  <c r="J2431" i="1"/>
  <c r="L2430" i="1"/>
  <c r="J2430" i="1"/>
  <c r="L2429" i="1"/>
  <c r="J2429" i="1"/>
  <c r="L2428" i="1"/>
  <c r="J2428" i="1"/>
  <c r="L2427" i="1"/>
  <c r="J2427" i="1"/>
  <c r="L2426" i="1"/>
  <c r="J2426" i="1"/>
  <c r="L2425" i="1"/>
  <c r="J2425" i="1"/>
  <c r="L2424" i="1"/>
  <c r="J2424" i="1"/>
  <c r="L2423" i="1"/>
  <c r="J2423" i="1"/>
  <c r="L2422" i="1"/>
  <c r="J2422" i="1"/>
  <c r="L2421" i="1"/>
  <c r="J2421" i="1"/>
  <c r="L2420" i="1"/>
  <c r="J2420" i="1"/>
  <c r="L2419" i="1"/>
  <c r="J2419" i="1"/>
  <c r="L2418" i="1"/>
  <c r="J2418" i="1"/>
  <c r="L2417" i="1"/>
  <c r="J2417" i="1"/>
  <c r="L2416" i="1"/>
  <c r="J2416" i="1"/>
  <c r="L2415" i="1"/>
  <c r="J2415" i="1"/>
  <c r="L2414" i="1"/>
  <c r="J2414" i="1"/>
  <c r="L2413" i="1"/>
  <c r="J2413" i="1"/>
  <c r="L2412" i="1"/>
  <c r="J2412" i="1"/>
  <c r="L2411" i="1"/>
  <c r="J2411" i="1"/>
  <c r="L2410" i="1"/>
  <c r="J2410" i="1"/>
  <c r="L2409" i="1"/>
  <c r="J2409" i="1"/>
  <c r="L2408" i="1"/>
  <c r="J2408" i="1"/>
  <c r="L2407" i="1"/>
  <c r="J2407" i="1"/>
  <c r="L2406" i="1"/>
  <c r="J2406" i="1"/>
  <c r="L2405" i="1"/>
  <c r="J2405" i="1"/>
  <c r="L2404" i="1"/>
  <c r="J2404" i="1"/>
  <c r="L2403" i="1"/>
  <c r="J2403" i="1"/>
  <c r="L2402" i="1"/>
  <c r="J2402" i="1"/>
  <c r="L2401" i="1"/>
  <c r="J2401" i="1"/>
  <c r="L2400" i="1"/>
  <c r="J2400" i="1"/>
  <c r="L2399" i="1"/>
  <c r="J2399" i="1"/>
  <c r="L2398" i="1"/>
  <c r="J2398" i="1"/>
  <c r="L2397" i="1"/>
  <c r="J2397" i="1"/>
  <c r="L2396" i="1"/>
  <c r="J2396" i="1"/>
  <c r="L2395" i="1"/>
  <c r="J2395" i="1"/>
  <c r="L2394" i="1"/>
  <c r="J2394" i="1"/>
  <c r="L2393" i="1"/>
  <c r="J2393" i="1"/>
  <c r="L2392" i="1"/>
  <c r="J2392" i="1"/>
  <c r="L2391" i="1"/>
  <c r="J2391" i="1"/>
  <c r="L2390" i="1"/>
  <c r="J2390" i="1"/>
  <c r="L2389" i="1"/>
  <c r="J2389" i="1"/>
  <c r="L2388" i="1"/>
  <c r="J2388" i="1"/>
  <c r="L2387" i="1"/>
  <c r="J2387" i="1"/>
  <c r="L2386" i="1"/>
  <c r="J2386" i="1"/>
  <c r="L2385" i="1"/>
  <c r="J2385" i="1"/>
  <c r="L2384" i="1"/>
  <c r="J2384" i="1"/>
  <c r="L2383" i="1"/>
  <c r="J2383" i="1"/>
  <c r="L2382" i="1"/>
  <c r="J2382" i="1"/>
  <c r="L2381" i="1"/>
  <c r="J2381" i="1"/>
  <c r="L2380" i="1"/>
  <c r="J2380" i="1"/>
  <c r="L2379" i="1"/>
  <c r="J2379" i="1"/>
  <c r="L2378" i="1"/>
  <c r="J2378" i="1"/>
  <c r="L2377" i="1"/>
  <c r="J2377" i="1"/>
  <c r="L2376" i="1"/>
  <c r="J2376" i="1"/>
  <c r="L2375" i="1"/>
  <c r="J2375" i="1"/>
  <c r="L2374" i="1"/>
  <c r="J2374" i="1"/>
  <c r="L2373" i="1"/>
  <c r="J2373" i="1"/>
  <c r="L2372" i="1"/>
  <c r="J2372" i="1"/>
  <c r="L2371" i="1"/>
  <c r="J2371" i="1"/>
  <c r="L2370" i="1"/>
  <c r="J2370" i="1"/>
  <c r="L2369" i="1"/>
  <c r="J2369" i="1"/>
  <c r="L2368" i="1"/>
  <c r="J2368" i="1"/>
  <c r="L2367" i="1"/>
  <c r="J2367" i="1"/>
  <c r="L2366" i="1"/>
  <c r="J2366" i="1"/>
  <c r="L2365" i="1"/>
  <c r="J2365" i="1"/>
  <c r="L2364" i="1"/>
  <c r="J2364" i="1"/>
  <c r="L2363" i="1"/>
  <c r="J2363" i="1"/>
  <c r="L2362" i="1"/>
  <c r="J2362" i="1"/>
  <c r="L2361" i="1"/>
  <c r="J2361" i="1"/>
  <c r="L2360" i="1"/>
  <c r="J2360" i="1"/>
  <c r="L2359" i="1"/>
  <c r="J2359" i="1"/>
  <c r="L2358" i="1"/>
  <c r="J2358" i="1"/>
  <c r="L2357" i="1"/>
  <c r="J2357" i="1"/>
  <c r="L2356" i="1"/>
  <c r="J2356" i="1"/>
  <c r="L2355" i="1"/>
  <c r="J2355" i="1"/>
  <c r="L2354" i="1"/>
  <c r="J2354" i="1"/>
  <c r="L2353" i="1"/>
  <c r="J2353" i="1"/>
  <c r="L2352" i="1"/>
  <c r="J2352" i="1"/>
  <c r="L2351" i="1"/>
  <c r="J2351" i="1"/>
  <c r="L2350" i="1"/>
  <c r="J2350" i="1"/>
  <c r="L2349" i="1"/>
  <c r="J2349" i="1"/>
  <c r="L2348" i="1"/>
  <c r="J2348" i="1"/>
  <c r="L2347" i="1"/>
  <c r="J2347" i="1"/>
  <c r="L2346" i="1"/>
  <c r="J2346" i="1"/>
  <c r="L2345" i="1"/>
  <c r="J2345" i="1"/>
  <c r="L2344" i="1"/>
  <c r="J2344" i="1"/>
  <c r="L2343" i="1"/>
  <c r="J2343" i="1"/>
  <c r="L2342" i="1"/>
  <c r="J2342" i="1"/>
  <c r="L2341" i="1"/>
  <c r="J2341" i="1"/>
  <c r="L2340" i="1"/>
  <c r="J2340" i="1"/>
  <c r="L2339" i="1"/>
  <c r="J2339" i="1"/>
  <c r="L2338" i="1"/>
  <c r="J2338" i="1"/>
  <c r="L2337" i="1"/>
  <c r="J2337" i="1"/>
  <c r="L2336" i="1"/>
  <c r="J2336" i="1"/>
  <c r="L2335" i="1"/>
  <c r="J2335" i="1"/>
  <c r="L2334" i="1"/>
  <c r="J2334" i="1"/>
  <c r="L2333" i="1"/>
  <c r="J2333" i="1"/>
  <c r="L2332" i="1"/>
  <c r="J2332" i="1"/>
  <c r="L2331" i="1"/>
  <c r="J2331" i="1"/>
  <c r="L2330" i="1"/>
  <c r="J2330" i="1"/>
  <c r="L2329" i="1"/>
  <c r="J2329" i="1"/>
  <c r="L2328" i="1"/>
  <c r="J2328" i="1"/>
  <c r="L2327" i="1"/>
  <c r="J2327" i="1"/>
  <c r="L2326" i="1"/>
  <c r="J2326" i="1"/>
  <c r="L2325" i="1"/>
  <c r="J2325" i="1"/>
  <c r="L2324" i="1"/>
  <c r="J2324" i="1"/>
  <c r="L2323" i="1"/>
  <c r="J2323" i="1"/>
  <c r="L2322" i="1"/>
  <c r="J2322" i="1"/>
  <c r="L2321" i="1"/>
  <c r="J2321" i="1"/>
  <c r="L2320" i="1"/>
  <c r="J2320" i="1"/>
  <c r="L2319" i="1"/>
  <c r="J2319" i="1"/>
  <c r="L2318" i="1"/>
  <c r="J2318" i="1"/>
  <c r="L2317" i="1"/>
  <c r="J2317" i="1"/>
  <c r="L2316" i="1"/>
  <c r="J2316" i="1"/>
  <c r="L2315" i="1"/>
  <c r="J2315" i="1"/>
  <c r="L2314" i="1"/>
  <c r="J2314" i="1"/>
  <c r="L2313" i="1"/>
  <c r="J2313" i="1"/>
  <c r="L2312" i="1"/>
  <c r="J2312" i="1"/>
  <c r="L2311" i="1"/>
  <c r="J2311" i="1"/>
  <c r="L2310" i="1"/>
  <c r="J2310" i="1"/>
  <c r="L2309" i="1"/>
  <c r="J2309" i="1"/>
  <c r="L2308" i="1"/>
  <c r="J2308" i="1"/>
  <c r="L2307" i="1"/>
  <c r="J2307" i="1"/>
  <c r="L2306" i="1"/>
  <c r="J2306" i="1"/>
  <c r="L2305" i="1"/>
  <c r="J2305" i="1"/>
  <c r="L2304" i="1"/>
  <c r="J2304" i="1"/>
  <c r="L2303" i="1"/>
  <c r="J2303" i="1"/>
  <c r="L2302" i="1"/>
  <c r="J2302" i="1"/>
  <c r="L2301" i="1"/>
  <c r="J2301" i="1"/>
  <c r="L2300" i="1"/>
  <c r="J2300" i="1"/>
  <c r="L2299" i="1"/>
  <c r="J2299" i="1"/>
  <c r="L2298" i="1"/>
  <c r="J2298" i="1"/>
  <c r="L2297" i="1"/>
  <c r="J2297" i="1"/>
  <c r="L2296" i="1"/>
  <c r="J2296" i="1"/>
  <c r="L2295" i="1"/>
  <c r="J2295" i="1"/>
  <c r="L2294" i="1"/>
  <c r="J2294" i="1"/>
  <c r="L2293" i="1"/>
  <c r="J2293" i="1"/>
  <c r="L2292" i="1"/>
  <c r="J2292" i="1"/>
  <c r="L2291" i="1"/>
  <c r="J2291" i="1"/>
  <c r="L2290" i="1"/>
  <c r="J2290" i="1"/>
  <c r="L2289" i="1"/>
  <c r="J2289" i="1"/>
  <c r="L2288" i="1"/>
  <c r="J2288" i="1"/>
  <c r="L2287" i="1"/>
  <c r="J2287" i="1"/>
  <c r="L2286" i="1"/>
  <c r="J2286" i="1"/>
  <c r="L2285" i="1"/>
  <c r="J2285" i="1"/>
  <c r="L2284" i="1"/>
  <c r="J2284" i="1"/>
  <c r="L2283" i="1"/>
  <c r="J2283" i="1"/>
  <c r="L2282" i="1"/>
  <c r="J2282" i="1"/>
  <c r="L2281" i="1"/>
  <c r="J2281" i="1"/>
  <c r="L2280" i="1"/>
  <c r="J2280" i="1"/>
  <c r="L2279" i="1"/>
  <c r="J2279" i="1"/>
  <c r="L2278" i="1"/>
  <c r="J2278" i="1"/>
  <c r="L2277" i="1"/>
  <c r="J2277" i="1"/>
  <c r="L2276" i="1"/>
  <c r="J2276" i="1"/>
  <c r="L2275" i="1"/>
  <c r="J2275" i="1"/>
  <c r="L2274" i="1"/>
  <c r="J2274" i="1"/>
  <c r="L2273" i="1"/>
  <c r="J2273" i="1"/>
  <c r="L2272" i="1"/>
  <c r="J2272" i="1"/>
  <c r="L2271" i="1"/>
  <c r="J2271" i="1"/>
  <c r="L2270" i="1"/>
  <c r="J2270" i="1"/>
  <c r="L2269" i="1"/>
  <c r="J2269" i="1"/>
  <c r="L2268" i="1"/>
  <c r="J2268" i="1"/>
  <c r="L2267" i="1"/>
  <c r="J2267" i="1"/>
  <c r="L2266" i="1"/>
  <c r="J2266" i="1"/>
  <c r="L2265" i="1"/>
  <c r="J2265" i="1"/>
  <c r="L2264" i="1"/>
  <c r="J2264" i="1"/>
  <c r="L2263" i="1"/>
  <c r="J2263" i="1"/>
  <c r="L2262" i="1"/>
  <c r="J2262" i="1"/>
  <c r="L2261" i="1"/>
  <c r="J2261" i="1"/>
  <c r="L2260" i="1"/>
  <c r="J2260" i="1"/>
  <c r="L2259" i="1"/>
  <c r="J2259" i="1"/>
  <c r="L2258" i="1"/>
  <c r="J2258" i="1"/>
  <c r="L2257" i="1"/>
  <c r="J2257" i="1"/>
  <c r="L2256" i="1"/>
  <c r="J2256" i="1"/>
  <c r="L2255" i="1"/>
  <c r="J2255" i="1"/>
  <c r="L2254" i="1"/>
  <c r="J2254" i="1"/>
  <c r="L2253" i="1"/>
  <c r="J2253" i="1"/>
  <c r="L2252" i="1"/>
  <c r="J2252" i="1"/>
  <c r="L2251" i="1"/>
  <c r="J2251" i="1"/>
  <c r="L2250" i="1"/>
  <c r="J2250" i="1"/>
  <c r="L2249" i="1"/>
  <c r="J2249" i="1"/>
  <c r="L2248" i="1"/>
  <c r="J2248" i="1"/>
  <c r="L2247" i="1"/>
  <c r="J2247" i="1"/>
  <c r="L2246" i="1"/>
  <c r="J2246" i="1"/>
  <c r="L2245" i="1"/>
  <c r="J2245" i="1"/>
  <c r="L2244" i="1"/>
  <c r="J2244" i="1"/>
  <c r="L2243" i="1"/>
  <c r="J2243" i="1"/>
  <c r="L2242" i="1"/>
  <c r="J2242" i="1"/>
  <c r="L2241" i="1"/>
  <c r="J2241" i="1"/>
  <c r="L2240" i="1"/>
  <c r="J2240" i="1"/>
  <c r="L2239" i="1"/>
  <c r="J2239" i="1"/>
  <c r="L2238" i="1"/>
  <c r="J2238" i="1"/>
  <c r="L2237" i="1"/>
  <c r="J2237" i="1"/>
  <c r="L2236" i="1"/>
  <c r="J2236" i="1"/>
  <c r="L2235" i="1"/>
  <c r="J2235" i="1"/>
  <c r="L2234" i="1"/>
  <c r="J2234" i="1"/>
  <c r="L2233" i="1"/>
  <c r="J2233" i="1"/>
  <c r="L2232" i="1"/>
  <c r="J2232" i="1"/>
  <c r="L2231" i="1"/>
  <c r="J2231" i="1"/>
  <c r="L2230" i="1"/>
  <c r="J2230" i="1"/>
  <c r="L2229" i="1"/>
  <c r="J2229" i="1"/>
  <c r="L2228" i="1"/>
  <c r="J2228" i="1"/>
  <c r="L2227" i="1"/>
  <c r="J2227" i="1"/>
  <c r="L2226" i="1"/>
  <c r="J2226" i="1"/>
  <c r="L2225" i="1"/>
  <c r="J2225" i="1"/>
  <c r="L2224" i="1"/>
  <c r="J2224" i="1"/>
  <c r="L2223" i="1"/>
  <c r="J2223" i="1"/>
  <c r="L2222" i="1"/>
  <c r="J2222" i="1"/>
  <c r="L2221" i="1"/>
  <c r="J2221" i="1"/>
  <c r="L2220" i="1"/>
  <c r="J2220" i="1"/>
  <c r="L2219" i="1"/>
  <c r="J2219" i="1"/>
  <c r="L2218" i="1"/>
  <c r="J2218" i="1"/>
  <c r="L2217" i="1"/>
  <c r="J2217" i="1"/>
  <c r="L2216" i="1"/>
  <c r="J2216" i="1"/>
  <c r="L2215" i="1"/>
  <c r="J2215" i="1"/>
  <c r="L2214" i="1"/>
  <c r="J2214" i="1"/>
  <c r="L2213" i="1"/>
  <c r="J2213" i="1"/>
  <c r="L2212" i="1"/>
  <c r="J2212" i="1"/>
  <c r="L2211" i="1"/>
  <c r="J2211" i="1"/>
  <c r="L2210" i="1"/>
  <c r="J2210" i="1"/>
  <c r="L2209" i="1"/>
  <c r="J2209" i="1"/>
  <c r="L2208" i="1"/>
  <c r="J2208" i="1"/>
  <c r="L2207" i="1"/>
  <c r="J2207" i="1"/>
  <c r="L2206" i="1"/>
  <c r="J2206" i="1"/>
  <c r="L2205" i="1"/>
  <c r="J2205" i="1"/>
  <c r="L2204" i="1"/>
  <c r="J2204" i="1"/>
  <c r="L2203" i="1"/>
  <c r="J2203" i="1"/>
  <c r="L2202" i="1"/>
  <c r="J2202" i="1"/>
  <c r="L2201" i="1"/>
  <c r="J2201" i="1"/>
  <c r="L2200" i="1"/>
  <c r="J2200" i="1"/>
  <c r="L2199" i="1"/>
  <c r="J2199" i="1"/>
  <c r="L2198" i="1"/>
  <c r="J2198" i="1"/>
  <c r="L2197" i="1"/>
  <c r="J2197" i="1"/>
  <c r="L2196" i="1"/>
  <c r="J2196" i="1"/>
  <c r="L2195" i="1"/>
  <c r="J2195" i="1"/>
  <c r="L2194" i="1"/>
  <c r="J2194" i="1"/>
  <c r="L2193" i="1"/>
  <c r="J2193" i="1"/>
  <c r="L2192" i="1"/>
  <c r="J2192" i="1"/>
  <c r="L2191" i="1"/>
  <c r="J2191" i="1"/>
  <c r="L2190" i="1"/>
  <c r="J2190" i="1"/>
  <c r="L2189" i="1"/>
  <c r="J2189" i="1"/>
  <c r="L2188" i="1"/>
  <c r="J2188" i="1"/>
  <c r="L2187" i="1"/>
  <c r="J2187" i="1"/>
  <c r="L2186" i="1"/>
  <c r="J2186" i="1"/>
  <c r="L2185" i="1"/>
  <c r="J2185" i="1"/>
  <c r="L2184" i="1"/>
  <c r="J2184" i="1"/>
  <c r="L2183" i="1"/>
  <c r="J2183" i="1"/>
  <c r="L2182" i="1"/>
  <c r="J2182" i="1"/>
  <c r="L2181" i="1"/>
  <c r="J2181" i="1"/>
  <c r="L2180" i="1"/>
  <c r="J2180" i="1"/>
  <c r="L2179" i="1"/>
  <c r="J2179" i="1"/>
  <c r="L2178" i="1"/>
  <c r="J2178" i="1"/>
  <c r="L2177" i="1"/>
  <c r="J2177" i="1"/>
  <c r="L2176" i="1"/>
  <c r="J2176" i="1"/>
  <c r="L2175" i="1"/>
  <c r="J2175" i="1"/>
  <c r="L2174" i="1"/>
  <c r="J2174" i="1"/>
  <c r="L2173" i="1"/>
  <c r="J2173" i="1"/>
  <c r="L2172" i="1"/>
  <c r="J2172" i="1"/>
  <c r="L2171" i="1"/>
  <c r="J2171" i="1"/>
  <c r="L2170" i="1"/>
  <c r="J2170" i="1"/>
  <c r="L2169" i="1"/>
  <c r="J2169" i="1"/>
  <c r="L2168" i="1"/>
  <c r="J2168" i="1"/>
  <c r="L2167" i="1"/>
  <c r="J2167" i="1"/>
  <c r="L2166" i="1"/>
  <c r="J2166" i="1"/>
  <c r="L2165" i="1"/>
  <c r="J2165" i="1"/>
  <c r="L2164" i="1"/>
  <c r="J2164" i="1"/>
  <c r="L2163" i="1"/>
  <c r="J2163" i="1"/>
  <c r="L2162" i="1"/>
  <c r="J2162" i="1"/>
  <c r="L2161" i="1"/>
  <c r="J2161" i="1"/>
  <c r="L2160" i="1"/>
  <c r="J2160" i="1"/>
  <c r="L2159" i="1"/>
  <c r="J2159" i="1"/>
  <c r="L2158" i="1"/>
  <c r="J2158" i="1"/>
  <c r="L2157" i="1"/>
  <c r="J2157" i="1"/>
  <c r="L2156" i="1"/>
  <c r="J2156" i="1"/>
  <c r="L2155" i="1"/>
  <c r="J2155" i="1"/>
  <c r="L2154" i="1"/>
  <c r="J2154" i="1"/>
  <c r="L2153" i="1"/>
  <c r="J2153" i="1"/>
  <c r="L2152" i="1"/>
  <c r="J2152" i="1"/>
  <c r="L2151" i="1"/>
  <c r="J2151" i="1"/>
  <c r="L2150" i="1"/>
  <c r="J2150" i="1"/>
  <c r="L2149" i="1"/>
  <c r="J2149" i="1"/>
  <c r="L2148" i="1"/>
  <c r="J2148" i="1"/>
  <c r="L2147" i="1"/>
  <c r="J2147" i="1"/>
  <c r="L2146" i="1"/>
  <c r="J2146" i="1"/>
  <c r="L2145" i="1"/>
  <c r="J2145" i="1"/>
  <c r="L2144" i="1"/>
  <c r="J2144" i="1"/>
  <c r="L2143" i="1"/>
  <c r="J2143" i="1"/>
  <c r="L2142" i="1"/>
  <c r="J2142" i="1"/>
  <c r="L2141" i="1"/>
  <c r="J2141" i="1"/>
  <c r="L2140" i="1"/>
  <c r="J2140" i="1"/>
  <c r="L2139" i="1"/>
  <c r="J2139" i="1"/>
  <c r="L2138" i="1"/>
  <c r="J2138" i="1"/>
  <c r="L2137" i="1"/>
  <c r="J2137" i="1"/>
  <c r="L2136" i="1"/>
  <c r="J2136" i="1"/>
  <c r="L2135" i="1"/>
  <c r="J2135" i="1"/>
  <c r="L2134" i="1"/>
  <c r="J2134" i="1"/>
  <c r="L2133" i="1"/>
  <c r="J2133" i="1"/>
  <c r="L2132" i="1"/>
  <c r="J2132" i="1"/>
  <c r="L2131" i="1"/>
  <c r="J2131" i="1"/>
  <c r="L2130" i="1"/>
  <c r="J2130" i="1"/>
  <c r="L2129" i="1"/>
  <c r="J2129" i="1"/>
  <c r="L2128" i="1"/>
  <c r="J2128" i="1"/>
  <c r="L2127" i="1"/>
  <c r="J2127" i="1"/>
  <c r="L2126" i="1"/>
  <c r="J2126" i="1"/>
  <c r="L2125" i="1"/>
  <c r="J2125" i="1"/>
  <c r="L2124" i="1"/>
  <c r="J2124" i="1"/>
  <c r="L2123" i="1"/>
  <c r="J2123" i="1"/>
  <c r="L2122" i="1"/>
  <c r="J2122" i="1"/>
  <c r="L2121" i="1"/>
  <c r="J2121" i="1"/>
  <c r="L2120" i="1"/>
  <c r="J2120" i="1"/>
  <c r="L2119" i="1"/>
  <c r="J2119" i="1"/>
  <c r="L2118" i="1"/>
  <c r="J2118" i="1"/>
  <c r="L2117" i="1"/>
  <c r="J2117" i="1"/>
  <c r="L2116" i="1"/>
  <c r="J2116" i="1"/>
  <c r="L2115" i="1"/>
  <c r="J2115" i="1"/>
  <c r="L2114" i="1"/>
  <c r="J2114" i="1"/>
  <c r="L2113" i="1"/>
  <c r="J2113" i="1"/>
  <c r="L2112" i="1"/>
  <c r="J2112" i="1"/>
  <c r="L2111" i="1"/>
  <c r="J2111" i="1"/>
  <c r="L2110" i="1"/>
  <c r="J2110" i="1"/>
  <c r="L2109" i="1"/>
  <c r="J2109" i="1"/>
  <c r="L2108" i="1"/>
  <c r="J2108" i="1"/>
  <c r="L2107" i="1"/>
  <c r="J2107" i="1"/>
  <c r="L2106" i="1"/>
  <c r="J2106" i="1"/>
  <c r="L2105" i="1"/>
  <c r="J2105" i="1"/>
  <c r="L2104" i="1"/>
  <c r="J2104" i="1"/>
  <c r="L2103" i="1"/>
  <c r="J2103" i="1"/>
  <c r="L2102" i="1"/>
  <c r="J2102" i="1"/>
  <c r="L2101" i="1"/>
  <c r="J2101" i="1"/>
  <c r="L2100" i="1"/>
  <c r="J2100" i="1"/>
  <c r="L2099" i="1"/>
  <c r="J2099" i="1"/>
  <c r="L2098" i="1"/>
  <c r="J2098" i="1"/>
  <c r="L2097" i="1"/>
  <c r="J2097" i="1"/>
  <c r="L2096" i="1"/>
  <c r="J2096" i="1"/>
  <c r="L2095" i="1"/>
  <c r="J2095" i="1"/>
  <c r="L2094" i="1"/>
  <c r="J2094" i="1"/>
  <c r="L2093" i="1"/>
  <c r="J2093" i="1"/>
  <c r="L2092" i="1"/>
  <c r="J2092" i="1"/>
  <c r="L2091" i="1"/>
  <c r="J2091" i="1"/>
  <c r="L2090" i="1"/>
  <c r="J2090" i="1"/>
  <c r="L2089" i="1"/>
  <c r="J2089" i="1"/>
  <c r="L2088" i="1"/>
  <c r="J2088" i="1"/>
  <c r="L2087" i="1"/>
  <c r="J2087" i="1"/>
  <c r="L2086" i="1"/>
  <c r="J2086" i="1"/>
  <c r="L2085" i="1"/>
  <c r="J2085" i="1"/>
  <c r="L2084" i="1"/>
  <c r="J2084" i="1"/>
  <c r="L2083" i="1"/>
  <c r="J2083" i="1"/>
  <c r="L2082" i="1"/>
  <c r="J2082" i="1"/>
  <c r="L2081" i="1"/>
  <c r="J2081" i="1"/>
  <c r="L2080" i="1"/>
  <c r="J2080" i="1"/>
  <c r="L2079" i="1"/>
  <c r="J2079" i="1"/>
  <c r="L2078" i="1"/>
  <c r="J2078" i="1"/>
  <c r="L2077" i="1"/>
  <c r="J2077" i="1"/>
  <c r="L2076" i="1"/>
  <c r="J2076" i="1"/>
  <c r="L2075" i="1"/>
  <c r="J2075" i="1"/>
  <c r="L2074" i="1"/>
  <c r="J2074" i="1"/>
  <c r="L2073" i="1"/>
  <c r="J2073" i="1"/>
  <c r="L2072" i="1"/>
  <c r="J2072" i="1"/>
  <c r="L2071" i="1"/>
  <c r="J2071" i="1"/>
  <c r="L2070" i="1"/>
  <c r="J2070" i="1"/>
  <c r="L2069" i="1"/>
  <c r="J2069" i="1"/>
  <c r="L2068" i="1"/>
  <c r="J2068" i="1"/>
  <c r="L2067" i="1"/>
  <c r="J2067" i="1"/>
  <c r="L2066" i="1"/>
  <c r="J2066" i="1"/>
  <c r="L2065" i="1"/>
  <c r="J2065" i="1"/>
  <c r="L2064" i="1"/>
  <c r="J2064" i="1"/>
  <c r="L2063" i="1"/>
  <c r="J2063" i="1"/>
  <c r="L2062" i="1"/>
  <c r="J2062" i="1"/>
  <c r="L2061" i="1"/>
  <c r="J2061" i="1"/>
  <c r="L2060" i="1"/>
  <c r="J2060" i="1"/>
  <c r="L2059" i="1"/>
  <c r="J2059" i="1"/>
  <c r="L2058" i="1"/>
  <c r="J2058" i="1"/>
  <c r="L2057" i="1"/>
  <c r="J2057" i="1"/>
  <c r="L2056" i="1"/>
  <c r="J2056" i="1"/>
  <c r="L2055" i="1"/>
  <c r="J2055" i="1"/>
  <c r="L2054" i="1"/>
  <c r="J2054" i="1"/>
  <c r="L2053" i="1"/>
  <c r="J2053" i="1"/>
  <c r="L2052" i="1"/>
  <c r="J2052" i="1"/>
  <c r="L2051" i="1"/>
  <c r="J2051" i="1"/>
  <c r="L2050" i="1"/>
  <c r="J2050" i="1"/>
  <c r="L2049" i="1"/>
  <c r="J2049" i="1"/>
  <c r="L2048" i="1"/>
  <c r="J2048" i="1"/>
  <c r="L2047" i="1"/>
  <c r="J2047" i="1"/>
  <c r="L2046" i="1"/>
  <c r="J2046" i="1"/>
  <c r="L2045" i="1"/>
  <c r="J2045" i="1"/>
  <c r="L2044" i="1"/>
  <c r="J2044" i="1"/>
  <c r="L2043" i="1"/>
  <c r="J2043" i="1"/>
  <c r="L2042" i="1"/>
  <c r="J2042" i="1"/>
  <c r="L2041" i="1"/>
  <c r="J2041" i="1"/>
  <c r="L2040" i="1"/>
  <c r="J2040" i="1"/>
  <c r="L2039" i="1"/>
  <c r="J2039" i="1"/>
  <c r="L2038" i="1"/>
  <c r="J2038" i="1"/>
  <c r="L2037" i="1"/>
  <c r="J2037" i="1"/>
  <c r="L2036" i="1"/>
  <c r="J2036" i="1"/>
  <c r="L2035" i="1"/>
  <c r="J2035" i="1"/>
  <c r="L2034" i="1"/>
  <c r="J2034" i="1"/>
  <c r="L2033" i="1"/>
  <c r="J2033" i="1"/>
  <c r="L2032" i="1"/>
  <c r="J2032" i="1"/>
  <c r="L2031" i="1"/>
  <c r="J2031" i="1"/>
  <c r="L2030" i="1"/>
  <c r="J2030" i="1"/>
  <c r="L2029" i="1"/>
  <c r="J2029" i="1"/>
  <c r="L2028" i="1"/>
  <c r="J2028" i="1"/>
  <c r="L2027" i="1"/>
  <c r="J2027" i="1"/>
  <c r="L2026" i="1"/>
  <c r="J2026" i="1"/>
  <c r="L2025" i="1"/>
  <c r="J2025" i="1"/>
  <c r="L2024" i="1"/>
  <c r="J2024" i="1"/>
  <c r="L2023" i="1"/>
  <c r="J2023" i="1"/>
  <c r="L2022" i="1"/>
  <c r="J2022" i="1"/>
  <c r="L2021" i="1"/>
  <c r="J2021" i="1"/>
  <c r="L2020" i="1"/>
  <c r="J2020" i="1"/>
  <c r="L2019" i="1"/>
  <c r="J2019" i="1"/>
  <c r="L2018" i="1"/>
  <c r="J2018" i="1"/>
  <c r="L2017" i="1"/>
  <c r="J2017" i="1"/>
  <c r="L2016" i="1"/>
  <c r="J2016" i="1"/>
  <c r="L2015" i="1"/>
  <c r="J2015" i="1"/>
  <c r="L2014" i="1"/>
  <c r="J2014" i="1"/>
  <c r="L2013" i="1"/>
  <c r="J2013" i="1"/>
  <c r="L2012" i="1"/>
  <c r="J2012" i="1"/>
  <c r="L2011" i="1"/>
  <c r="J2011" i="1"/>
  <c r="L2010" i="1"/>
  <c r="J2010" i="1"/>
  <c r="L2009" i="1"/>
  <c r="J2009" i="1"/>
  <c r="L2008" i="1"/>
  <c r="J2008" i="1"/>
  <c r="L2007" i="1"/>
  <c r="J2007" i="1"/>
  <c r="L2006" i="1"/>
  <c r="J2006" i="1"/>
  <c r="L2005" i="1"/>
  <c r="J2005" i="1"/>
  <c r="L2004" i="1"/>
  <c r="J2004" i="1"/>
  <c r="L2003" i="1"/>
  <c r="J2003" i="1"/>
  <c r="L2002" i="1"/>
  <c r="J2002" i="1"/>
  <c r="L2001" i="1"/>
  <c r="J2001" i="1"/>
  <c r="L2000" i="1"/>
  <c r="J2000" i="1"/>
  <c r="L1999" i="1"/>
  <c r="J1999" i="1"/>
  <c r="L1998" i="1"/>
  <c r="J1998" i="1"/>
  <c r="L1997" i="1"/>
  <c r="J1997" i="1"/>
  <c r="L1996" i="1"/>
  <c r="J1996" i="1"/>
  <c r="L1995" i="1"/>
  <c r="J1995" i="1"/>
  <c r="L1994" i="1"/>
  <c r="J1994" i="1"/>
  <c r="L1993" i="1"/>
  <c r="J1993" i="1"/>
  <c r="L1992" i="1"/>
  <c r="J1992" i="1"/>
  <c r="L1991" i="1"/>
  <c r="J1991" i="1"/>
  <c r="L1990" i="1"/>
  <c r="J1990" i="1"/>
  <c r="L1989" i="1"/>
  <c r="J1989" i="1"/>
  <c r="L1988" i="1"/>
  <c r="J1988" i="1"/>
  <c r="L1987" i="1"/>
  <c r="J1987" i="1"/>
  <c r="L1986" i="1"/>
  <c r="J1986" i="1"/>
  <c r="L1985" i="1"/>
  <c r="J1985" i="1"/>
  <c r="L1984" i="1"/>
  <c r="J1984" i="1"/>
  <c r="L1983" i="1"/>
  <c r="J1983" i="1"/>
  <c r="L1982" i="1"/>
  <c r="J1982" i="1"/>
  <c r="L1981" i="1"/>
  <c r="J1981" i="1"/>
  <c r="L1980" i="1"/>
  <c r="J1980" i="1"/>
  <c r="L1979" i="1"/>
  <c r="J1979" i="1"/>
  <c r="L1978" i="1"/>
  <c r="J1978" i="1"/>
  <c r="L1977" i="1"/>
  <c r="J1977" i="1"/>
  <c r="L1976" i="1"/>
  <c r="J1976" i="1"/>
  <c r="L1975" i="1"/>
  <c r="J1975" i="1"/>
  <c r="L1974" i="1"/>
  <c r="J1974" i="1"/>
  <c r="L1973" i="1"/>
  <c r="J1973" i="1"/>
  <c r="L1972" i="1"/>
  <c r="J1972" i="1"/>
  <c r="L1971" i="1"/>
  <c r="J1971" i="1"/>
  <c r="L1970" i="1"/>
  <c r="J1970" i="1"/>
  <c r="L1969" i="1"/>
  <c r="J1969" i="1"/>
  <c r="L1968" i="1"/>
  <c r="J1968" i="1"/>
  <c r="L1967" i="1"/>
  <c r="J1967" i="1"/>
  <c r="L1966" i="1"/>
  <c r="J1966" i="1"/>
  <c r="L1965" i="1"/>
  <c r="J1965" i="1"/>
  <c r="L1964" i="1"/>
  <c r="J1964" i="1"/>
  <c r="L1963" i="1"/>
  <c r="J1963" i="1"/>
  <c r="L1962" i="1"/>
  <c r="J1962" i="1"/>
  <c r="L1961" i="1"/>
  <c r="J1961" i="1"/>
  <c r="L1960" i="1"/>
  <c r="J1960" i="1"/>
  <c r="L1959" i="1"/>
  <c r="J1959" i="1"/>
  <c r="L1958" i="1"/>
  <c r="J1958" i="1"/>
  <c r="L1957" i="1"/>
  <c r="J1957" i="1"/>
  <c r="L1956" i="1"/>
  <c r="J1956" i="1"/>
  <c r="L1955" i="1"/>
  <c r="J1955" i="1"/>
  <c r="L1954" i="1"/>
  <c r="J1954" i="1"/>
  <c r="L1953" i="1"/>
  <c r="J1953" i="1"/>
  <c r="L1952" i="1"/>
  <c r="J1952" i="1"/>
  <c r="L1951" i="1"/>
  <c r="J1951" i="1"/>
  <c r="L1950" i="1"/>
  <c r="J1950" i="1"/>
  <c r="L1949" i="1"/>
  <c r="J1949" i="1"/>
  <c r="L1948" i="1"/>
  <c r="J1948" i="1"/>
  <c r="L1947" i="1"/>
  <c r="J1947" i="1"/>
  <c r="L1946" i="1"/>
  <c r="J1946" i="1"/>
  <c r="L1945" i="1"/>
  <c r="J1945" i="1"/>
  <c r="L1944" i="1"/>
  <c r="J1944" i="1"/>
  <c r="L1943" i="1"/>
  <c r="J1943" i="1"/>
  <c r="L1942" i="1"/>
  <c r="J1942" i="1"/>
  <c r="L1941" i="1"/>
  <c r="J1941" i="1"/>
  <c r="L1940" i="1"/>
  <c r="J1940" i="1"/>
  <c r="L1939" i="1"/>
  <c r="J1939" i="1"/>
  <c r="L1938" i="1"/>
  <c r="J1938" i="1"/>
  <c r="L1937" i="1"/>
  <c r="J1937" i="1"/>
  <c r="L1936" i="1"/>
  <c r="J1936" i="1"/>
  <c r="L1935" i="1"/>
  <c r="J1935" i="1"/>
  <c r="L1934" i="1"/>
  <c r="J1934" i="1"/>
  <c r="L1933" i="1"/>
  <c r="J1933" i="1"/>
  <c r="L1932" i="1"/>
  <c r="J1932" i="1"/>
  <c r="L1931" i="1"/>
  <c r="J1931" i="1"/>
  <c r="L1930" i="1"/>
  <c r="J1930" i="1"/>
  <c r="L1929" i="1"/>
  <c r="J1929" i="1"/>
  <c r="L1928" i="1"/>
  <c r="J1928" i="1"/>
  <c r="L1927" i="1"/>
  <c r="J1927" i="1"/>
  <c r="L1926" i="1"/>
  <c r="J1926" i="1"/>
  <c r="L1925" i="1"/>
  <c r="J1925" i="1"/>
  <c r="L1924" i="1"/>
  <c r="J1924" i="1"/>
  <c r="L1923" i="1"/>
  <c r="J1923" i="1"/>
  <c r="L1922" i="1"/>
  <c r="J1922" i="1"/>
  <c r="L1921" i="1"/>
  <c r="J1921" i="1"/>
  <c r="L1920" i="1"/>
  <c r="J1920" i="1"/>
  <c r="L1919" i="1"/>
  <c r="J1919" i="1"/>
  <c r="L1918" i="1"/>
  <c r="J1918" i="1"/>
  <c r="L1917" i="1"/>
  <c r="J1917" i="1"/>
  <c r="L1916" i="1"/>
  <c r="J1916" i="1"/>
  <c r="L1915" i="1"/>
  <c r="J1915" i="1"/>
  <c r="L1914" i="1"/>
  <c r="J1914" i="1"/>
  <c r="L1913" i="1"/>
  <c r="J1913" i="1"/>
  <c r="L1912" i="1"/>
  <c r="J1912" i="1"/>
  <c r="L1911" i="1"/>
  <c r="J1911" i="1"/>
  <c r="L1910" i="1"/>
  <c r="J1910" i="1"/>
  <c r="L1909" i="1"/>
  <c r="J1909" i="1"/>
  <c r="L1908" i="1"/>
  <c r="J1908" i="1"/>
  <c r="L1907" i="1"/>
  <c r="J1907" i="1"/>
  <c r="L1906" i="1"/>
  <c r="J1906" i="1"/>
  <c r="L1905" i="1"/>
  <c r="J1905" i="1"/>
  <c r="L1904" i="1"/>
  <c r="J1904" i="1"/>
  <c r="L1903" i="1"/>
  <c r="J1903" i="1"/>
  <c r="L1902" i="1"/>
  <c r="J1902" i="1"/>
  <c r="L1901" i="1"/>
  <c r="J1901" i="1"/>
  <c r="L1900" i="1"/>
  <c r="J1900" i="1"/>
  <c r="L1899" i="1"/>
  <c r="J1899" i="1"/>
  <c r="L1898" i="1"/>
  <c r="J1898" i="1"/>
  <c r="L1897" i="1"/>
  <c r="J1897" i="1"/>
  <c r="L1896" i="1"/>
  <c r="J1896" i="1"/>
  <c r="L1895" i="1"/>
  <c r="J1895" i="1"/>
  <c r="L1894" i="1"/>
  <c r="J1894" i="1"/>
  <c r="L1893" i="1"/>
  <c r="J1893" i="1"/>
  <c r="L1892" i="1"/>
  <c r="J1892" i="1"/>
  <c r="L1891" i="1"/>
  <c r="J1891" i="1"/>
  <c r="L1890" i="1"/>
  <c r="J1890" i="1"/>
  <c r="L1889" i="1"/>
  <c r="J1889" i="1"/>
  <c r="L1888" i="1"/>
  <c r="J1888" i="1"/>
  <c r="L1887" i="1"/>
  <c r="J1887" i="1"/>
  <c r="L1886" i="1"/>
  <c r="J1886" i="1"/>
  <c r="L1885" i="1"/>
  <c r="J1885" i="1"/>
  <c r="L1884" i="1"/>
  <c r="J1884" i="1"/>
  <c r="L1883" i="1"/>
  <c r="J1883" i="1"/>
  <c r="L1882" i="1"/>
  <c r="J1882" i="1"/>
  <c r="L1881" i="1"/>
  <c r="J1881" i="1"/>
  <c r="L1880" i="1"/>
  <c r="J1880" i="1"/>
  <c r="L1879" i="1"/>
  <c r="J1879" i="1"/>
  <c r="L1878" i="1"/>
  <c r="J1878" i="1"/>
  <c r="L1877" i="1"/>
  <c r="J1877" i="1"/>
  <c r="L1876" i="1"/>
  <c r="J1876" i="1"/>
  <c r="L1875" i="1"/>
  <c r="J1875" i="1"/>
  <c r="L1874" i="1"/>
  <c r="J1874" i="1"/>
  <c r="L1873" i="1"/>
  <c r="J1873" i="1"/>
  <c r="L1872" i="1"/>
  <c r="J1872" i="1"/>
  <c r="L1871" i="1"/>
  <c r="J1871" i="1"/>
  <c r="L1870" i="1"/>
  <c r="J1870" i="1"/>
  <c r="L1869" i="1"/>
  <c r="J1869" i="1"/>
  <c r="L1868" i="1"/>
  <c r="J1868" i="1"/>
  <c r="L1867" i="1"/>
  <c r="J1867" i="1"/>
  <c r="L1866" i="1"/>
  <c r="J1866" i="1"/>
  <c r="L1865" i="1"/>
  <c r="J1865" i="1"/>
  <c r="L1864" i="1"/>
  <c r="J1864" i="1"/>
  <c r="L1863" i="1"/>
  <c r="J1863" i="1"/>
  <c r="L1862" i="1"/>
  <c r="J1862" i="1"/>
  <c r="L1861" i="1"/>
  <c r="J1861" i="1"/>
  <c r="L1860" i="1"/>
  <c r="J1860" i="1"/>
  <c r="L1859" i="1"/>
  <c r="J1859" i="1"/>
  <c r="L1858" i="1"/>
  <c r="J1858" i="1"/>
  <c r="L1857" i="1"/>
  <c r="J1857" i="1"/>
  <c r="L1856" i="1"/>
  <c r="J1856" i="1"/>
  <c r="L1855" i="1"/>
  <c r="J1855" i="1"/>
  <c r="L1854" i="1"/>
  <c r="J1854" i="1"/>
  <c r="L1853" i="1"/>
  <c r="J1853" i="1"/>
  <c r="L1852" i="1"/>
  <c r="J1852" i="1"/>
  <c r="L1851" i="1"/>
  <c r="J1851" i="1"/>
  <c r="L1850" i="1"/>
  <c r="J1850" i="1"/>
  <c r="L1849" i="1"/>
  <c r="J1849" i="1"/>
  <c r="L1848" i="1"/>
  <c r="J1848" i="1"/>
  <c r="L1847" i="1"/>
  <c r="J1847" i="1"/>
  <c r="L1846" i="1"/>
  <c r="J1846" i="1"/>
  <c r="L1845" i="1"/>
  <c r="J1845" i="1"/>
  <c r="L1844" i="1"/>
  <c r="J1844" i="1"/>
  <c r="L1843" i="1"/>
  <c r="J1843" i="1"/>
  <c r="L1842" i="1"/>
  <c r="J1842" i="1"/>
  <c r="L1841" i="1"/>
  <c r="J1841" i="1"/>
  <c r="L1840" i="1"/>
  <c r="J1840" i="1"/>
  <c r="L1839" i="1"/>
  <c r="J1839" i="1"/>
  <c r="L1838" i="1"/>
  <c r="J1838" i="1"/>
  <c r="L1837" i="1"/>
  <c r="J1837" i="1"/>
  <c r="L1836" i="1"/>
  <c r="J1836" i="1"/>
  <c r="L1835" i="1"/>
  <c r="J1835" i="1"/>
  <c r="L1834" i="1"/>
  <c r="J1834" i="1"/>
  <c r="L1833" i="1"/>
  <c r="J1833" i="1"/>
  <c r="L1832" i="1"/>
  <c r="J1832" i="1"/>
  <c r="L1831" i="1"/>
  <c r="J1831" i="1"/>
  <c r="L1830" i="1"/>
  <c r="J1830" i="1"/>
  <c r="L1829" i="1"/>
  <c r="J1829" i="1"/>
  <c r="L1828" i="1"/>
  <c r="J1828" i="1"/>
  <c r="L1827" i="1"/>
  <c r="J1827" i="1"/>
  <c r="L1826" i="1"/>
  <c r="J1826" i="1"/>
  <c r="L1825" i="1"/>
  <c r="J1825" i="1"/>
  <c r="L1824" i="1"/>
  <c r="J1824" i="1"/>
  <c r="L1823" i="1"/>
  <c r="J1823" i="1"/>
  <c r="L1822" i="1"/>
  <c r="J1822" i="1"/>
  <c r="L1821" i="1"/>
  <c r="J1821" i="1"/>
  <c r="L1820" i="1"/>
  <c r="J1820" i="1"/>
  <c r="L1819" i="1"/>
  <c r="J1819" i="1"/>
  <c r="L1818" i="1"/>
  <c r="J1818" i="1"/>
  <c r="L1817" i="1"/>
  <c r="J1817" i="1"/>
  <c r="L1816" i="1"/>
  <c r="J1816" i="1"/>
  <c r="L1815" i="1"/>
  <c r="J1815" i="1"/>
  <c r="L1814" i="1"/>
  <c r="J1814" i="1"/>
  <c r="L1813" i="1"/>
  <c r="J1813" i="1"/>
  <c r="L1812" i="1"/>
  <c r="J1812" i="1"/>
  <c r="L1811" i="1"/>
  <c r="J1811" i="1"/>
  <c r="L1810" i="1"/>
  <c r="J1810" i="1"/>
  <c r="L1809" i="1"/>
  <c r="J1809" i="1"/>
  <c r="L1808" i="1"/>
  <c r="J1808" i="1"/>
  <c r="L1807" i="1"/>
  <c r="J1807" i="1"/>
  <c r="L1806" i="1"/>
  <c r="J1806" i="1"/>
  <c r="L1805" i="1"/>
  <c r="J1805" i="1"/>
  <c r="L1804" i="1"/>
  <c r="J1804" i="1"/>
  <c r="L1803" i="1"/>
  <c r="J1803" i="1"/>
  <c r="L1802" i="1"/>
  <c r="J1802" i="1"/>
  <c r="L1801" i="1"/>
  <c r="J1801" i="1"/>
  <c r="L1800" i="1"/>
  <c r="J1800" i="1"/>
  <c r="L1799" i="1"/>
  <c r="J1799" i="1"/>
  <c r="L1798" i="1"/>
  <c r="J1798" i="1"/>
  <c r="L1797" i="1"/>
  <c r="J1797" i="1"/>
  <c r="L1796" i="1"/>
  <c r="J1796" i="1"/>
  <c r="L1795" i="1"/>
  <c r="J1795" i="1"/>
  <c r="L1794" i="1"/>
  <c r="J1794" i="1"/>
  <c r="L1793" i="1"/>
  <c r="J1793" i="1"/>
  <c r="L1792" i="1"/>
  <c r="J1792" i="1"/>
  <c r="L1791" i="1"/>
  <c r="J1791" i="1"/>
  <c r="L1790" i="1"/>
  <c r="J1790" i="1"/>
  <c r="L1789" i="1"/>
  <c r="J1789" i="1"/>
  <c r="L1788" i="1"/>
  <c r="J1788" i="1"/>
  <c r="L1787" i="1"/>
  <c r="J1787" i="1"/>
  <c r="L1786" i="1"/>
  <c r="J1786" i="1"/>
  <c r="L1785" i="1"/>
  <c r="J1785" i="1"/>
  <c r="L1784" i="1"/>
  <c r="J1784" i="1"/>
  <c r="L1783" i="1"/>
  <c r="J1783" i="1"/>
  <c r="L1782" i="1"/>
  <c r="J1782" i="1"/>
  <c r="L1781" i="1"/>
  <c r="J1781" i="1"/>
  <c r="L1780" i="1"/>
  <c r="J1780" i="1"/>
  <c r="L1779" i="1"/>
  <c r="J1779" i="1"/>
  <c r="L1778" i="1"/>
  <c r="J1778" i="1"/>
  <c r="L1777" i="1"/>
  <c r="J1777" i="1"/>
  <c r="L1776" i="1"/>
  <c r="J1776" i="1"/>
  <c r="L1775" i="1"/>
  <c r="J1775" i="1"/>
  <c r="L1774" i="1"/>
  <c r="J1774" i="1"/>
  <c r="L1773" i="1"/>
  <c r="J1773" i="1"/>
  <c r="L1772" i="1"/>
  <c r="J1772" i="1"/>
  <c r="L1771" i="1"/>
  <c r="J1771" i="1"/>
  <c r="L1770" i="1"/>
  <c r="J1770" i="1"/>
  <c r="L1769" i="1"/>
  <c r="J1769" i="1"/>
  <c r="L1768" i="1"/>
  <c r="J1768" i="1"/>
  <c r="L1767" i="1"/>
  <c r="J1767" i="1"/>
  <c r="L1766" i="1"/>
  <c r="J1766" i="1"/>
  <c r="L1765" i="1"/>
  <c r="J1765" i="1"/>
  <c r="L1764" i="1"/>
  <c r="J1764" i="1"/>
  <c r="L1763" i="1"/>
  <c r="J1763" i="1"/>
  <c r="L1762" i="1"/>
  <c r="J1762" i="1"/>
  <c r="L1761" i="1"/>
  <c r="J1761" i="1"/>
  <c r="L1760" i="1"/>
  <c r="J1760" i="1"/>
  <c r="L1759" i="1"/>
  <c r="J1759" i="1"/>
  <c r="L1758" i="1"/>
  <c r="J1758" i="1"/>
  <c r="L1757" i="1"/>
  <c r="J1757" i="1"/>
  <c r="L1756" i="1"/>
  <c r="J1756" i="1"/>
  <c r="L1755" i="1"/>
  <c r="J1755" i="1"/>
  <c r="L1754" i="1"/>
  <c r="J1754" i="1"/>
  <c r="L1753" i="1"/>
  <c r="J1753" i="1"/>
  <c r="L1752" i="1"/>
  <c r="J1752" i="1"/>
  <c r="L1751" i="1"/>
  <c r="J1751" i="1"/>
  <c r="L1750" i="1"/>
  <c r="J1750" i="1"/>
  <c r="L1749" i="1"/>
  <c r="J1749" i="1"/>
  <c r="L1748" i="1"/>
  <c r="J1748" i="1"/>
  <c r="L1747" i="1"/>
  <c r="J1747" i="1"/>
  <c r="L1746" i="1"/>
  <c r="J1746" i="1"/>
  <c r="L1745" i="1"/>
  <c r="J1745" i="1"/>
  <c r="L1744" i="1"/>
  <c r="J1744" i="1"/>
  <c r="L1743" i="1"/>
  <c r="J1743" i="1"/>
  <c r="L1742" i="1"/>
  <c r="J1742" i="1"/>
  <c r="L1741" i="1"/>
  <c r="J1741" i="1"/>
  <c r="L1740" i="1"/>
  <c r="J1740" i="1"/>
  <c r="L1739" i="1"/>
  <c r="J1739" i="1"/>
  <c r="L1738" i="1"/>
  <c r="J1738" i="1"/>
  <c r="L1737" i="1"/>
  <c r="J1737" i="1"/>
  <c r="L1736" i="1"/>
  <c r="J1736" i="1"/>
  <c r="L1735" i="1"/>
  <c r="J1735" i="1"/>
  <c r="L1734" i="1"/>
  <c r="J1734" i="1"/>
  <c r="L1733" i="1"/>
  <c r="J1733" i="1"/>
  <c r="L1732" i="1"/>
  <c r="J1732" i="1"/>
  <c r="L1731" i="1"/>
  <c r="J1731" i="1"/>
  <c r="L1730" i="1"/>
  <c r="J1730" i="1"/>
  <c r="L1729" i="1"/>
  <c r="J1729" i="1"/>
  <c r="L1728" i="1"/>
  <c r="J1728" i="1"/>
  <c r="L1727" i="1"/>
  <c r="J1727" i="1"/>
  <c r="L1726" i="1"/>
  <c r="J1726" i="1"/>
  <c r="L1725" i="1"/>
  <c r="J1725" i="1"/>
  <c r="L1724" i="1"/>
  <c r="J1724" i="1"/>
  <c r="L1723" i="1"/>
  <c r="J1723" i="1"/>
  <c r="L1722" i="1"/>
  <c r="J1722" i="1"/>
  <c r="L1721" i="1"/>
  <c r="J1721" i="1"/>
  <c r="L1720" i="1"/>
  <c r="J1720" i="1"/>
  <c r="L1719" i="1"/>
  <c r="J1719" i="1"/>
  <c r="L1718" i="1"/>
  <c r="J1718" i="1"/>
  <c r="L1717" i="1"/>
  <c r="J1717" i="1"/>
  <c r="L1716" i="1"/>
  <c r="J1716" i="1"/>
  <c r="L1715" i="1"/>
  <c r="J1715" i="1"/>
  <c r="L1714" i="1"/>
  <c r="J1714" i="1"/>
  <c r="L1713" i="1"/>
  <c r="J1713" i="1"/>
  <c r="L1712" i="1"/>
  <c r="J1712" i="1"/>
  <c r="L1711" i="1"/>
  <c r="J1711" i="1"/>
  <c r="L1710" i="1"/>
  <c r="J1710" i="1"/>
  <c r="L1709" i="1"/>
  <c r="J1709" i="1"/>
  <c r="L1708" i="1"/>
  <c r="J1708" i="1"/>
  <c r="L1707" i="1"/>
  <c r="J1707" i="1"/>
  <c r="L1706" i="1"/>
  <c r="J1706" i="1"/>
  <c r="L1705" i="1"/>
  <c r="J1705" i="1"/>
  <c r="L1704" i="1"/>
  <c r="J1704" i="1"/>
  <c r="L1703" i="1"/>
  <c r="J1703" i="1"/>
  <c r="L1702" i="1"/>
  <c r="J1702" i="1"/>
  <c r="L1701" i="1"/>
  <c r="J1701" i="1"/>
  <c r="L1700" i="1"/>
  <c r="J1700" i="1"/>
  <c r="L1699" i="1"/>
  <c r="J1699" i="1"/>
  <c r="L1698" i="1"/>
  <c r="J1698" i="1"/>
  <c r="L1697" i="1"/>
  <c r="J1697" i="1"/>
  <c r="L1696" i="1"/>
  <c r="J1696" i="1"/>
  <c r="L1695" i="1"/>
  <c r="J1695" i="1"/>
  <c r="L1694" i="1"/>
  <c r="J1694" i="1"/>
  <c r="L1693" i="1"/>
  <c r="J1693" i="1"/>
  <c r="L1692" i="1"/>
  <c r="J1692" i="1"/>
  <c r="L1691" i="1"/>
  <c r="J1691" i="1"/>
  <c r="L1690" i="1"/>
  <c r="J1690" i="1"/>
  <c r="L1689" i="1"/>
  <c r="J1689" i="1"/>
  <c r="L1688" i="1"/>
  <c r="J1688" i="1"/>
  <c r="L1687" i="1"/>
  <c r="J1687" i="1"/>
  <c r="L1686" i="1"/>
  <c r="J1686" i="1"/>
  <c r="L1685" i="1"/>
  <c r="J1685" i="1"/>
  <c r="L1684" i="1"/>
  <c r="J1684" i="1"/>
  <c r="L1683" i="1"/>
  <c r="J1683" i="1"/>
  <c r="L1682" i="1"/>
  <c r="J1682" i="1"/>
  <c r="L1681" i="1"/>
  <c r="J1681" i="1"/>
  <c r="L1680" i="1"/>
  <c r="J1680" i="1"/>
  <c r="L1679" i="1"/>
  <c r="J1679" i="1"/>
  <c r="L1678" i="1"/>
  <c r="J1678" i="1"/>
  <c r="L1677" i="1"/>
  <c r="J1677" i="1"/>
  <c r="L1676" i="1"/>
  <c r="J1676" i="1"/>
  <c r="L1675" i="1"/>
  <c r="J1675" i="1"/>
  <c r="L1674" i="1"/>
  <c r="J1674" i="1"/>
  <c r="L1673" i="1"/>
  <c r="J1673" i="1"/>
  <c r="L1672" i="1"/>
  <c r="J1672" i="1"/>
  <c r="L1671" i="1"/>
  <c r="J1671" i="1"/>
  <c r="L1670" i="1"/>
  <c r="J1670" i="1"/>
  <c r="L1669" i="1"/>
  <c r="J1669" i="1"/>
  <c r="L1668" i="1"/>
  <c r="J1668" i="1"/>
  <c r="L1667" i="1"/>
  <c r="J1667" i="1"/>
  <c r="L1666" i="1"/>
  <c r="J1666" i="1"/>
  <c r="L1665" i="1"/>
  <c r="J1665" i="1"/>
  <c r="L1664" i="1"/>
  <c r="J1664" i="1"/>
  <c r="L1663" i="1"/>
  <c r="J1663" i="1"/>
  <c r="L1662" i="1"/>
  <c r="J1662" i="1"/>
  <c r="L1661" i="1"/>
  <c r="J1661" i="1"/>
  <c r="L1660" i="1"/>
  <c r="J1660" i="1"/>
  <c r="L1659" i="1"/>
  <c r="J1659" i="1"/>
  <c r="L1658" i="1"/>
  <c r="J1658" i="1"/>
  <c r="L1657" i="1"/>
  <c r="J1657" i="1"/>
  <c r="L1656" i="1"/>
  <c r="J1656" i="1"/>
  <c r="L1655" i="1"/>
  <c r="J1655" i="1"/>
  <c r="L1654" i="1"/>
  <c r="J1654" i="1"/>
  <c r="L1653" i="1"/>
  <c r="J1653" i="1"/>
  <c r="L1652" i="1"/>
  <c r="J1652" i="1"/>
  <c r="L1651" i="1"/>
  <c r="J1651" i="1"/>
  <c r="L1650" i="1"/>
  <c r="J1650" i="1"/>
  <c r="L1649" i="1"/>
  <c r="J1649" i="1"/>
  <c r="L1648" i="1"/>
  <c r="J1648" i="1"/>
  <c r="L1647" i="1"/>
  <c r="J1647" i="1"/>
  <c r="L1646" i="1"/>
  <c r="J1646" i="1"/>
  <c r="L1645" i="1"/>
  <c r="J1645" i="1"/>
  <c r="L1644" i="1"/>
  <c r="J1644" i="1"/>
  <c r="L1643" i="1"/>
  <c r="J1643" i="1"/>
  <c r="L1642" i="1"/>
  <c r="J1642" i="1"/>
  <c r="L1641" i="1"/>
  <c r="J1641" i="1"/>
  <c r="L1640" i="1"/>
  <c r="J1640" i="1"/>
  <c r="L1639" i="1"/>
  <c r="J1639" i="1"/>
  <c r="L1638" i="1"/>
  <c r="J1638" i="1"/>
  <c r="L1637" i="1"/>
  <c r="J1637" i="1"/>
  <c r="L1636" i="1"/>
  <c r="J1636" i="1"/>
  <c r="L1635" i="1"/>
  <c r="J1635" i="1"/>
  <c r="L1634" i="1"/>
  <c r="J1634" i="1"/>
  <c r="L1633" i="1"/>
  <c r="J1633" i="1"/>
  <c r="L1632" i="1"/>
  <c r="J1632" i="1"/>
  <c r="L1631" i="1"/>
  <c r="J1631" i="1"/>
  <c r="L1630" i="1"/>
  <c r="J1630" i="1"/>
  <c r="L1629" i="1"/>
  <c r="J1629" i="1"/>
  <c r="L1628" i="1"/>
  <c r="J1628" i="1"/>
  <c r="L1627" i="1"/>
  <c r="J1627" i="1"/>
  <c r="L1626" i="1"/>
  <c r="J1626" i="1"/>
  <c r="L1625" i="1"/>
  <c r="J1625" i="1"/>
  <c r="L1624" i="1"/>
  <c r="J1624" i="1"/>
  <c r="L1623" i="1"/>
  <c r="J1623" i="1"/>
  <c r="L1622" i="1"/>
  <c r="J1622" i="1"/>
  <c r="L1621" i="1"/>
  <c r="J1621" i="1"/>
  <c r="L1620" i="1"/>
  <c r="J1620" i="1"/>
  <c r="L1619" i="1"/>
  <c r="J1619" i="1"/>
  <c r="L1618" i="1"/>
  <c r="J1618" i="1"/>
  <c r="L1617" i="1"/>
  <c r="J1617" i="1"/>
  <c r="L1616" i="1"/>
  <c r="J1616" i="1"/>
  <c r="L1615" i="1"/>
  <c r="J1615" i="1"/>
  <c r="L1614" i="1"/>
  <c r="J1614" i="1"/>
  <c r="L1613" i="1"/>
  <c r="J1613" i="1"/>
  <c r="L1612" i="1"/>
  <c r="J1612" i="1"/>
  <c r="L1611" i="1"/>
  <c r="J1611" i="1"/>
  <c r="L1610" i="1"/>
  <c r="J1610" i="1"/>
  <c r="L1609" i="1"/>
  <c r="J1609" i="1"/>
  <c r="L1608" i="1"/>
  <c r="J1608" i="1"/>
  <c r="L1607" i="1"/>
  <c r="J1607" i="1"/>
  <c r="L1606" i="1"/>
  <c r="J1606" i="1"/>
  <c r="L1605" i="1"/>
  <c r="J1605" i="1"/>
  <c r="L1604" i="1"/>
  <c r="J1604" i="1"/>
  <c r="L1603" i="1"/>
  <c r="J1603" i="1"/>
  <c r="L1602" i="1"/>
  <c r="J1602" i="1"/>
  <c r="L1601" i="1"/>
  <c r="J1601" i="1"/>
  <c r="L1600" i="1"/>
  <c r="J1600" i="1"/>
  <c r="L1599" i="1"/>
  <c r="J1599" i="1"/>
  <c r="L1598" i="1"/>
  <c r="J1598" i="1"/>
  <c r="L1597" i="1"/>
  <c r="J1597" i="1"/>
  <c r="L1596" i="1"/>
  <c r="J1596" i="1"/>
  <c r="L1595" i="1"/>
  <c r="J1595" i="1"/>
  <c r="L1594" i="1"/>
  <c r="J1594" i="1"/>
  <c r="L1593" i="1"/>
  <c r="J1593" i="1"/>
  <c r="L1592" i="1"/>
  <c r="J1592" i="1"/>
  <c r="L1591" i="1"/>
  <c r="J1591" i="1"/>
  <c r="L1590" i="1"/>
  <c r="J1590" i="1"/>
  <c r="L1589" i="1"/>
  <c r="J1589" i="1"/>
  <c r="L1588" i="1"/>
  <c r="J1588" i="1"/>
  <c r="L1587" i="1"/>
  <c r="J1587" i="1"/>
  <c r="L1586" i="1"/>
  <c r="J1586" i="1"/>
  <c r="L1585" i="1"/>
  <c r="J1585" i="1"/>
  <c r="L1584" i="1"/>
  <c r="J1584" i="1"/>
  <c r="L1583" i="1"/>
  <c r="J1583" i="1"/>
  <c r="L1582" i="1"/>
  <c r="J1582" i="1"/>
  <c r="L1581" i="1"/>
  <c r="J1581" i="1"/>
  <c r="L1580" i="1"/>
  <c r="J1580" i="1"/>
  <c r="L1579" i="1"/>
  <c r="J1579" i="1"/>
  <c r="L1578" i="1"/>
  <c r="J1578" i="1"/>
  <c r="L1577" i="1"/>
  <c r="J1577" i="1"/>
  <c r="L1576" i="1"/>
  <c r="J1576" i="1"/>
  <c r="L1575" i="1"/>
  <c r="J1575" i="1"/>
  <c r="L1574" i="1"/>
  <c r="J1574" i="1"/>
  <c r="L1573" i="1"/>
  <c r="J1573" i="1"/>
  <c r="L1572" i="1"/>
  <c r="J1572" i="1"/>
  <c r="L1571" i="1"/>
  <c r="J1571" i="1"/>
  <c r="L1570" i="1"/>
  <c r="J1570" i="1"/>
  <c r="L1569" i="1"/>
  <c r="J1569" i="1"/>
  <c r="L1568" i="1"/>
  <c r="J1568" i="1"/>
  <c r="L1567" i="1"/>
  <c r="J1567" i="1"/>
  <c r="L1566" i="1"/>
  <c r="J1566" i="1"/>
  <c r="L1565" i="1"/>
  <c r="J1565" i="1"/>
  <c r="L1564" i="1"/>
  <c r="J1564" i="1"/>
  <c r="L1563" i="1"/>
  <c r="J1563" i="1"/>
  <c r="L1562" i="1"/>
  <c r="J1562" i="1"/>
  <c r="L1561" i="1"/>
  <c r="J1561" i="1"/>
  <c r="L1560" i="1"/>
  <c r="J1560" i="1"/>
  <c r="L1559" i="1"/>
  <c r="J1559" i="1"/>
  <c r="L1558" i="1"/>
  <c r="J1558" i="1"/>
  <c r="L1557" i="1"/>
  <c r="J1557" i="1"/>
  <c r="L1556" i="1"/>
  <c r="J1556" i="1"/>
  <c r="L1555" i="1"/>
  <c r="J1555" i="1"/>
  <c r="L1554" i="1"/>
  <c r="J1554" i="1"/>
  <c r="L1553" i="1"/>
  <c r="J1553" i="1"/>
  <c r="L1552" i="1"/>
  <c r="J1552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L1541" i="1"/>
  <c r="J1541" i="1"/>
  <c r="L1540" i="1"/>
  <c r="J1540" i="1"/>
  <c r="L1539" i="1"/>
  <c r="J1539" i="1"/>
  <c r="L1538" i="1"/>
  <c r="J1538" i="1"/>
  <c r="L1537" i="1"/>
  <c r="J1537" i="1"/>
  <c r="L1536" i="1"/>
  <c r="J1536" i="1"/>
  <c r="L1535" i="1"/>
  <c r="J1535" i="1"/>
  <c r="L1534" i="1"/>
  <c r="J1534" i="1"/>
  <c r="L1533" i="1"/>
  <c r="J1533" i="1"/>
  <c r="L1532" i="1"/>
  <c r="J1532" i="1"/>
  <c r="L1531" i="1"/>
  <c r="J1531" i="1"/>
  <c r="L1530" i="1"/>
  <c r="J1530" i="1"/>
  <c r="L1529" i="1"/>
  <c r="J1529" i="1"/>
  <c r="L1528" i="1"/>
  <c r="J1528" i="1"/>
  <c r="L1527" i="1"/>
  <c r="J1527" i="1"/>
  <c r="L1526" i="1"/>
  <c r="J1526" i="1"/>
  <c r="L1525" i="1"/>
  <c r="J1525" i="1"/>
  <c r="L1524" i="1"/>
  <c r="J1524" i="1"/>
  <c r="L1523" i="1"/>
  <c r="J1523" i="1"/>
  <c r="L1522" i="1"/>
  <c r="J1522" i="1"/>
  <c r="L1521" i="1"/>
  <c r="J1521" i="1"/>
  <c r="L1520" i="1"/>
  <c r="J1520" i="1"/>
  <c r="L1519" i="1"/>
  <c r="J1519" i="1"/>
  <c r="L1518" i="1"/>
  <c r="J1518" i="1"/>
  <c r="L1517" i="1"/>
  <c r="J1517" i="1"/>
  <c r="L1516" i="1"/>
  <c r="J1516" i="1"/>
  <c r="L1515" i="1"/>
  <c r="J1515" i="1"/>
  <c r="L1514" i="1"/>
  <c r="J1514" i="1"/>
  <c r="L1513" i="1"/>
  <c r="J1513" i="1"/>
  <c r="L1512" i="1"/>
  <c r="J1512" i="1"/>
  <c r="L1511" i="1"/>
  <c r="J1511" i="1"/>
  <c r="L1510" i="1"/>
  <c r="J1510" i="1"/>
  <c r="L1509" i="1"/>
  <c r="J1509" i="1"/>
  <c r="L1508" i="1"/>
  <c r="J1508" i="1"/>
  <c r="L1507" i="1"/>
  <c r="J1507" i="1"/>
  <c r="L1506" i="1"/>
  <c r="J1506" i="1"/>
  <c r="L1505" i="1"/>
  <c r="J1505" i="1"/>
  <c r="L1504" i="1"/>
  <c r="J1504" i="1"/>
  <c r="L1503" i="1"/>
  <c r="J1503" i="1"/>
  <c r="L1502" i="1"/>
  <c r="J1502" i="1"/>
  <c r="L1501" i="1"/>
  <c r="J1501" i="1"/>
  <c r="L1500" i="1"/>
  <c r="J1500" i="1"/>
  <c r="L1499" i="1"/>
  <c r="J1499" i="1"/>
  <c r="L1498" i="1"/>
  <c r="J1498" i="1"/>
  <c r="L1497" i="1"/>
  <c r="J1497" i="1"/>
  <c r="L1496" i="1"/>
  <c r="J1496" i="1"/>
  <c r="L1495" i="1"/>
  <c r="J1495" i="1"/>
  <c r="L1494" i="1"/>
  <c r="J1494" i="1"/>
  <c r="L1493" i="1"/>
  <c r="J1493" i="1"/>
  <c r="L1492" i="1"/>
  <c r="J1492" i="1"/>
  <c r="L1491" i="1"/>
  <c r="J1491" i="1"/>
  <c r="L1490" i="1"/>
  <c r="J1490" i="1"/>
  <c r="L1489" i="1"/>
  <c r="J1489" i="1"/>
  <c r="L1488" i="1"/>
  <c r="J1488" i="1"/>
  <c r="L1487" i="1"/>
  <c r="J1487" i="1"/>
  <c r="L1486" i="1"/>
  <c r="J1486" i="1"/>
  <c r="L1485" i="1"/>
  <c r="J1485" i="1"/>
  <c r="L1484" i="1"/>
  <c r="J1484" i="1"/>
  <c r="L1483" i="1"/>
  <c r="J1483" i="1"/>
  <c r="L1482" i="1"/>
  <c r="J1482" i="1"/>
  <c r="L1481" i="1"/>
  <c r="J1481" i="1"/>
  <c r="L1480" i="1"/>
  <c r="J1480" i="1"/>
  <c r="L1479" i="1"/>
  <c r="J1479" i="1"/>
  <c r="L1478" i="1"/>
  <c r="J1478" i="1"/>
  <c r="L1477" i="1"/>
  <c r="J1477" i="1"/>
  <c r="L1476" i="1"/>
  <c r="J1476" i="1"/>
  <c r="L1475" i="1"/>
  <c r="J1475" i="1"/>
  <c r="L1474" i="1"/>
  <c r="J1474" i="1"/>
  <c r="L1473" i="1"/>
  <c r="J1473" i="1"/>
  <c r="L1472" i="1"/>
  <c r="J1472" i="1"/>
  <c r="L1471" i="1"/>
  <c r="J1471" i="1"/>
  <c r="L1470" i="1"/>
  <c r="J1470" i="1"/>
  <c r="L1469" i="1"/>
  <c r="J1469" i="1"/>
  <c r="L1468" i="1"/>
  <c r="J1468" i="1"/>
  <c r="L1467" i="1"/>
  <c r="J1467" i="1"/>
  <c r="L1466" i="1"/>
  <c r="J1466" i="1"/>
  <c r="L1465" i="1"/>
  <c r="J1465" i="1"/>
  <c r="L1464" i="1"/>
  <c r="J1464" i="1"/>
  <c r="L1463" i="1"/>
  <c r="J1463" i="1"/>
  <c r="L1462" i="1"/>
  <c r="J1462" i="1"/>
  <c r="L1461" i="1"/>
  <c r="J1461" i="1"/>
  <c r="L1460" i="1"/>
  <c r="J1460" i="1"/>
  <c r="L1459" i="1"/>
  <c r="J1459" i="1"/>
  <c r="L1458" i="1"/>
  <c r="J1458" i="1"/>
  <c r="L1457" i="1"/>
  <c r="J1457" i="1"/>
  <c r="L1456" i="1"/>
  <c r="J1456" i="1"/>
  <c r="L1455" i="1"/>
  <c r="J1455" i="1"/>
  <c r="L1454" i="1"/>
  <c r="J1454" i="1"/>
  <c r="L1453" i="1"/>
  <c r="J1453" i="1"/>
  <c r="L1452" i="1"/>
  <c r="J1452" i="1"/>
  <c r="L1451" i="1"/>
  <c r="J1451" i="1"/>
  <c r="L1450" i="1"/>
  <c r="J1450" i="1"/>
  <c r="L1449" i="1"/>
  <c r="J1449" i="1"/>
  <c r="L1448" i="1"/>
  <c r="J1448" i="1"/>
  <c r="L1447" i="1"/>
  <c r="J1447" i="1"/>
  <c r="L1446" i="1"/>
  <c r="J1446" i="1"/>
  <c r="L1445" i="1"/>
  <c r="J1445" i="1"/>
  <c r="L1444" i="1"/>
  <c r="J1444" i="1"/>
  <c r="L1443" i="1"/>
  <c r="J1443" i="1"/>
  <c r="L1442" i="1"/>
  <c r="J1442" i="1"/>
  <c r="L1441" i="1"/>
  <c r="J1441" i="1"/>
  <c r="L1440" i="1"/>
  <c r="J1440" i="1"/>
  <c r="L1439" i="1"/>
  <c r="J1439" i="1"/>
  <c r="L1438" i="1"/>
  <c r="J1438" i="1"/>
  <c r="L1437" i="1"/>
  <c r="J1437" i="1"/>
  <c r="L1436" i="1"/>
  <c r="J1436" i="1"/>
  <c r="L1435" i="1"/>
  <c r="J1435" i="1"/>
  <c r="L1434" i="1"/>
  <c r="J1434" i="1"/>
  <c r="L1433" i="1"/>
  <c r="J1433" i="1"/>
  <c r="L1432" i="1"/>
  <c r="J1432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L1421" i="1"/>
  <c r="J1421" i="1"/>
  <c r="L1420" i="1"/>
  <c r="J1420" i="1"/>
  <c r="L1419" i="1"/>
  <c r="J1419" i="1"/>
  <c r="L1418" i="1"/>
  <c r="J1418" i="1"/>
  <c r="L1417" i="1"/>
  <c r="J1417" i="1"/>
  <c r="L1416" i="1"/>
  <c r="J1416" i="1"/>
  <c r="L1415" i="1"/>
  <c r="J1415" i="1"/>
  <c r="L1414" i="1"/>
  <c r="J1414" i="1"/>
  <c r="L1413" i="1"/>
  <c r="J1413" i="1"/>
  <c r="L1412" i="1"/>
  <c r="J1412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L1391" i="1"/>
  <c r="J1391" i="1"/>
  <c r="L1390" i="1"/>
  <c r="J1390" i="1"/>
  <c r="L1389" i="1"/>
  <c r="J1389" i="1"/>
  <c r="L1388" i="1"/>
  <c r="J1388" i="1"/>
  <c r="L1387" i="1"/>
  <c r="J1387" i="1"/>
  <c r="L1386" i="1"/>
  <c r="J1386" i="1"/>
  <c r="L1385" i="1"/>
  <c r="J1385" i="1"/>
  <c r="L1384" i="1"/>
  <c r="J1384" i="1"/>
  <c r="L1383" i="1"/>
  <c r="J1383" i="1"/>
  <c r="L1382" i="1"/>
  <c r="J1382" i="1"/>
  <c r="L1381" i="1"/>
  <c r="J1381" i="1"/>
  <c r="L1380" i="1"/>
  <c r="J1380" i="1"/>
  <c r="L1379" i="1"/>
  <c r="J1379" i="1"/>
  <c r="L1378" i="1"/>
  <c r="J1378" i="1"/>
  <c r="L1377" i="1"/>
  <c r="J1377" i="1"/>
  <c r="L1376" i="1"/>
  <c r="J1376" i="1"/>
  <c r="L1375" i="1"/>
  <c r="J1375" i="1"/>
  <c r="L1374" i="1"/>
  <c r="J1374" i="1"/>
  <c r="L1373" i="1"/>
  <c r="J1373" i="1"/>
  <c r="L1372" i="1"/>
  <c r="J1372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L1361" i="1"/>
  <c r="J1361" i="1"/>
  <c r="L1360" i="1"/>
  <c r="J1360" i="1"/>
  <c r="L1359" i="1"/>
  <c r="J1359" i="1"/>
  <c r="L1358" i="1"/>
  <c r="J1358" i="1"/>
  <c r="L1357" i="1"/>
  <c r="J1357" i="1"/>
  <c r="L1356" i="1"/>
  <c r="J1356" i="1"/>
  <c r="L1355" i="1"/>
  <c r="J1355" i="1"/>
  <c r="L1354" i="1"/>
  <c r="J1354" i="1"/>
  <c r="L1353" i="1"/>
  <c r="J1353" i="1"/>
  <c r="L1352" i="1"/>
  <c r="J1352" i="1"/>
  <c r="L1351" i="1"/>
  <c r="J1351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L1341" i="1"/>
  <c r="J1341" i="1"/>
  <c r="L1340" i="1"/>
  <c r="J1340" i="1"/>
  <c r="L1339" i="1"/>
  <c r="J1339" i="1"/>
  <c r="L1338" i="1"/>
  <c r="J1338" i="1"/>
  <c r="L1337" i="1"/>
  <c r="J1337" i="1"/>
  <c r="L1336" i="1"/>
  <c r="J1336" i="1"/>
  <c r="L1335" i="1"/>
  <c r="J1335" i="1"/>
  <c r="L1334" i="1"/>
  <c r="J1334" i="1"/>
  <c r="L1333" i="1"/>
  <c r="J1333" i="1"/>
  <c r="L1332" i="1"/>
  <c r="J1332" i="1"/>
  <c r="L1331" i="1"/>
  <c r="J1331" i="1"/>
  <c r="L1330" i="1"/>
  <c r="J1330" i="1"/>
  <c r="L1329" i="1"/>
  <c r="J1329" i="1"/>
  <c r="L1328" i="1"/>
  <c r="J1328" i="1"/>
  <c r="L1327" i="1"/>
  <c r="J1327" i="1"/>
  <c r="L1326" i="1"/>
  <c r="J1326" i="1"/>
  <c r="L1325" i="1"/>
  <c r="J1325" i="1"/>
  <c r="L1324" i="1"/>
  <c r="J1324" i="1"/>
  <c r="L1323" i="1"/>
  <c r="J1323" i="1"/>
  <c r="L1322" i="1"/>
  <c r="J1322" i="1"/>
  <c r="L1321" i="1"/>
  <c r="J1321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L1311" i="1"/>
  <c r="J1311" i="1"/>
  <c r="L1310" i="1"/>
  <c r="J1310" i="1"/>
  <c r="L1309" i="1"/>
  <c r="J1309" i="1"/>
  <c r="L1308" i="1"/>
  <c r="J1308" i="1"/>
  <c r="L1307" i="1"/>
  <c r="J1307" i="1"/>
  <c r="L1306" i="1"/>
  <c r="J1306" i="1"/>
  <c r="L1305" i="1"/>
  <c r="J1305" i="1"/>
  <c r="L1304" i="1"/>
  <c r="J1304" i="1"/>
  <c r="L1303" i="1"/>
  <c r="J1303" i="1"/>
  <c r="L1302" i="1"/>
  <c r="J1302" i="1"/>
  <c r="L1301" i="1"/>
  <c r="J1301" i="1"/>
  <c r="L1300" i="1"/>
  <c r="J1300" i="1"/>
  <c r="L1299" i="1"/>
  <c r="J1299" i="1"/>
  <c r="L1298" i="1"/>
  <c r="J1298" i="1"/>
  <c r="L1297" i="1"/>
  <c r="J1297" i="1"/>
  <c r="L1296" i="1"/>
  <c r="J1296" i="1"/>
  <c r="L1295" i="1"/>
  <c r="J1295" i="1"/>
  <c r="L1294" i="1"/>
  <c r="J1294" i="1"/>
  <c r="L1293" i="1"/>
  <c r="J1293" i="1"/>
  <c r="L1292" i="1"/>
  <c r="J1292" i="1"/>
  <c r="L1291" i="1"/>
  <c r="J1291" i="1"/>
  <c r="L1290" i="1"/>
  <c r="J1290" i="1"/>
  <c r="L1289" i="1"/>
  <c r="J1289" i="1"/>
  <c r="L1288" i="1"/>
  <c r="J1288" i="1"/>
  <c r="L1287" i="1"/>
  <c r="J1287" i="1"/>
  <c r="L1286" i="1"/>
  <c r="J1286" i="1"/>
  <c r="L1285" i="1"/>
  <c r="J1285" i="1"/>
  <c r="L1284" i="1"/>
  <c r="J1284" i="1"/>
  <c r="L1283" i="1"/>
  <c r="J1283" i="1"/>
  <c r="L1282" i="1"/>
  <c r="J1282" i="1"/>
  <c r="L1281" i="1"/>
  <c r="J1281" i="1"/>
  <c r="L1280" i="1"/>
  <c r="J1280" i="1"/>
  <c r="L1279" i="1"/>
  <c r="J1279" i="1"/>
  <c r="L1278" i="1"/>
  <c r="J1278" i="1"/>
  <c r="L1277" i="1"/>
  <c r="J1277" i="1"/>
  <c r="L1276" i="1"/>
  <c r="J1276" i="1"/>
  <c r="L1275" i="1"/>
  <c r="J1275" i="1"/>
  <c r="L1274" i="1"/>
  <c r="J1274" i="1"/>
  <c r="L1273" i="1"/>
  <c r="J1273" i="1"/>
  <c r="L1272" i="1"/>
  <c r="J1272" i="1"/>
  <c r="L1271" i="1"/>
  <c r="J1271" i="1"/>
  <c r="L1270" i="1"/>
  <c r="J1270" i="1"/>
  <c r="L1269" i="1"/>
  <c r="J1269" i="1"/>
  <c r="L1268" i="1"/>
  <c r="J1268" i="1"/>
  <c r="L1267" i="1"/>
  <c r="J1267" i="1"/>
  <c r="L1266" i="1"/>
  <c r="J1266" i="1"/>
  <c r="L1265" i="1"/>
  <c r="J1265" i="1"/>
  <c r="L1264" i="1"/>
  <c r="J1264" i="1"/>
  <c r="L1263" i="1"/>
  <c r="J1263" i="1"/>
  <c r="L1262" i="1"/>
  <c r="J1262" i="1"/>
  <c r="L1261" i="1"/>
  <c r="J1261" i="1"/>
  <c r="L1260" i="1"/>
  <c r="J1260" i="1"/>
  <c r="L1259" i="1"/>
  <c r="J1259" i="1"/>
  <c r="L1258" i="1"/>
  <c r="J1258" i="1"/>
  <c r="L1257" i="1"/>
  <c r="J1257" i="1"/>
  <c r="L1256" i="1"/>
  <c r="J1256" i="1"/>
  <c r="L1255" i="1"/>
  <c r="J1255" i="1"/>
  <c r="L1254" i="1"/>
  <c r="J1254" i="1"/>
  <c r="L1253" i="1"/>
  <c r="J1253" i="1"/>
  <c r="L1252" i="1"/>
  <c r="J1252" i="1"/>
  <c r="L1251" i="1"/>
  <c r="J1251" i="1"/>
  <c r="L1250" i="1"/>
  <c r="J1250" i="1"/>
  <c r="L1249" i="1"/>
  <c r="J1249" i="1"/>
  <c r="L1248" i="1"/>
  <c r="J1248" i="1"/>
  <c r="L1247" i="1"/>
  <c r="J1247" i="1"/>
  <c r="L1246" i="1"/>
  <c r="J1246" i="1"/>
  <c r="L1245" i="1"/>
  <c r="J1245" i="1"/>
  <c r="L1244" i="1"/>
  <c r="J1244" i="1"/>
  <c r="L1243" i="1"/>
  <c r="J1243" i="1"/>
  <c r="L1242" i="1"/>
  <c r="J1242" i="1"/>
  <c r="L1241" i="1"/>
  <c r="J1241" i="1"/>
  <c r="L1240" i="1"/>
  <c r="J1240" i="1"/>
  <c r="L1239" i="1"/>
  <c r="J1239" i="1"/>
  <c r="L1238" i="1"/>
  <c r="J1238" i="1"/>
  <c r="L1237" i="1"/>
  <c r="J1237" i="1"/>
  <c r="L1236" i="1"/>
  <c r="J1236" i="1"/>
  <c r="L1235" i="1"/>
  <c r="J1235" i="1"/>
  <c r="L1234" i="1"/>
  <c r="J1234" i="1"/>
  <c r="L1233" i="1"/>
  <c r="J1233" i="1"/>
  <c r="L1232" i="1"/>
  <c r="J1232" i="1"/>
  <c r="L1231" i="1"/>
  <c r="J1231" i="1"/>
  <c r="L1230" i="1"/>
  <c r="J1230" i="1"/>
  <c r="L1229" i="1"/>
  <c r="J1229" i="1"/>
  <c r="L1228" i="1"/>
  <c r="J1228" i="1"/>
  <c r="L1227" i="1"/>
  <c r="J1227" i="1"/>
  <c r="L1226" i="1"/>
  <c r="J1226" i="1"/>
  <c r="L1225" i="1"/>
  <c r="J1225" i="1"/>
  <c r="L1224" i="1"/>
  <c r="J1224" i="1"/>
  <c r="L1223" i="1"/>
  <c r="J1223" i="1"/>
  <c r="L1222" i="1"/>
  <c r="J1222" i="1"/>
  <c r="L1221" i="1"/>
  <c r="J1221" i="1"/>
  <c r="L1220" i="1"/>
  <c r="J1220" i="1"/>
  <c r="L1219" i="1"/>
  <c r="J1219" i="1"/>
  <c r="L1218" i="1"/>
  <c r="J1218" i="1"/>
  <c r="L1217" i="1"/>
  <c r="J1217" i="1"/>
  <c r="L1216" i="1"/>
  <c r="J1216" i="1"/>
  <c r="L1215" i="1"/>
  <c r="J1215" i="1"/>
  <c r="L1214" i="1"/>
  <c r="J1214" i="1"/>
  <c r="L1213" i="1"/>
  <c r="J1213" i="1"/>
  <c r="L1212" i="1"/>
  <c r="J1212" i="1"/>
  <c r="L1211" i="1"/>
  <c r="J1211" i="1"/>
  <c r="L1210" i="1"/>
  <c r="J1210" i="1"/>
  <c r="L1209" i="1"/>
  <c r="J1209" i="1"/>
  <c r="L1208" i="1"/>
  <c r="J1208" i="1"/>
  <c r="L1207" i="1"/>
  <c r="J1207" i="1"/>
  <c r="L1206" i="1"/>
  <c r="J1206" i="1"/>
  <c r="L1205" i="1"/>
  <c r="J1205" i="1"/>
  <c r="L1204" i="1"/>
  <c r="J1204" i="1"/>
  <c r="L1203" i="1"/>
  <c r="J1203" i="1"/>
  <c r="L1202" i="1"/>
  <c r="J1202" i="1"/>
  <c r="L1201" i="1"/>
  <c r="J1201" i="1"/>
  <c r="L1200" i="1"/>
  <c r="J1200" i="1"/>
  <c r="L1199" i="1"/>
  <c r="J1199" i="1"/>
  <c r="L1198" i="1"/>
  <c r="J1198" i="1"/>
  <c r="L1197" i="1"/>
  <c r="J1197" i="1"/>
  <c r="L1196" i="1"/>
  <c r="J1196" i="1"/>
  <c r="L1195" i="1"/>
  <c r="J1195" i="1"/>
  <c r="L1194" i="1"/>
  <c r="J1194" i="1"/>
  <c r="L1193" i="1"/>
  <c r="J1193" i="1"/>
  <c r="L1192" i="1"/>
  <c r="J1192" i="1"/>
  <c r="L1191" i="1"/>
  <c r="J1191" i="1"/>
  <c r="L1190" i="1"/>
  <c r="J1190" i="1"/>
  <c r="L1189" i="1"/>
  <c r="J1189" i="1"/>
  <c r="L1188" i="1"/>
  <c r="J1188" i="1"/>
  <c r="L1187" i="1"/>
  <c r="J1187" i="1"/>
  <c r="L1186" i="1"/>
  <c r="J1186" i="1"/>
  <c r="L1185" i="1"/>
  <c r="J1185" i="1"/>
  <c r="L1184" i="1"/>
  <c r="J1184" i="1"/>
  <c r="L1183" i="1"/>
  <c r="J1183" i="1"/>
  <c r="L1182" i="1"/>
  <c r="J1182" i="1"/>
  <c r="L1181" i="1"/>
  <c r="J1181" i="1"/>
  <c r="L1180" i="1"/>
  <c r="J1180" i="1"/>
  <c r="L1179" i="1"/>
  <c r="J1179" i="1"/>
  <c r="L1178" i="1"/>
  <c r="J1178" i="1"/>
  <c r="L1177" i="1"/>
  <c r="J1177" i="1"/>
  <c r="L1176" i="1"/>
  <c r="J1176" i="1"/>
  <c r="L1175" i="1"/>
  <c r="J1175" i="1"/>
  <c r="L1174" i="1"/>
  <c r="J1174" i="1"/>
  <c r="L1173" i="1"/>
  <c r="J1173" i="1"/>
  <c r="L1172" i="1"/>
  <c r="J1172" i="1"/>
  <c r="L1171" i="1"/>
  <c r="J1171" i="1"/>
  <c r="L1170" i="1"/>
  <c r="J1170" i="1"/>
  <c r="L1169" i="1"/>
  <c r="J1169" i="1"/>
  <c r="L1168" i="1"/>
  <c r="J1168" i="1"/>
  <c r="L1167" i="1"/>
  <c r="J1167" i="1"/>
  <c r="L1166" i="1"/>
  <c r="J1166" i="1"/>
  <c r="L1165" i="1"/>
  <c r="J1165" i="1"/>
  <c r="L1164" i="1"/>
  <c r="J1164" i="1"/>
  <c r="L1163" i="1"/>
  <c r="J1163" i="1"/>
  <c r="L1162" i="1"/>
  <c r="J1162" i="1"/>
  <c r="L1161" i="1"/>
  <c r="J1161" i="1"/>
  <c r="L1160" i="1"/>
  <c r="J1160" i="1"/>
  <c r="L1159" i="1"/>
  <c r="J1159" i="1"/>
  <c r="L1158" i="1"/>
  <c r="J1158" i="1"/>
  <c r="L1157" i="1"/>
  <c r="J1157" i="1"/>
  <c r="L1156" i="1"/>
  <c r="J1156" i="1"/>
  <c r="L1155" i="1"/>
  <c r="J1155" i="1"/>
  <c r="L1154" i="1"/>
  <c r="J1154" i="1"/>
  <c r="L1153" i="1"/>
  <c r="J1153" i="1"/>
  <c r="L1152" i="1"/>
  <c r="J1152" i="1"/>
  <c r="L1151" i="1"/>
  <c r="J1151" i="1"/>
  <c r="L1150" i="1"/>
  <c r="J1150" i="1"/>
  <c r="L1149" i="1"/>
  <c r="J1149" i="1"/>
  <c r="L1148" i="1"/>
  <c r="J1148" i="1"/>
  <c r="L1147" i="1"/>
  <c r="J1147" i="1"/>
  <c r="L1146" i="1"/>
  <c r="J1146" i="1"/>
  <c r="L1145" i="1"/>
  <c r="J1145" i="1"/>
  <c r="L1144" i="1"/>
  <c r="J1144" i="1"/>
  <c r="L1143" i="1"/>
  <c r="J1143" i="1"/>
  <c r="L1142" i="1"/>
  <c r="J1142" i="1"/>
  <c r="L1141" i="1"/>
  <c r="J1141" i="1"/>
  <c r="L1140" i="1"/>
  <c r="J1140" i="1"/>
  <c r="L1139" i="1"/>
  <c r="J1139" i="1"/>
  <c r="L1138" i="1"/>
  <c r="J1138" i="1"/>
  <c r="L1137" i="1"/>
  <c r="J1137" i="1"/>
  <c r="L1136" i="1"/>
  <c r="J1136" i="1"/>
  <c r="L1135" i="1"/>
  <c r="J1135" i="1"/>
  <c r="L1134" i="1"/>
  <c r="J1134" i="1"/>
  <c r="L1133" i="1"/>
  <c r="J1133" i="1"/>
  <c r="L1132" i="1"/>
  <c r="J1132" i="1"/>
  <c r="L1131" i="1"/>
  <c r="J1131" i="1"/>
  <c r="L1130" i="1"/>
  <c r="J1130" i="1"/>
  <c r="L1129" i="1"/>
  <c r="J1129" i="1"/>
  <c r="L1128" i="1"/>
  <c r="J1128" i="1"/>
  <c r="L1127" i="1"/>
  <c r="J1127" i="1"/>
  <c r="L1126" i="1"/>
  <c r="J1126" i="1"/>
  <c r="L1125" i="1"/>
  <c r="J1125" i="1"/>
  <c r="L1124" i="1"/>
  <c r="J1124" i="1"/>
  <c r="L1123" i="1"/>
  <c r="J1123" i="1"/>
  <c r="L1122" i="1"/>
  <c r="J1122" i="1"/>
  <c r="L1121" i="1"/>
  <c r="J1121" i="1"/>
  <c r="L1120" i="1"/>
  <c r="J1120" i="1"/>
  <c r="L1119" i="1"/>
  <c r="J1119" i="1"/>
  <c r="L1118" i="1"/>
  <c r="J1118" i="1"/>
  <c r="L1117" i="1"/>
  <c r="J1117" i="1"/>
  <c r="L1116" i="1"/>
  <c r="J1116" i="1"/>
  <c r="L1115" i="1"/>
  <c r="J1115" i="1"/>
  <c r="L1114" i="1"/>
  <c r="J1114" i="1"/>
  <c r="L1113" i="1"/>
  <c r="J1113" i="1"/>
  <c r="L1112" i="1"/>
  <c r="J1112" i="1"/>
  <c r="L1111" i="1"/>
  <c r="J1111" i="1"/>
  <c r="L1110" i="1"/>
  <c r="J1110" i="1"/>
  <c r="L1109" i="1"/>
  <c r="J1109" i="1"/>
  <c r="L1108" i="1"/>
  <c r="J1108" i="1"/>
  <c r="L1107" i="1"/>
  <c r="J1107" i="1"/>
  <c r="L1106" i="1"/>
  <c r="J1106" i="1"/>
  <c r="L1105" i="1"/>
  <c r="J1105" i="1"/>
  <c r="L1104" i="1"/>
  <c r="J1104" i="1"/>
  <c r="L1103" i="1"/>
  <c r="J1103" i="1"/>
  <c r="L1102" i="1"/>
  <c r="J1102" i="1"/>
  <c r="L1101" i="1"/>
  <c r="J1101" i="1"/>
  <c r="L1100" i="1"/>
  <c r="J1100" i="1"/>
  <c r="L1099" i="1"/>
  <c r="J1099" i="1"/>
  <c r="L1098" i="1"/>
  <c r="J1098" i="1"/>
  <c r="L1097" i="1"/>
  <c r="J1097" i="1"/>
  <c r="L1096" i="1"/>
  <c r="J1096" i="1"/>
  <c r="L1095" i="1"/>
  <c r="J1095" i="1"/>
  <c r="L1094" i="1"/>
  <c r="J1094" i="1"/>
  <c r="L1093" i="1"/>
  <c r="J1093" i="1"/>
  <c r="L1092" i="1"/>
  <c r="J1092" i="1"/>
  <c r="L1091" i="1"/>
  <c r="J1091" i="1"/>
  <c r="L1090" i="1"/>
  <c r="J1090" i="1"/>
  <c r="L1089" i="1"/>
  <c r="J1089" i="1"/>
  <c r="L1088" i="1"/>
  <c r="J1088" i="1"/>
  <c r="L1087" i="1"/>
  <c r="J1087" i="1"/>
  <c r="L1086" i="1"/>
  <c r="J1086" i="1"/>
  <c r="L1085" i="1"/>
  <c r="J1085" i="1"/>
  <c r="L1084" i="1"/>
  <c r="J1084" i="1"/>
  <c r="L1083" i="1"/>
  <c r="J1083" i="1"/>
  <c r="L1082" i="1"/>
  <c r="J1082" i="1"/>
  <c r="L1081" i="1"/>
  <c r="J1081" i="1"/>
  <c r="L1080" i="1"/>
  <c r="J1080" i="1"/>
  <c r="L1079" i="1"/>
  <c r="J1079" i="1"/>
  <c r="L1078" i="1"/>
  <c r="J1078" i="1"/>
  <c r="L1077" i="1"/>
  <c r="J1077" i="1"/>
  <c r="L1076" i="1"/>
  <c r="J1076" i="1"/>
  <c r="L1075" i="1"/>
  <c r="J1075" i="1"/>
  <c r="L1074" i="1"/>
  <c r="J1074" i="1"/>
  <c r="L1073" i="1"/>
  <c r="J1073" i="1"/>
  <c r="L1072" i="1"/>
  <c r="J1072" i="1"/>
  <c r="L1071" i="1"/>
  <c r="J1071" i="1"/>
  <c r="L1070" i="1"/>
  <c r="J1070" i="1"/>
  <c r="L1069" i="1"/>
  <c r="J1069" i="1"/>
  <c r="L1068" i="1"/>
  <c r="J1068" i="1"/>
  <c r="L1067" i="1"/>
  <c r="J1067" i="1"/>
  <c r="L1066" i="1"/>
  <c r="J1066" i="1"/>
  <c r="L1065" i="1"/>
  <c r="J1065" i="1"/>
  <c r="L1064" i="1"/>
  <c r="J1064" i="1"/>
  <c r="L1063" i="1"/>
  <c r="J1063" i="1"/>
  <c r="L1062" i="1"/>
  <c r="J1062" i="1"/>
  <c r="L1061" i="1"/>
  <c r="J1061" i="1"/>
  <c r="L1060" i="1"/>
  <c r="J1060" i="1"/>
  <c r="L1059" i="1"/>
  <c r="J1059" i="1"/>
  <c r="L1058" i="1"/>
  <c r="J1058" i="1"/>
  <c r="L1057" i="1"/>
  <c r="J1057" i="1"/>
  <c r="L1056" i="1"/>
  <c r="J1056" i="1"/>
  <c r="L1055" i="1"/>
  <c r="J1055" i="1"/>
  <c r="L1054" i="1"/>
  <c r="J1054" i="1"/>
  <c r="L1053" i="1"/>
  <c r="J1053" i="1"/>
  <c r="L1052" i="1"/>
  <c r="J1052" i="1"/>
  <c r="L1051" i="1"/>
  <c r="J1051" i="1"/>
  <c r="L1050" i="1"/>
  <c r="J1050" i="1"/>
  <c r="L1049" i="1"/>
  <c r="J1049" i="1"/>
  <c r="L1048" i="1"/>
  <c r="J1048" i="1"/>
  <c r="L1047" i="1"/>
  <c r="J1047" i="1"/>
  <c r="L1046" i="1"/>
  <c r="J1046" i="1"/>
  <c r="L1045" i="1"/>
  <c r="J1045" i="1"/>
  <c r="L1044" i="1"/>
  <c r="J1044" i="1"/>
  <c r="L1043" i="1"/>
  <c r="J1043" i="1"/>
  <c r="L1042" i="1"/>
  <c r="J1042" i="1"/>
  <c r="L1041" i="1"/>
  <c r="J1041" i="1"/>
  <c r="L1040" i="1"/>
  <c r="J1040" i="1"/>
  <c r="L1039" i="1"/>
  <c r="J1039" i="1"/>
  <c r="L1038" i="1"/>
  <c r="J1038" i="1"/>
  <c r="L1037" i="1"/>
  <c r="J1037" i="1"/>
  <c r="L1036" i="1"/>
  <c r="J1036" i="1"/>
  <c r="L1035" i="1"/>
  <c r="J1035" i="1"/>
  <c r="L1034" i="1"/>
  <c r="J1034" i="1"/>
  <c r="L1033" i="1"/>
  <c r="J1033" i="1"/>
  <c r="L1032" i="1"/>
  <c r="J1032" i="1"/>
  <c r="L1031" i="1"/>
  <c r="J1031" i="1"/>
  <c r="L1030" i="1"/>
  <c r="J1030" i="1"/>
  <c r="L1029" i="1"/>
  <c r="J1029" i="1"/>
  <c r="L1028" i="1"/>
  <c r="J1028" i="1"/>
  <c r="L1027" i="1"/>
  <c r="J1027" i="1"/>
  <c r="L1026" i="1"/>
  <c r="J1026" i="1"/>
  <c r="L1025" i="1"/>
  <c r="J1025" i="1"/>
  <c r="L1024" i="1"/>
  <c r="J1024" i="1"/>
  <c r="L1023" i="1"/>
  <c r="J1023" i="1"/>
  <c r="L1022" i="1"/>
  <c r="J1022" i="1"/>
  <c r="L1021" i="1"/>
  <c r="J1021" i="1"/>
  <c r="L1020" i="1"/>
  <c r="J1020" i="1"/>
  <c r="L1019" i="1"/>
  <c r="J1019" i="1"/>
  <c r="L1018" i="1"/>
  <c r="J1018" i="1"/>
  <c r="L1017" i="1"/>
  <c r="J1017" i="1"/>
  <c r="L1016" i="1"/>
  <c r="J1016" i="1"/>
  <c r="L1015" i="1"/>
  <c r="J1015" i="1"/>
  <c r="L1014" i="1"/>
  <c r="J1014" i="1"/>
  <c r="L1013" i="1"/>
  <c r="J1013" i="1"/>
  <c r="L1012" i="1"/>
  <c r="J1012" i="1"/>
  <c r="L1011" i="1"/>
  <c r="J1011" i="1"/>
  <c r="L1010" i="1"/>
  <c r="J1010" i="1"/>
  <c r="L1009" i="1"/>
  <c r="J1009" i="1"/>
  <c r="L1008" i="1"/>
  <c r="J1008" i="1"/>
  <c r="L1007" i="1"/>
  <c r="J1007" i="1"/>
  <c r="L1006" i="1"/>
  <c r="J1006" i="1"/>
  <c r="L1005" i="1"/>
  <c r="J1005" i="1"/>
  <c r="L1004" i="1"/>
  <c r="J1004" i="1"/>
  <c r="L1003" i="1"/>
  <c r="J1003" i="1"/>
  <c r="L1002" i="1"/>
  <c r="J1002" i="1"/>
  <c r="L1001" i="1"/>
  <c r="J1001" i="1"/>
  <c r="L1000" i="1"/>
  <c r="J1000" i="1"/>
  <c r="L999" i="1"/>
  <c r="J999" i="1"/>
  <c r="L998" i="1"/>
  <c r="J998" i="1"/>
  <c r="L997" i="1"/>
  <c r="J997" i="1"/>
  <c r="L996" i="1"/>
  <c r="J996" i="1"/>
  <c r="L995" i="1"/>
  <c r="J995" i="1"/>
  <c r="L994" i="1"/>
  <c r="J994" i="1"/>
  <c r="L993" i="1"/>
  <c r="J993" i="1"/>
  <c r="L992" i="1"/>
  <c r="J992" i="1"/>
  <c r="L991" i="1"/>
  <c r="J991" i="1"/>
  <c r="L990" i="1"/>
  <c r="J990" i="1"/>
  <c r="L989" i="1"/>
  <c r="J989" i="1"/>
  <c r="L988" i="1"/>
  <c r="J988" i="1"/>
  <c r="L987" i="1"/>
  <c r="J987" i="1"/>
  <c r="L986" i="1"/>
  <c r="J986" i="1"/>
  <c r="L985" i="1"/>
  <c r="J985" i="1"/>
  <c r="L984" i="1"/>
  <c r="J984" i="1"/>
  <c r="L983" i="1"/>
  <c r="J983" i="1"/>
  <c r="L982" i="1"/>
  <c r="J982" i="1"/>
  <c r="L981" i="1"/>
  <c r="J981" i="1"/>
  <c r="L980" i="1"/>
  <c r="J980" i="1"/>
  <c r="L979" i="1"/>
  <c r="J979" i="1"/>
  <c r="L978" i="1"/>
  <c r="J978" i="1"/>
  <c r="L977" i="1"/>
  <c r="J977" i="1"/>
  <c r="L976" i="1"/>
  <c r="J976" i="1"/>
  <c r="L975" i="1"/>
  <c r="J975" i="1"/>
  <c r="L974" i="1"/>
  <c r="J974" i="1"/>
  <c r="L973" i="1"/>
  <c r="J973" i="1"/>
  <c r="L972" i="1"/>
  <c r="J972" i="1"/>
  <c r="L971" i="1"/>
  <c r="J971" i="1"/>
  <c r="L970" i="1"/>
  <c r="J970" i="1"/>
  <c r="L969" i="1"/>
  <c r="J969" i="1"/>
  <c r="L968" i="1"/>
  <c r="J968" i="1"/>
  <c r="L967" i="1"/>
  <c r="J967" i="1"/>
  <c r="L966" i="1"/>
  <c r="J966" i="1"/>
  <c r="L965" i="1"/>
  <c r="J965" i="1"/>
  <c r="L964" i="1"/>
  <c r="J964" i="1"/>
  <c r="L963" i="1"/>
  <c r="J963" i="1"/>
  <c r="L962" i="1"/>
  <c r="J962" i="1"/>
  <c r="L961" i="1"/>
  <c r="J961" i="1"/>
  <c r="L960" i="1"/>
  <c r="J960" i="1"/>
  <c r="L959" i="1"/>
  <c r="J959" i="1"/>
  <c r="L958" i="1"/>
  <c r="J958" i="1"/>
  <c r="L957" i="1"/>
  <c r="J957" i="1"/>
  <c r="L956" i="1"/>
  <c r="J956" i="1"/>
  <c r="L955" i="1"/>
  <c r="J955" i="1"/>
  <c r="L954" i="1"/>
  <c r="J954" i="1"/>
  <c r="L953" i="1"/>
  <c r="J953" i="1"/>
  <c r="L952" i="1"/>
  <c r="J952" i="1"/>
  <c r="L951" i="1"/>
  <c r="J951" i="1"/>
  <c r="L950" i="1"/>
  <c r="J950" i="1"/>
  <c r="L949" i="1"/>
  <c r="J949" i="1"/>
  <c r="L948" i="1"/>
  <c r="J948" i="1"/>
  <c r="L947" i="1"/>
  <c r="J947" i="1"/>
  <c r="L946" i="1"/>
  <c r="J946" i="1"/>
  <c r="L945" i="1"/>
  <c r="J945" i="1"/>
  <c r="L944" i="1"/>
  <c r="J944" i="1"/>
  <c r="L943" i="1"/>
  <c r="J943" i="1"/>
  <c r="L942" i="1"/>
  <c r="J942" i="1"/>
  <c r="L941" i="1"/>
  <c r="J941" i="1"/>
  <c r="L940" i="1"/>
  <c r="J940" i="1"/>
  <c r="L939" i="1"/>
  <c r="J939" i="1"/>
  <c r="L938" i="1"/>
  <c r="J938" i="1"/>
  <c r="L937" i="1"/>
  <c r="J937" i="1"/>
  <c r="L936" i="1"/>
  <c r="J936" i="1"/>
  <c r="L935" i="1"/>
  <c r="J935" i="1"/>
  <c r="L934" i="1"/>
  <c r="J934" i="1"/>
  <c r="L933" i="1"/>
  <c r="J933" i="1"/>
  <c r="L932" i="1"/>
  <c r="J932" i="1"/>
  <c r="L931" i="1"/>
  <c r="J931" i="1"/>
  <c r="L930" i="1"/>
  <c r="J930" i="1"/>
  <c r="L929" i="1"/>
  <c r="J929" i="1"/>
  <c r="L928" i="1"/>
  <c r="J928" i="1"/>
  <c r="L927" i="1"/>
  <c r="J927" i="1"/>
  <c r="L926" i="1"/>
  <c r="J926" i="1"/>
  <c r="L925" i="1"/>
  <c r="J925" i="1"/>
  <c r="L924" i="1"/>
  <c r="J924" i="1"/>
  <c r="L923" i="1"/>
  <c r="J923" i="1"/>
  <c r="L922" i="1"/>
  <c r="J922" i="1"/>
  <c r="L921" i="1"/>
  <c r="J921" i="1"/>
  <c r="L920" i="1"/>
  <c r="J920" i="1"/>
  <c r="L919" i="1"/>
  <c r="J919" i="1"/>
  <c r="L918" i="1"/>
  <c r="J918" i="1"/>
  <c r="L917" i="1"/>
  <c r="J917" i="1"/>
  <c r="L916" i="1"/>
  <c r="J916" i="1"/>
  <c r="L915" i="1"/>
  <c r="J915" i="1"/>
  <c r="L914" i="1"/>
  <c r="J914" i="1"/>
  <c r="L913" i="1"/>
  <c r="J913" i="1"/>
  <c r="L912" i="1"/>
  <c r="J912" i="1"/>
  <c r="L911" i="1"/>
  <c r="J911" i="1"/>
  <c r="L910" i="1"/>
  <c r="J910" i="1"/>
  <c r="L909" i="1"/>
  <c r="J909" i="1"/>
  <c r="L908" i="1"/>
  <c r="J908" i="1"/>
  <c r="L907" i="1"/>
  <c r="J907" i="1"/>
  <c r="L906" i="1"/>
  <c r="J906" i="1"/>
  <c r="L905" i="1"/>
  <c r="J905" i="1"/>
  <c r="L904" i="1"/>
  <c r="J904" i="1"/>
  <c r="L903" i="1"/>
  <c r="J903" i="1"/>
  <c r="L902" i="1"/>
  <c r="J902" i="1"/>
  <c r="L901" i="1"/>
  <c r="J901" i="1"/>
  <c r="L900" i="1"/>
  <c r="J900" i="1"/>
  <c r="L899" i="1"/>
  <c r="J899" i="1"/>
  <c r="L898" i="1"/>
  <c r="J898" i="1"/>
  <c r="L897" i="1"/>
  <c r="J897" i="1"/>
  <c r="L896" i="1"/>
  <c r="J896" i="1"/>
  <c r="L895" i="1"/>
  <c r="J895" i="1"/>
  <c r="L894" i="1"/>
  <c r="J894" i="1"/>
  <c r="L893" i="1"/>
  <c r="J893" i="1"/>
  <c r="L892" i="1"/>
  <c r="J892" i="1"/>
  <c r="L891" i="1"/>
  <c r="J891" i="1"/>
  <c r="L890" i="1"/>
  <c r="J890" i="1"/>
  <c r="L889" i="1"/>
  <c r="J889" i="1"/>
  <c r="L888" i="1"/>
  <c r="J888" i="1"/>
  <c r="L887" i="1"/>
  <c r="J887" i="1"/>
  <c r="L886" i="1"/>
  <c r="J886" i="1"/>
  <c r="L885" i="1"/>
  <c r="J885" i="1"/>
  <c r="L884" i="1"/>
  <c r="J884" i="1"/>
  <c r="L883" i="1"/>
  <c r="J883" i="1"/>
  <c r="L882" i="1"/>
  <c r="J882" i="1"/>
  <c r="L881" i="1"/>
  <c r="J881" i="1"/>
  <c r="L880" i="1"/>
  <c r="J880" i="1"/>
  <c r="L879" i="1"/>
  <c r="J879" i="1"/>
  <c r="L878" i="1"/>
  <c r="J878" i="1"/>
  <c r="L877" i="1"/>
  <c r="J877" i="1"/>
  <c r="L876" i="1"/>
  <c r="J876" i="1"/>
  <c r="L875" i="1"/>
  <c r="J875" i="1"/>
  <c r="L874" i="1"/>
  <c r="J874" i="1"/>
  <c r="L873" i="1"/>
  <c r="J873" i="1"/>
  <c r="L872" i="1"/>
  <c r="J872" i="1"/>
  <c r="L871" i="1"/>
  <c r="J871" i="1"/>
  <c r="L870" i="1"/>
  <c r="J870" i="1"/>
  <c r="L869" i="1"/>
  <c r="J869" i="1"/>
  <c r="L868" i="1"/>
  <c r="J868" i="1"/>
  <c r="L867" i="1"/>
  <c r="J867" i="1"/>
  <c r="L866" i="1"/>
  <c r="J866" i="1"/>
  <c r="L865" i="1"/>
  <c r="J865" i="1"/>
  <c r="L864" i="1"/>
  <c r="J864" i="1"/>
  <c r="L863" i="1"/>
  <c r="J863" i="1"/>
  <c r="L862" i="1"/>
  <c r="J862" i="1"/>
  <c r="L861" i="1"/>
  <c r="J861" i="1"/>
  <c r="L860" i="1"/>
  <c r="J860" i="1"/>
  <c r="L859" i="1"/>
  <c r="J859" i="1"/>
  <c r="L858" i="1"/>
  <c r="J858" i="1"/>
  <c r="L857" i="1"/>
  <c r="J857" i="1"/>
  <c r="L856" i="1"/>
  <c r="J856" i="1"/>
  <c r="L855" i="1"/>
  <c r="J855" i="1"/>
  <c r="L854" i="1"/>
  <c r="J854" i="1"/>
  <c r="L853" i="1"/>
  <c r="J853" i="1"/>
  <c r="L852" i="1"/>
  <c r="J852" i="1"/>
  <c r="L851" i="1"/>
  <c r="J851" i="1"/>
  <c r="L850" i="1"/>
  <c r="J850" i="1"/>
  <c r="L849" i="1"/>
  <c r="J849" i="1"/>
  <c r="L848" i="1"/>
  <c r="J848" i="1"/>
  <c r="L847" i="1"/>
  <c r="J847" i="1"/>
  <c r="L846" i="1"/>
  <c r="J846" i="1"/>
  <c r="L845" i="1"/>
  <c r="J845" i="1"/>
  <c r="L844" i="1"/>
  <c r="J844" i="1"/>
  <c r="L843" i="1"/>
  <c r="J843" i="1"/>
  <c r="L842" i="1"/>
  <c r="J842" i="1"/>
  <c r="L841" i="1"/>
  <c r="J841" i="1"/>
  <c r="L840" i="1"/>
  <c r="J840" i="1"/>
  <c r="L839" i="1"/>
  <c r="J839" i="1"/>
  <c r="L838" i="1"/>
  <c r="J838" i="1"/>
  <c r="L837" i="1"/>
  <c r="J837" i="1"/>
  <c r="L836" i="1"/>
  <c r="J836" i="1"/>
  <c r="L835" i="1"/>
  <c r="J835" i="1"/>
  <c r="L834" i="1"/>
  <c r="J834" i="1"/>
  <c r="L833" i="1"/>
  <c r="J833" i="1"/>
  <c r="L832" i="1"/>
  <c r="J832" i="1"/>
  <c r="L831" i="1"/>
  <c r="J831" i="1"/>
  <c r="L830" i="1"/>
  <c r="J830" i="1"/>
  <c r="L829" i="1"/>
  <c r="J829" i="1"/>
  <c r="L828" i="1"/>
  <c r="J828" i="1"/>
  <c r="L827" i="1"/>
  <c r="J827" i="1"/>
  <c r="L826" i="1"/>
  <c r="J826" i="1"/>
  <c r="L825" i="1"/>
  <c r="J825" i="1"/>
  <c r="L824" i="1"/>
  <c r="J824" i="1"/>
  <c r="L823" i="1"/>
  <c r="J823" i="1"/>
  <c r="L822" i="1"/>
  <c r="J822" i="1"/>
  <c r="L821" i="1"/>
  <c r="J821" i="1"/>
  <c r="L820" i="1"/>
  <c r="J820" i="1"/>
  <c r="L819" i="1"/>
  <c r="J819" i="1"/>
  <c r="L818" i="1"/>
  <c r="J818" i="1"/>
  <c r="L817" i="1"/>
  <c r="J817" i="1"/>
  <c r="L816" i="1"/>
  <c r="J816" i="1"/>
  <c r="L815" i="1"/>
  <c r="J815" i="1"/>
  <c r="L814" i="1"/>
  <c r="J814" i="1"/>
  <c r="L813" i="1"/>
  <c r="J813" i="1"/>
  <c r="L812" i="1"/>
  <c r="J812" i="1"/>
  <c r="L811" i="1"/>
  <c r="J811" i="1"/>
  <c r="L810" i="1"/>
  <c r="J810" i="1"/>
  <c r="L809" i="1"/>
  <c r="J809" i="1"/>
  <c r="L808" i="1"/>
  <c r="J808" i="1"/>
  <c r="L807" i="1"/>
  <c r="J807" i="1"/>
  <c r="L806" i="1"/>
  <c r="J806" i="1"/>
  <c r="L805" i="1"/>
  <c r="J805" i="1"/>
  <c r="L804" i="1"/>
  <c r="J804" i="1"/>
  <c r="L803" i="1"/>
  <c r="J803" i="1"/>
  <c r="L802" i="1"/>
  <c r="J802" i="1"/>
  <c r="L801" i="1"/>
  <c r="J801" i="1"/>
  <c r="L800" i="1"/>
  <c r="J800" i="1"/>
  <c r="L799" i="1"/>
  <c r="J799" i="1"/>
  <c r="L798" i="1"/>
  <c r="J798" i="1"/>
  <c r="L797" i="1"/>
  <c r="J797" i="1"/>
  <c r="L796" i="1"/>
  <c r="J796" i="1"/>
  <c r="L795" i="1"/>
  <c r="J795" i="1"/>
  <c r="L794" i="1"/>
  <c r="J794" i="1"/>
  <c r="L793" i="1"/>
  <c r="J793" i="1"/>
  <c r="L792" i="1"/>
  <c r="J792" i="1"/>
  <c r="L791" i="1"/>
  <c r="J791" i="1"/>
  <c r="L790" i="1"/>
  <c r="J790" i="1"/>
  <c r="L789" i="1"/>
  <c r="J789" i="1"/>
  <c r="L788" i="1"/>
  <c r="J788" i="1"/>
  <c r="L787" i="1"/>
  <c r="J787" i="1"/>
  <c r="L786" i="1"/>
  <c r="J786" i="1"/>
  <c r="L785" i="1"/>
  <c r="J785" i="1"/>
  <c r="L784" i="1"/>
  <c r="J784" i="1"/>
  <c r="L783" i="1"/>
  <c r="J783" i="1"/>
  <c r="L782" i="1"/>
  <c r="J782" i="1"/>
  <c r="L781" i="1"/>
  <c r="J781" i="1"/>
  <c r="L780" i="1"/>
  <c r="J780" i="1"/>
  <c r="L779" i="1"/>
  <c r="J779" i="1"/>
  <c r="L778" i="1"/>
  <c r="J778" i="1"/>
  <c r="L777" i="1"/>
  <c r="J777" i="1"/>
  <c r="L776" i="1"/>
  <c r="J776" i="1"/>
  <c r="L775" i="1"/>
  <c r="J775" i="1"/>
  <c r="L774" i="1"/>
  <c r="J774" i="1"/>
  <c r="L773" i="1"/>
  <c r="J773" i="1"/>
  <c r="L772" i="1"/>
  <c r="J772" i="1"/>
  <c r="L771" i="1"/>
  <c r="J771" i="1"/>
  <c r="L770" i="1"/>
  <c r="J770" i="1"/>
  <c r="L769" i="1"/>
  <c r="J769" i="1"/>
  <c r="L768" i="1"/>
  <c r="J768" i="1"/>
  <c r="L767" i="1"/>
  <c r="J767" i="1"/>
  <c r="L766" i="1"/>
  <c r="J766" i="1"/>
  <c r="L765" i="1"/>
  <c r="J765" i="1"/>
  <c r="L764" i="1"/>
  <c r="J764" i="1"/>
  <c r="L763" i="1"/>
  <c r="J763" i="1"/>
  <c r="L762" i="1"/>
  <c r="J762" i="1"/>
  <c r="L761" i="1"/>
  <c r="J761" i="1"/>
  <c r="L760" i="1"/>
  <c r="J760" i="1"/>
  <c r="L759" i="1"/>
  <c r="J759" i="1"/>
  <c r="L758" i="1"/>
  <c r="J758" i="1"/>
  <c r="L757" i="1"/>
  <c r="J757" i="1"/>
  <c r="L756" i="1"/>
  <c r="J756" i="1"/>
  <c r="L755" i="1"/>
  <c r="J755" i="1"/>
  <c r="L754" i="1"/>
  <c r="J754" i="1"/>
  <c r="L753" i="1"/>
  <c r="J753" i="1"/>
  <c r="L752" i="1"/>
  <c r="J752" i="1"/>
  <c r="L751" i="1"/>
  <c r="J751" i="1"/>
  <c r="L750" i="1"/>
  <c r="J750" i="1"/>
  <c r="L749" i="1"/>
  <c r="J749" i="1"/>
  <c r="L748" i="1"/>
  <c r="J748" i="1"/>
  <c r="L747" i="1"/>
  <c r="J747" i="1"/>
  <c r="L746" i="1"/>
  <c r="J746" i="1"/>
  <c r="L745" i="1"/>
  <c r="J745" i="1"/>
  <c r="L744" i="1"/>
  <c r="J744" i="1"/>
  <c r="L743" i="1"/>
  <c r="J743" i="1"/>
  <c r="L742" i="1"/>
  <c r="J742" i="1"/>
  <c r="L741" i="1"/>
  <c r="J741" i="1"/>
  <c r="L740" i="1"/>
  <c r="J740" i="1"/>
  <c r="L739" i="1"/>
  <c r="J739" i="1"/>
  <c r="L738" i="1"/>
  <c r="J738" i="1"/>
  <c r="L737" i="1"/>
  <c r="J737" i="1"/>
  <c r="L736" i="1"/>
  <c r="J736" i="1"/>
  <c r="L735" i="1"/>
  <c r="J735" i="1"/>
  <c r="L734" i="1"/>
  <c r="J734" i="1"/>
  <c r="L733" i="1"/>
  <c r="J733" i="1"/>
  <c r="L732" i="1"/>
  <c r="J732" i="1"/>
  <c r="L731" i="1"/>
  <c r="J731" i="1"/>
  <c r="L730" i="1"/>
  <c r="J730" i="1"/>
  <c r="L729" i="1"/>
  <c r="J729" i="1"/>
  <c r="L728" i="1"/>
  <c r="J728" i="1"/>
  <c r="L727" i="1"/>
  <c r="J727" i="1"/>
  <c r="L726" i="1"/>
  <c r="J726" i="1"/>
  <c r="L725" i="1"/>
  <c r="J725" i="1"/>
  <c r="L724" i="1"/>
  <c r="J724" i="1"/>
  <c r="L723" i="1"/>
  <c r="J723" i="1"/>
  <c r="L722" i="1"/>
  <c r="J722" i="1"/>
  <c r="L721" i="1"/>
  <c r="J721" i="1"/>
  <c r="L720" i="1"/>
  <c r="J720" i="1"/>
  <c r="L719" i="1"/>
  <c r="J719" i="1"/>
  <c r="L718" i="1"/>
  <c r="J718" i="1"/>
  <c r="L717" i="1"/>
  <c r="J717" i="1"/>
  <c r="L716" i="1"/>
  <c r="J716" i="1"/>
  <c r="L715" i="1"/>
  <c r="J715" i="1"/>
  <c r="L714" i="1"/>
  <c r="J714" i="1"/>
  <c r="L713" i="1"/>
  <c r="J713" i="1"/>
  <c r="L712" i="1"/>
  <c r="J712" i="1"/>
  <c r="L711" i="1"/>
  <c r="J711" i="1"/>
  <c r="L710" i="1"/>
  <c r="J710" i="1"/>
  <c r="L709" i="1"/>
  <c r="J709" i="1"/>
  <c r="L708" i="1"/>
  <c r="J708" i="1"/>
  <c r="L707" i="1"/>
  <c r="J707" i="1"/>
  <c r="L706" i="1"/>
  <c r="J706" i="1"/>
  <c r="L705" i="1"/>
  <c r="J705" i="1"/>
  <c r="L704" i="1"/>
  <c r="J704" i="1"/>
  <c r="L703" i="1"/>
  <c r="J703" i="1"/>
  <c r="L702" i="1"/>
  <c r="J702" i="1"/>
  <c r="L701" i="1"/>
  <c r="J701" i="1"/>
  <c r="L700" i="1"/>
  <c r="J700" i="1"/>
  <c r="L699" i="1"/>
  <c r="J699" i="1"/>
  <c r="L698" i="1"/>
  <c r="J698" i="1"/>
  <c r="L697" i="1"/>
  <c r="J697" i="1"/>
  <c r="L696" i="1"/>
  <c r="J696" i="1"/>
  <c r="L695" i="1"/>
  <c r="J695" i="1"/>
  <c r="L694" i="1"/>
  <c r="J694" i="1"/>
  <c r="L693" i="1"/>
  <c r="J693" i="1"/>
  <c r="L692" i="1"/>
  <c r="J692" i="1"/>
  <c r="L691" i="1"/>
  <c r="J691" i="1"/>
  <c r="L690" i="1"/>
  <c r="J690" i="1"/>
  <c r="L689" i="1"/>
  <c r="J689" i="1"/>
  <c r="L688" i="1"/>
  <c r="J688" i="1"/>
  <c r="L687" i="1"/>
  <c r="J687" i="1"/>
  <c r="L686" i="1"/>
  <c r="J686" i="1"/>
  <c r="L685" i="1"/>
  <c r="J685" i="1"/>
  <c r="L684" i="1"/>
  <c r="J684" i="1"/>
  <c r="L683" i="1"/>
  <c r="J683" i="1"/>
  <c r="L682" i="1"/>
  <c r="J682" i="1"/>
  <c r="L681" i="1"/>
  <c r="J681" i="1"/>
  <c r="L680" i="1"/>
  <c r="J680" i="1"/>
  <c r="L679" i="1"/>
  <c r="J679" i="1"/>
  <c r="L678" i="1"/>
  <c r="J678" i="1"/>
  <c r="L677" i="1"/>
  <c r="J677" i="1"/>
  <c r="L676" i="1"/>
  <c r="J676" i="1"/>
  <c r="L675" i="1"/>
  <c r="J675" i="1"/>
  <c r="L674" i="1"/>
  <c r="J674" i="1"/>
  <c r="L673" i="1"/>
  <c r="J673" i="1"/>
  <c r="L672" i="1"/>
  <c r="J672" i="1"/>
  <c r="L671" i="1"/>
  <c r="J671" i="1"/>
  <c r="L670" i="1"/>
  <c r="J670" i="1"/>
  <c r="L669" i="1"/>
  <c r="J669" i="1"/>
  <c r="L668" i="1"/>
  <c r="J668" i="1"/>
  <c r="L667" i="1"/>
  <c r="J667" i="1"/>
  <c r="L666" i="1"/>
  <c r="J666" i="1"/>
  <c r="L665" i="1"/>
  <c r="J665" i="1"/>
  <c r="L664" i="1"/>
  <c r="J664" i="1"/>
  <c r="L663" i="1"/>
  <c r="J663" i="1"/>
  <c r="L662" i="1"/>
  <c r="J662" i="1"/>
  <c r="L661" i="1"/>
  <c r="J661" i="1"/>
  <c r="L660" i="1"/>
  <c r="J660" i="1"/>
  <c r="L659" i="1"/>
  <c r="J659" i="1"/>
  <c r="L658" i="1"/>
  <c r="J658" i="1"/>
  <c r="L657" i="1"/>
  <c r="J657" i="1"/>
  <c r="L656" i="1"/>
  <c r="J656" i="1"/>
  <c r="L655" i="1"/>
  <c r="J655" i="1"/>
  <c r="L654" i="1"/>
  <c r="J654" i="1"/>
  <c r="L653" i="1"/>
  <c r="J653" i="1"/>
  <c r="L652" i="1"/>
  <c r="J652" i="1"/>
  <c r="L651" i="1"/>
  <c r="J651" i="1"/>
  <c r="L650" i="1"/>
  <c r="J650" i="1"/>
  <c r="L649" i="1"/>
  <c r="J649" i="1"/>
  <c r="L648" i="1"/>
  <c r="J648" i="1"/>
  <c r="L647" i="1"/>
  <c r="J647" i="1"/>
  <c r="L646" i="1"/>
  <c r="J646" i="1"/>
  <c r="L645" i="1"/>
  <c r="J645" i="1"/>
  <c r="L644" i="1"/>
  <c r="J644" i="1"/>
  <c r="L643" i="1"/>
  <c r="J643" i="1"/>
  <c r="L642" i="1"/>
  <c r="J642" i="1"/>
  <c r="L641" i="1"/>
  <c r="J641" i="1"/>
  <c r="L640" i="1"/>
  <c r="J640" i="1"/>
  <c r="L639" i="1"/>
  <c r="J639" i="1"/>
  <c r="L638" i="1"/>
  <c r="J638" i="1"/>
  <c r="L637" i="1"/>
  <c r="J637" i="1"/>
  <c r="L636" i="1"/>
  <c r="J636" i="1"/>
  <c r="L635" i="1"/>
  <c r="J635" i="1"/>
  <c r="L634" i="1"/>
  <c r="J634" i="1"/>
  <c r="L633" i="1"/>
  <c r="J633" i="1"/>
  <c r="L632" i="1"/>
  <c r="J632" i="1"/>
  <c r="L631" i="1"/>
  <c r="J631" i="1"/>
  <c r="L630" i="1"/>
  <c r="J630" i="1"/>
  <c r="L629" i="1"/>
  <c r="J629" i="1"/>
  <c r="L628" i="1"/>
  <c r="J628" i="1"/>
  <c r="L627" i="1"/>
  <c r="J627" i="1"/>
  <c r="L626" i="1"/>
  <c r="J626" i="1"/>
  <c r="L625" i="1"/>
  <c r="J625" i="1"/>
  <c r="L624" i="1"/>
  <c r="J624" i="1"/>
  <c r="L623" i="1"/>
  <c r="J623" i="1"/>
  <c r="L622" i="1"/>
  <c r="J622" i="1"/>
  <c r="L621" i="1"/>
  <c r="J621" i="1"/>
  <c r="L620" i="1"/>
  <c r="J620" i="1"/>
  <c r="L619" i="1"/>
  <c r="J619" i="1"/>
  <c r="L618" i="1"/>
  <c r="J618" i="1"/>
  <c r="L617" i="1"/>
  <c r="J617" i="1"/>
  <c r="L616" i="1"/>
  <c r="J616" i="1"/>
  <c r="L615" i="1"/>
  <c r="J615" i="1"/>
  <c r="L614" i="1"/>
  <c r="J614" i="1"/>
  <c r="L613" i="1"/>
  <c r="J613" i="1"/>
  <c r="L612" i="1"/>
  <c r="J612" i="1"/>
  <c r="L611" i="1"/>
  <c r="J611" i="1"/>
  <c r="L610" i="1"/>
  <c r="J610" i="1"/>
  <c r="L609" i="1"/>
  <c r="J609" i="1"/>
  <c r="L608" i="1"/>
  <c r="J608" i="1"/>
  <c r="L607" i="1"/>
  <c r="J607" i="1"/>
  <c r="L606" i="1"/>
  <c r="J606" i="1"/>
  <c r="L605" i="1"/>
  <c r="J605" i="1"/>
  <c r="L604" i="1"/>
  <c r="J604" i="1"/>
  <c r="L603" i="1"/>
  <c r="J603" i="1"/>
  <c r="L602" i="1"/>
  <c r="J602" i="1"/>
  <c r="L601" i="1"/>
  <c r="J601" i="1"/>
  <c r="L600" i="1"/>
  <c r="J600" i="1"/>
  <c r="L599" i="1"/>
  <c r="J599" i="1"/>
  <c r="L598" i="1"/>
  <c r="J598" i="1"/>
  <c r="L597" i="1"/>
  <c r="J597" i="1"/>
  <c r="L596" i="1"/>
  <c r="J596" i="1"/>
  <c r="L595" i="1"/>
  <c r="J595" i="1"/>
  <c r="L594" i="1"/>
  <c r="J594" i="1"/>
  <c r="L593" i="1"/>
  <c r="J593" i="1"/>
  <c r="L592" i="1"/>
  <c r="J592" i="1"/>
  <c r="L591" i="1"/>
  <c r="J591" i="1"/>
  <c r="L590" i="1"/>
  <c r="J590" i="1"/>
  <c r="L589" i="1"/>
  <c r="J589" i="1"/>
  <c r="L588" i="1"/>
  <c r="J588" i="1"/>
  <c r="L587" i="1"/>
  <c r="J587" i="1"/>
  <c r="L586" i="1"/>
  <c r="J586" i="1"/>
  <c r="L585" i="1"/>
  <c r="J585" i="1"/>
  <c r="L584" i="1"/>
  <c r="J584" i="1"/>
  <c r="L583" i="1"/>
  <c r="J583" i="1"/>
  <c r="L582" i="1"/>
  <c r="J582" i="1"/>
  <c r="L581" i="1"/>
  <c r="J581" i="1"/>
  <c r="L580" i="1"/>
  <c r="J580" i="1"/>
  <c r="L579" i="1"/>
  <c r="J579" i="1"/>
  <c r="L578" i="1"/>
  <c r="J578" i="1"/>
  <c r="L577" i="1"/>
  <c r="J577" i="1"/>
  <c r="L576" i="1"/>
  <c r="J576" i="1"/>
  <c r="L575" i="1"/>
  <c r="J575" i="1"/>
  <c r="L574" i="1"/>
  <c r="J574" i="1"/>
  <c r="L573" i="1"/>
  <c r="J573" i="1"/>
  <c r="L572" i="1"/>
  <c r="J572" i="1"/>
  <c r="L571" i="1"/>
  <c r="J571" i="1"/>
  <c r="L570" i="1"/>
  <c r="J570" i="1"/>
  <c r="L569" i="1"/>
  <c r="J569" i="1"/>
  <c r="L568" i="1"/>
  <c r="J568" i="1"/>
  <c r="L567" i="1"/>
  <c r="J567" i="1"/>
  <c r="L566" i="1"/>
  <c r="J566" i="1"/>
  <c r="L565" i="1"/>
  <c r="J565" i="1"/>
  <c r="L564" i="1"/>
  <c r="J564" i="1"/>
  <c r="L563" i="1"/>
  <c r="J563" i="1"/>
  <c r="L562" i="1"/>
  <c r="J562" i="1"/>
  <c r="L561" i="1"/>
  <c r="J561" i="1"/>
  <c r="L560" i="1"/>
  <c r="J560" i="1"/>
  <c r="L559" i="1"/>
  <c r="J559" i="1"/>
  <c r="L558" i="1"/>
  <c r="J558" i="1"/>
  <c r="L557" i="1"/>
  <c r="J557" i="1"/>
  <c r="L556" i="1"/>
  <c r="J556" i="1"/>
  <c r="L555" i="1"/>
  <c r="J555" i="1"/>
  <c r="L554" i="1"/>
  <c r="J554" i="1"/>
  <c r="L553" i="1"/>
  <c r="J553" i="1"/>
  <c r="L552" i="1"/>
  <c r="J552" i="1"/>
  <c r="L551" i="1"/>
  <c r="J551" i="1"/>
  <c r="L550" i="1"/>
  <c r="J550" i="1"/>
  <c r="L549" i="1"/>
  <c r="J549" i="1"/>
  <c r="L548" i="1"/>
  <c r="J548" i="1"/>
  <c r="L547" i="1"/>
  <c r="J547" i="1"/>
  <c r="L546" i="1"/>
  <c r="J546" i="1"/>
  <c r="L545" i="1"/>
  <c r="J545" i="1"/>
  <c r="L544" i="1"/>
  <c r="J544" i="1"/>
  <c r="L543" i="1"/>
  <c r="J543" i="1"/>
  <c r="L542" i="1"/>
  <c r="J542" i="1"/>
  <c r="L541" i="1"/>
  <c r="J541" i="1"/>
  <c r="L540" i="1"/>
  <c r="J540" i="1"/>
  <c r="L539" i="1"/>
  <c r="J539" i="1"/>
  <c r="L538" i="1"/>
  <c r="J538" i="1"/>
  <c r="L537" i="1"/>
  <c r="J537" i="1"/>
  <c r="L536" i="1"/>
  <c r="J536" i="1"/>
  <c r="L535" i="1"/>
  <c r="J535" i="1"/>
  <c r="L534" i="1"/>
  <c r="J534" i="1"/>
  <c r="L533" i="1"/>
  <c r="J533" i="1"/>
  <c r="L532" i="1"/>
  <c r="J532" i="1"/>
  <c r="L531" i="1"/>
  <c r="J531" i="1"/>
  <c r="L530" i="1"/>
  <c r="J530" i="1"/>
  <c r="L529" i="1"/>
  <c r="J529" i="1"/>
  <c r="L528" i="1"/>
  <c r="J528" i="1"/>
  <c r="L527" i="1"/>
  <c r="J527" i="1"/>
  <c r="L526" i="1"/>
  <c r="J526" i="1"/>
  <c r="L525" i="1"/>
  <c r="J525" i="1"/>
  <c r="L524" i="1"/>
  <c r="J524" i="1"/>
  <c r="L523" i="1"/>
  <c r="J523" i="1"/>
  <c r="L522" i="1"/>
  <c r="J522" i="1"/>
  <c r="L521" i="1"/>
  <c r="J521" i="1"/>
  <c r="L520" i="1"/>
  <c r="J520" i="1"/>
  <c r="L519" i="1"/>
  <c r="J519" i="1"/>
  <c r="L518" i="1"/>
  <c r="J518" i="1"/>
  <c r="L517" i="1"/>
  <c r="J517" i="1"/>
  <c r="L516" i="1"/>
  <c r="J516" i="1"/>
  <c r="L515" i="1"/>
  <c r="J515" i="1"/>
  <c r="L514" i="1"/>
  <c r="J514" i="1"/>
  <c r="L513" i="1"/>
  <c r="J513" i="1"/>
  <c r="L512" i="1"/>
  <c r="J512" i="1"/>
  <c r="L511" i="1"/>
  <c r="J511" i="1"/>
  <c r="L510" i="1"/>
  <c r="J510" i="1"/>
  <c r="L509" i="1"/>
  <c r="J509" i="1"/>
  <c r="L508" i="1"/>
  <c r="J508" i="1"/>
  <c r="L507" i="1"/>
  <c r="J507" i="1"/>
  <c r="L506" i="1"/>
  <c r="J506" i="1"/>
  <c r="L505" i="1"/>
  <c r="J505" i="1"/>
  <c r="L504" i="1"/>
  <c r="J504" i="1"/>
  <c r="L503" i="1"/>
  <c r="J503" i="1"/>
  <c r="L502" i="1"/>
  <c r="J502" i="1"/>
  <c r="L501" i="1"/>
  <c r="J501" i="1"/>
  <c r="L500" i="1"/>
  <c r="J500" i="1"/>
  <c r="L499" i="1"/>
  <c r="J499" i="1"/>
  <c r="L498" i="1"/>
  <c r="J498" i="1"/>
  <c r="L497" i="1"/>
  <c r="J497" i="1"/>
  <c r="L496" i="1"/>
  <c r="J496" i="1"/>
  <c r="L495" i="1"/>
  <c r="J495" i="1"/>
  <c r="L494" i="1"/>
  <c r="J494" i="1"/>
  <c r="L493" i="1"/>
  <c r="J493" i="1"/>
  <c r="L492" i="1"/>
  <c r="J492" i="1"/>
  <c r="L491" i="1"/>
  <c r="J491" i="1"/>
  <c r="L490" i="1"/>
  <c r="J490" i="1"/>
  <c r="L489" i="1"/>
  <c r="J489" i="1"/>
  <c r="L488" i="1"/>
  <c r="J488" i="1"/>
  <c r="L487" i="1"/>
  <c r="J487" i="1"/>
  <c r="L486" i="1"/>
  <c r="J486" i="1"/>
  <c r="L485" i="1"/>
  <c r="J485" i="1"/>
  <c r="L484" i="1"/>
  <c r="J484" i="1"/>
  <c r="L483" i="1"/>
  <c r="J483" i="1"/>
  <c r="L482" i="1"/>
  <c r="J482" i="1"/>
  <c r="L481" i="1"/>
  <c r="J481" i="1"/>
  <c r="L480" i="1"/>
  <c r="J480" i="1"/>
  <c r="L479" i="1"/>
  <c r="J479" i="1"/>
  <c r="L478" i="1"/>
  <c r="J478" i="1"/>
  <c r="L477" i="1"/>
  <c r="J477" i="1"/>
  <c r="L476" i="1"/>
  <c r="J476" i="1"/>
  <c r="L475" i="1"/>
  <c r="J475" i="1"/>
  <c r="L474" i="1"/>
  <c r="J474" i="1"/>
  <c r="L473" i="1"/>
  <c r="J473" i="1"/>
  <c r="L472" i="1"/>
  <c r="J472" i="1"/>
  <c r="L471" i="1"/>
  <c r="J471" i="1"/>
  <c r="L470" i="1"/>
  <c r="J470" i="1"/>
  <c r="L469" i="1"/>
  <c r="J469" i="1"/>
  <c r="L468" i="1"/>
  <c r="J468" i="1"/>
  <c r="L467" i="1"/>
  <c r="J467" i="1"/>
  <c r="L466" i="1"/>
  <c r="J466" i="1"/>
  <c r="L465" i="1"/>
  <c r="J465" i="1"/>
  <c r="L464" i="1"/>
  <c r="J464" i="1"/>
  <c r="L463" i="1"/>
  <c r="J463" i="1"/>
  <c r="L462" i="1"/>
  <c r="J462" i="1"/>
  <c r="L461" i="1"/>
  <c r="J461" i="1"/>
  <c r="L460" i="1"/>
  <c r="J460" i="1"/>
  <c r="L459" i="1"/>
  <c r="J459" i="1"/>
  <c r="L458" i="1"/>
  <c r="J458" i="1"/>
  <c r="L457" i="1"/>
  <c r="J457" i="1"/>
  <c r="L456" i="1"/>
  <c r="J456" i="1"/>
  <c r="L455" i="1"/>
  <c r="J455" i="1"/>
  <c r="L454" i="1"/>
  <c r="J454" i="1"/>
  <c r="L453" i="1"/>
  <c r="J453" i="1"/>
  <c r="L452" i="1"/>
  <c r="J452" i="1"/>
  <c r="L451" i="1"/>
  <c r="J451" i="1"/>
  <c r="L450" i="1"/>
  <c r="J450" i="1"/>
  <c r="L449" i="1"/>
  <c r="J449" i="1"/>
  <c r="L448" i="1"/>
  <c r="J448" i="1"/>
  <c r="L447" i="1"/>
  <c r="J447" i="1"/>
  <c r="L446" i="1"/>
  <c r="J446" i="1"/>
  <c r="L445" i="1"/>
  <c r="J445" i="1"/>
  <c r="L444" i="1"/>
  <c r="J444" i="1"/>
  <c r="L443" i="1"/>
  <c r="J443" i="1"/>
  <c r="L442" i="1"/>
  <c r="J442" i="1"/>
  <c r="L441" i="1"/>
  <c r="J441" i="1"/>
  <c r="L440" i="1"/>
  <c r="J440" i="1"/>
  <c r="L439" i="1"/>
  <c r="J439" i="1"/>
  <c r="L438" i="1"/>
  <c r="J438" i="1"/>
  <c r="L437" i="1"/>
  <c r="J437" i="1"/>
  <c r="L436" i="1"/>
  <c r="J436" i="1"/>
  <c r="L435" i="1"/>
  <c r="J435" i="1"/>
  <c r="L434" i="1"/>
  <c r="J434" i="1"/>
  <c r="L433" i="1"/>
  <c r="J433" i="1"/>
  <c r="L432" i="1"/>
  <c r="J432" i="1"/>
  <c r="L431" i="1"/>
  <c r="J431" i="1"/>
  <c r="L430" i="1"/>
  <c r="J430" i="1"/>
  <c r="L429" i="1"/>
  <c r="J429" i="1"/>
  <c r="L428" i="1"/>
  <c r="J428" i="1"/>
  <c r="L427" i="1"/>
  <c r="J427" i="1"/>
  <c r="L426" i="1"/>
  <c r="J426" i="1"/>
  <c r="L425" i="1"/>
  <c r="J425" i="1"/>
  <c r="L424" i="1"/>
  <c r="J424" i="1"/>
  <c r="L423" i="1"/>
  <c r="J423" i="1"/>
  <c r="L422" i="1"/>
  <c r="J422" i="1"/>
  <c r="L421" i="1"/>
  <c r="J421" i="1"/>
  <c r="L420" i="1"/>
  <c r="J420" i="1"/>
  <c r="L419" i="1"/>
  <c r="J419" i="1"/>
  <c r="L418" i="1"/>
  <c r="J418" i="1"/>
  <c r="L417" i="1"/>
  <c r="J417" i="1"/>
  <c r="L416" i="1"/>
  <c r="J416" i="1"/>
  <c r="L415" i="1"/>
  <c r="J415" i="1"/>
  <c r="L414" i="1"/>
  <c r="J414" i="1"/>
  <c r="L413" i="1"/>
  <c r="J413" i="1"/>
  <c r="L412" i="1"/>
  <c r="J412" i="1"/>
  <c r="L411" i="1"/>
  <c r="J411" i="1"/>
  <c r="L410" i="1"/>
  <c r="J410" i="1"/>
  <c r="L409" i="1"/>
  <c r="J409" i="1"/>
  <c r="L408" i="1"/>
  <c r="J408" i="1"/>
  <c r="L407" i="1"/>
  <c r="J407" i="1"/>
  <c r="L406" i="1"/>
  <c r="J406" i="1"/>
  <c r="L405" i="1"/>
  <c r="J405" i="1"/>
  <c r="L404" i="1"/>
  <c r="J404" i="1"/>
  <c r="L403" i="1"/>
  <c r="J403" i="1"/>
  <c r="L402" i="1"/>
  <c r="J402" i="1"/>
  <c r="L401" i="1"/>
  <c r="J401" i="1"/>
  <c r="L400" i="1"/>
  <c r="J400" i="1"/>
  <c r="L399" i="1"/>
  <c r="J399" i="1"/>
  <c r="L398" i="1"/>
  <c r="J398" i="1"/>
  <c r="L397" i="1"/>
  <c r="J397" i="1"/>
  <c r="L396" i="1"/>
  <c r="J396" i="1"/>
  <c r="L395" i="1"/>
  <c r="J395" i="1"/>
  <c r="L394" i="1"/>
  <c r="J394" i="1"/>
  <c r="L393" i="1"/>
  <c r="J393" i="1"/>
  <c r="L392" i="1"/>
  <c r="J392" i="1"/>
  <c r="L391" i="1"/>
  <c r="J391" i="1"/>
  <c r="L390" i="1"/>
  <c r="J390" i="1"/>
  <c r="L389" i="1"/>
  <c r="J389" i="1"/>
  <c r="L388" i="1"/>
  <c r="J388" i="1"/>
  <c r="L387" i="1"/>
  <c r="J387" i="1"/>
  <c r="L386" i="1"/>
  <c r="J386" i="1"/>
  <c r="L385" i="1"/>
  <c r="J385" i="1"/>
  <c r="L384" i="1"/>
  <c r="J384" i="1"/>
  <c r="L383" i="1"/>
  <c r="J383" i="1"/>
  <c r="L382" i="1"/>
  <c r="J382" i="1"/>
  <c r="L381" i="1"/>
  <c r="J381" i="1"/>
  <c r="L380" i="1"/>
  <c r="J380" i="1"/>
  <c r="L379" i="1"/>
  <c r="J379" i="1"/>
  <c r="L378" i="1"/>
  <c r="J378" i="1"/>
  <c r="L377" i="1"/>
  <c r="J377" i="1"/>
  <c r="L376" i="1"/>
  <c r="J376" i="1"/>
  <c r="L375" i="1"/>
  <c r="J375" i="1"/>
  <c r="L374" i="1"/>
  <c r="J374" i="1"/>
  <c r="L373" i="1"/>
  <c r="J373" i="1"/>
  <c r="L372" i="1"/>
  <c r="J372" i="1"/>
  <c r="L371" i="1"/>
  <c r="J371" i="1"/>
  <c r="L370" i="1"/>
  <c r="J370" i="1"/>
  <c r="L369" i="1"/>
  <c r="J369" i="1"/>
  <c r="L368" i="1"/>
  <c r="J368" i="1"/>
  <c r="L367" i="1"/>
  <c r="J367" i="1"/>
  <c r="L366" i="1"/>
  <c r="J366" i="1"/>
  <c r="L365" i="1"/>
  <c r="J365" i="1"/>
  <c r="L364" i="1"/>
  <c r="J364" i="1"/>
  <c r="L363" i="1"/>
  <c r="J363" i="1"/>
  <c r="L362" i="1"/>
  <c r="J362" i="1"/>
  <c r="L361" i="1"/>
  <c r="J361" i="1"/>
  <c r="L360" i="1"/>
  <c r="J360" i="1"/>
  <c r="L359" i="1"/>
  <c r="J359" i="1"/>
  <c r="L358" i="1"/>
  <c r="J358" i="1"/>
  <c r="L357" i="1"/>
  <c r="J357" i="1"/>
  <c r="L356" i="1"/>
  <c r="J356" i="1"/>
  <c r="L355" i="1"/>
  <c r="J355" i="1"/>
  <c r="L354" i="1"/>
  <c r="J354" i="1"/>
  <c r="L353" i="1"/>
  <c r="J353" i="1"/>
  <c r="L352" i="1"/>
  <c r="J352" i="1"/>
  <c r="L351" i="1"/>
  <c r="J351" i="1"/>
  <c r="L350" i="1"/>
  <c r="J350" i="1"/>
  <c r="L349" i="1"/>
  <c r="J349" i="1"/>
  <c r="L348" i="1"/>
  <c r="J348" i="1"/>
  <c r="L347" i="1"/>
  <c r="J347" i="1"/>
  <c r="L346" i="1"/>
  <c r="J346" i="1"/>
  <c r="L345" i="1"/>
  <c r="J345" i="1"/>
  <c r="L344" i="1"/>
  <c r="J344" i="1"/>
  <c r="L343" i="1"/>
  <c r="J343" i="1"/>
  <c r="L342" i="1"/>
  <c r="J342" i="1"/>
  <c r="L341" i="1"/>
  <c r="J341" i="1"/>
  <c r="L340" i="1"/>
  <c r="J340" i="1"/>
  <c r="L339" i="1"/>
  <c r="J339" i="1"/>
  <c r="L338" i="1"/>
  <c r="J338" i="1"/>
  <c r="L337" i="1"/>
  <c r="J337" i="1"/>
  <c r="L336" i="1"/>
  <c r="J336" i="1"/>
  <c r="L335" i="1"/>
  <c r="J335" i="1"/>
  <c r="L334" i="1"/>
  <c r="J334" i="1"/>
  <c r="L333" i="1"/>
  <c r="J333" i="1"/>
  <c r="L332" i="1"/>
  <c r="J332" i="1"/>
  <c r="L331" i="1"/>
  <c r="J331" i="1"/>
  <c r="L330" i="1"/>
  <c r="J330" i="1"/>
  <c r="L329" i="1"/>
  <c r="J329" i="1"/>
  <c r="L328" i="1"/>
  <c r="J328" i="1"/>
  <c r="L327" i="1"/>
  <c r="J327" i="1"/>
  <c r="L326" i="1"/>
  <c r="J326" i="1"/>
  <c r="L325" i="1"/>
  <c r="J325" i="1"/>
  <c r="L324" i="1"/>
  <c r="J324" i="1"/>
  <c r="L323" i="1"/>
  <c r="J323" i="1"/>
  <c r="L322" i="1"/>
  <c r="J322" i="1"/>
  <c r="L321" i="1"/>
  <c r="J321" i="1"/>
  <c r="L320" i="1"/>
  <c r="J320" i="1"/>
  <c r="L319" i="1"/>
  <c r="J319" i="1"/>
  <c r="L318" i="1"/>
  <c r="J318" i="1"/>
  <c r="L317" i="1"/>
  <c r="J317" i="1"/>
  <c r="L316" i="1"/>
  <c r="J316" i="1"/>
  <c r="L315" i="1"/>
  <c r="J315" i="1"/>
  <c r="L314" i="1"/>
  <c r="J314" i="1"/>
  <c r="L313" i="1"/>
  <c r="J313" i="1"/>
  <c r="L312" i="1"/>
  <c r="J312" i="1"/>
  <c r="L311" i="1"/>
  <c r="J311" i="1"/>
  <c r="L310" i="1"/>
  <c r="J310" i="1"/>
  <c r="L309" i="1"/>
  <c r="J309" i="1"/>
  <c r="L308" i="1"/>
  <c r="J308" i="1"/>
  <c r="L307" i="1"/>
  <c r="J307" i="1"/>
  <c r="L306" i="1"/>
  <c r="J306" i="1"/>
  <c r="L305" i="1"/>
  <c r="J305" i="1"/>
  <c r="L304" i="1"/>
  <c r="J304" i="1"/>
  <c r="L303" i="1"/>
  <c r="J303" i="1"/>
  <c r="L302" i="1"/>
  <c r="J302" i="1"/>
  <c r="L301" i="1"/>
  <c r="J301" i="1"/>
  <c r="L300" i="1"/>
  <c r="J300" i="1"/>
  <c r="L299" i="1"/>
  <c r="J299" i="1"/>
  <c r="L298" i="1"/>
  <c r="J298" i="1"/>
  <c r="L297" i="1"/>
  <c r="J297" i="1"/>
  <c r="L296" i="1"/>
  <c r="J296" i="1"/>
  <c r="L295" i="1"/>
  <c r="J295" i="1"/>
  <c r="L294" i="1"/>
  <c r="J294" i="1"/>
  <c r="L293" i="1"/>
  <c r="J293" i="1"/>
  <c r="L292" i="1"/>
  <c r="J292" i="1"/>
  <c r="L291" i="1"/>
  <c r="J291" i="1"/>
  <c r="L290" i="1"/>
  <c r="J290" i="1"/>
  <c r="L289" i="1"/>
  <c r="J289" i="1"/>
  <c r="L288" i="1"/>
  <c r="J288" i="1"/>
  <c r="L287" i="1"/>
  <c r="J287" i="1"/>
  <c r="L286" i="1"/>
  <c r="J286" i="1"/>
  <c r="L285" i="1"/>
  <c r="J285" i="1"/>
  <c r="L284" i="1"/>
  <c r="J284" i="1"/>
  <c r="L283" i="1"/>
  <c r="J283" i="1"/>
  <c r="L282" i="1"/>
  <c r="J282" i="1"/>
  <c r="L281" i="1"/>
  <c r="J281" i="1"/>
  <c r="L280" i="1"/>
  <c r="J280" i="1"/>
  <c r="L279" i="1"/>
  <c r="J279" i="1"/>
  <c r="L278" i="1"/>
  <c r="J278" i="1"/>
  <c r="L277" i="1"/>
  <c r="J277" i="1"/>
  <c r="L276" i="1"/>
  <c r="J276" i="1"/>
  <c r="L275" i="1"/>
  <c r="J275" i="1"/>
  <c r="L274" i="1"/>
  <c r="J274" i="1"/>
  <c r="L273" i="1"/>
  <c r="J273" i="1"/>
  <c r="L272" i="1"/>
  <c r="J272" i="1"/>
  <c r="L271" i="1"/>
  <c r="J271" i="1"/>
  <c r="L270" i="1"/>
  <c r="J270" i="1"/>
  <c r="L269" i="1"/>
  <c r="J269" i="1"/>
  <c r="L268" i="1"/>
  <c r="J268" i="1"/>
  <c r="L267" i="1"/>
  <c r="J267" i="1"/>
  <c r="L266" i="1"/>
  <c r="J266" i="1"/>
  <c r="L265" i="1"/>
  <c r="J265" i="1"/>
  <c r="L264" i="1"/>
  <c r="J264" i="1"/>
  <c r="L263" i="1"/>
  <c r="J263" i="1"/>
  <c r="L262" i="1"/>
  <c r="J262" i="1"/>
  <c r="L261" i="1"/>
  <c r="J261" i="1"/>
  <c r="L260" i="1"/>
  <c r="J260" i="1"/>
  <c r="L259" i="1"/>
  <c r="J259" i="1"/>
  <c r="L258" i="1"/>
  <c r="J258" i="1"/>
  <c r="L257" i="1"/>
  <c r="J257" i="1"/>
  <c r="L256" i="1"/>
  <c r="J256" i="1"/>
  <c r="L255" i="1"/>
  <c r="J255" i="1"/>
  <c r="L254" i="1"/>
  <c r="J254" i="1"/>
  <c r="L253" i="1"/>
  <c r="J253" i="1"/>
  <c r="L252" i="1"/>
  <c r="J252" i="1"/>
  <c r="L251" i="1"/>
  <c r="J251" i="1"/>
  <c r="L250" i="1"/>
  <c r="J250" i="1"/>
  <c r="L249" i="1"/>
  <c r="J249" i="1"/>
  <c r="L248" i="1"/>
  <c r="J248" i="1"/>
  <c r="L247" i="1"/>
  <c r="J247" i="1"/>
  <c r="L246" i="1"/>
  <c r="J246" i="1"/>
  <c r="L245" i="1"/>
  <c r="J245" i="1"/>
  <c r="L244" i="1"/>
  <c r="J244" i="1"/>
  <c r="L243" i="1"/>
  <c r="J243" i="1"/>
  <c r="L242" i="1"/>
  <c r="J242" i="1"/>
  <c r="L241" i="1"/>
  <c r="J241" i="1"/>
  <c r="L240" i="1"/>
  <c r="J240" i="1"/>
  <c r="L239" i="1"/>
  <c r="J239" i="1"/>
  <c r="L238" i="1"/>
  <c r="J238" i="1"/>
  <c r="L237" i="1"/>
  <c r="J237" i="1"/>
  <c r="L236" i="1"/>
  <c r="J236" i="1"/>
  <c r="L235" i="1"/>
  <c r="J235" i="1"/>
  <c r="L234" i="1"/>
  <c r="J234" i="1"/>
  <c r="L233" i="1"/>
  <c r="J233" i="1"/>
  <c r="L232" i="1"/>
  <c r="J232" i="1"/>
  <c r="L231" i="1"/>
  <c r="J231" i="1"/>
  <c r="L230" i="1"/>
  <c r="J230" i="1"/>
  <c r="L229" i="1"/>
  <c r="J229" i="1"/>
  <c r="L228" i="1"/>
  <c r="J228" i="1"/>
  <c r="L227" i="1"/>
  <c r="J227" i="1"/>
  <c r="L226" i="1"/>
  <c r="J226" i="1"/>
  <c r="L225" i="1"/>
  <c r="J225" i="1"/>
  <c r="L224" i="1"/>
  <c r="J224" i="1"/>
  <c r="L223" i="1"/>
  <c r="J223" i="1"/>
  <c r="L222" i="1"/>
  <c r="J222" i="1"/>
  <c r="L221" i="1"/>
  <c r="J221" i="1"/>
  <c r="L220" i="1"/>
  <c r="J220" i="1"/>
  <c r="L219" i="1"/>
  <c r="J219" i="1"/>
  <c r="L218" i="1"/>
  <c r="J218" i="1"/>
  <c r="L217" i="1"/>
  <c r="J217" i="1"/>
  <c r="L216" i="1"/>
  <c r="J216" i="1"/>
  <c r="L215" i="1"/>
  <c r="J215" i="1"/>
  <c r="L214" i="1"/>
  <c r="J214" i="1"/>
  <c r="L213" i="1"/>
  <c r="J213" i="1"/>
  <c r="L212" i="1"/>
  <c r="J212" i="1"/>
  <c r="L211" i="1"/>
  <c r="J211" i="1"/>
  <c r="L210" i="1"/>
  <c r="J210" i="1"/>
  <c r="L209" i="1"/>
  <c r="J209" i="1"/>
  <c r="L208" i="1"/>
  <c r="J208" i="1"/>
  <c r="L207" i="1"/>
  <c r="J207" i="1"/>
  <c r="L206" i="1"/>
  <c r="J206" i="1"/>
  <c r="L205" i="1"/>
  <c r="J205" i="1"/>
  <c r="L204" i="1"/>
  <c r="J204" i="1"/>
  <c r="L203" i="1"/>
  <c r="J203" i="1"/>
  <c r="L202" i="1"/>
  <c r="J202" i="1"/>
  <c r="L201" i="1"/>
  <c r="J201" i="1"/>
  <c r="L200" i="1"/>
  <c r="J200" i="1"/>
  <c r="L199" i="1"/>
  <c r="J199" i="1"/>
  <c r="L198" i="1"/>
  <c r="J198" i="1"/>
  <c r="L197" i="1"/>
  <c r="J197" i="1"/>
  <c r="L196" i="1"/>
  <c r="J196" i="1"/>
  <c r="L195" i="1"/>
  <c r="J195" i="1"/>
  <c r="L194" i="1"/>
  <c r="J194" i="1"/>
  <c r="L193" i="1"/>
  <c r="J193" i="1"/>
  <c r="L192" i="1"/>
  <c r="J192" i="1"/>
  <c r="L191" i="1"/>
  <c r="J191" i="1"/>
  <c r="L190" i="1"/>
  <c r="J190" i="1"/>
  <c r="L189" i="1"/>
  <c r="J189" i="1"/>
  <c r="L188" i="1"/>
  <c r="J188" i="1"/>
  <c r="L187" i="1"/>
  <c r="J187" i="1"/>
  <c r="L186" i="1"/>
  <c r="J186" i="1"/>
  <c r="L185" i="1"/>
  <c r="J185" i="1"/>
  <c r="L184" i="1"/>
  <c r="J184" i="1"/>
  <c r="L183" i="1"/>
  <c r="J183" i="1"/>
  <c r="L182" i="1"/>
  <c r="J182" i="1"/>
  <c r="L181" i="1"/>
  <c r="J181" i="1"/>
  <c r="L180" i="1"/>
  <c r="J180" i="1"/>
  <c r="L179" i="1"/>
  <c r="J179" i="1"/>
  <c r="L178" i="1"/>
  <c r="J178" i="1"/>
  <c r="L177" i="1"/>
  <c r="J177" i="1"/>
  <c r="L176" i="1"/>
  <c r="J176" i="1"/>
  <c r="L175" i="1"/>
  <c r="J175" i="1"/>
  <c r="L174" i="1"/>
  <c r="J174" i="1"/>
  <c r="L173" i="1"/>
  <c r="J173" i="1"/>
  <c r="L172" i="1"/>
  <c r="J172" i="1"/>
  <c r="L171" i="1"/>
  <c r="J171" i="1"/>
  <c r="L170" i="1"/>
  <c r="J170" i="1"/>
  <c r="L169" i="1"/>
  <c r="J169" i="1"/>
  <c r="L168" i="1"/>
  <c r="J168" i="1"/>
  <c r="L167" i="1"/>
  <c r="J167" i="1"/>
  <c r="L166" i="1"/>
  <c r="J166" i="1"/>
  <c r="L165" i="1"/>
  <c r="J165" i="1"/>
  <c r="L164" i="1"/>
  <c r="J164" i="1"/>
  <c r="L163" i="1"/>
  <c r="J163" i="1"/>
  <c r="L162" i="1"/>
  <c r="J162" i="1"/>
  <c r="L161" i="1"/>
  <c r="J161" i="1"/>
  <c r="L160" i="1"/>
  <c r="J160" i="1"/>
  <c r="L159" i="1"/>
  <c r="J159" i="1"/>
  <c r="L158" i="1"/>
  <c r="J158" i="1"/>
  <c r="L157" i="1"/>
  <c r="J157" i="1"/>
  <c r="L156" i="1"/>
  <c r="J156" i="1"/>
  <c r="L155" i="1"/>
  <c r="J155" i="1"/>
  <c r="L154" i="1"/>
  <c r="J154" i="1"/>
  <c r="L153" i="1"/>
  <c r="J153" i="1"/>
  <c r="L152" i="1"/>
  <c r="J152" i="1"/>
  <c r="L151" i="1"/>
  <c r="J151" i="1"/>
  <c r="L150" i="1"/>
  <c r="J150" i="1"/>
  <c r="L149" i="1"/>
  <c r="J149" i="1"/>
  <c r="L148" i="1"/>
  <c r="J148" i="1"/>
  <c r="L147" i="1"/>
  <c r="J147" i="1"/>
  <c r="L146" i="1"/>
  <c r="J146" i="1"/>
  <c r="L145" i="1"/>
  <c r="J145" i="1"/>
  <c r="L144" i="1"/>
  <c r="J144" i="1"/>
  <c r="L143" i="1"/>
  <c r="J143" i="1"/>
  <c r="L142" i="1"/>
  <c r="J142" i="1"/>
  <c r="L141" i="1"/>
  <c r="J141" i="1"/>
  <c r="L140" i="1"/>
  <c r="J140" i="1"/>
  <c r="L139" i="1"/>
  <c r="J139" i="1"/>
  <c r="L138" i="1"/>
  <c r="J138" i="1"/>
  <c r="L137" i="1"/>
  <c r="J137" i="1"/>
  <c r="L136" i="1"/>
  <c r="J136" i="1"/>
  <c r="L135" i="1"/>
  <c r="J135" i="1"/>
  <c r="L134" i="1"/>
  <c r="J134" i="1"/>
  <c r="L133" i="1"/>
  <c r="J133" i="1"/>
  <c r="L132" i="1"/>
  <c r="J132" i="1"/>
  <c r="L131" i="1"/>
  <c r="J131" i="1"/>
  <c r="L130" i="1"/>
  <c r="J130" i="1"/>
  <c r="L129" i="1"/>
  <c r="J129" i="1"/>
  <c r="L128" i="1"/>
  <c r="J128" i="1"/>
  <c r="L127" i="1"/>
  <c r="J127" i="1"/>
  <c r="L126" i="1"/>
  <c r="J126" i="1"/>
  <c r="L125" i="1"/>
  <c r="J125" i="1"/>
  <c r="L124" i="1"/>
  <c r="J124" i="1"/>
  <c r="L123" i="1"/>
  <c r="J123" i="1"/>
  <c r="L122" i="1"/>
  <c r="J122" i="1"/>
  <c r="L121" i="1"/>
  <c r="J121" i="1"/>
  <c r="L120" i="1"/>
  <c r="J120" i="1"/>
  <c r="L119" i="1"/>
  <c r="J119" i="1"/>
  <c r="L118" i="1"/>
  <c r="J118" i="1"/>
  <c r="L117" i="1"/>
  <c r="J117" i="1"/>
  <c r="L116" i="1"/>
  <c r="J116" i="1"/>
  <c r="L115" i="1"/>
  <c r="J115" i="1"/>
  <c r="L114" i="1"/>
  <c r="J114" i="1"/>
  <c r="L113" i="1"/>
  <c r="J113" i="1"/>
  <c r="L112" i="1"/>
  <c r="J112" i="1"/>
  <c r="L111" i="1"/>
  <c r="J111" i="1"/>
  <c r="L110" i="1"/>
  <c r="J110" i="1"/>
  <c r="L109" i="1"/>
  <c r="J109" i="1"/>
  <c r="L108" i="1"/>
  <c r="J108" i="1"/>
  <c r="L107" i="1"/>
  <c r="J107" i="1"/>
  <c r="L106" i="1"/>
  <c r="J106" i="1"/>
  <c r="L105" i="1"/>
  <c r="J105" i="1"/>
  <c r="L104" i="1"/>
  <c r="J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9" i="1"/>
  <c r="J89" i="1"/>
  <c r="L88" i="1"/>
  <c r="J88" i="1"/>
  <c r="L87" i="1"/>
  <c r="J87" i="1"/>
  <c r="L86" i="1"/>
  <c r="J86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J2" i="1"/>
</calcChain>
</file>

<file path=xl/sharedStrings.xml><?xml version="1.0" encoding="utf-8"?>
<sst xmlns="http://schemas.openxmlformats.org/spreadsheetml/2006/main" count="19024" uniqueCount="6432">
  <si>
    <t>director_name</t>
  </si>
  <si>
    <t>duration</t>
  </si>
  <si>
    <t>gross</t>
  </si>
  <si>
    <t>genres</t>
  </si>
  <si>
    <t>movie_title</t>
  </si>
  <si>
    <t>language</t>
  </si>
  <si>
    <t>country</t>
  </si>
  <si>
    <t>budget</t>
  </si>
  <si>
    <t>imdb_score</t>
  </si>
  <si>
    <t>Profit</t>
  </si>
  <si>
    <t>Genres_Seperated</t>
  </si>
  <si>
    <t>James Cameron</t>
  </si>
  <si>
    <t>Action|Adventure|Fantasy|Sci-Fi</t>
  </si>
  <si>
    <t>Avatar </t>
  </si>
  <si>
    <t>English</t>
  </si>
  <si>
    <t>USA</t>
  </si>
  <si>
    <t>Gore Verbinski</t>
  </si>
  <si>
    <t>Action|Adventure|Fantasy</t>
  </si>
  <si>
    <t>Pirates of the Caribbean: At World's End </t>
  </si>
  <si>
    <t>Sam Mendes</t>
  </si>
  <si>
    <t>Action|Adventure|Thriller</t>
  </si>
  <si>
    <t>Spectre </t>
  </si>
  <si>
    <t>UK</t>
  </si>
  <si>
    <t>1) MOVIE GENRE ANALYSIS:-</t>
  </si>
  <si>
    <t>Christopher Nolan</t>
  </si>
  <si>
    <t>Action|Thriller</t>
  </si>
  <si>
    <t>The Dark Knight Rises </t>
  </si>
  <si>
    <t>Andrew Stanton</t>
  </si>
  <si>
    <t>Action|Adventure|Sci-Fi</t>
  </si>
  <si>
    <t>John Carter </t>
  </si>
  <si>
    <t>GENRE</t>
  </si>
  <si>
    <t>No_of_movies</t>
  </si>
  <si>
    <t>Mean_imdb</t>
  </si>
  <si>
    <t>Median_imdb</t>
  </si>
  <si>
    <t>Mode_imdb</t>
  </si>
  <si>
    <t>Max_imdb</t>
  </si>
  <si>
    <t>Min_imdb</t>
  </si>
  <si>
    <t>StdDev_imdb</t>
  </si>
  <si>
    <t>Var_imdb</t>
  </si>
  <si>
    <t>Sam Raimi</t>
  </si>
  <si>
    <t>Action|Adventure|Romance</t>
  </si>
  <si>
    <t>Spider-Man 3 </t>
  </si>
  <si>
    <t>Nathan Greno</t>
  </si>
  <si>
    <t>Adventure|Animation|Comedy|Family|Fantasy|Musical|Romance</t>
  </si>
  <si>
    <t>Tangled </t>
  </si>
  <si>
    <t>Joss Whedon</t>
  </si>
  <si>
    <t>Avengers: Age of Ultron </t>
  </si>
  <si>
    <t>David Yates</t>
  </si>
  <si>
    <t>Adventure|Family|Fantasy|Mystery</t>
  </si>
  <si>
    <t>Harry Potter and the Half-Blood Prince </t>
  </si>
  <si>
    <t>Zack Snyder</t>
  </si>
  <si>
    <t>Batman v Superman: Dawn of Justice </t>
  </si>
  <si>
    <t>Bryan Singer</t>
  </si>
  <si>
    <t>Superman Returns </t>
  </si>
  <si>
    <t>Marc Forster</t>
  </si>
  <si>
    <t>Action|Adventure</t>
  </si>
  <si>
    <t>Quantum of Solace </t>
  </si>
  <si>
    <t>Pirates of the Caribbean: Dead Man's Chest </t>
  </si>
  <si>
    <t>Action|Adventure|Western</t>
  </si>
  <si>
    <t>The Lone Ranger </t>
  </si>
  <si>
    <t>Man of Steel </t>
  </si>
  <si>
    <t>Andrew Adamson</t>
  </si>
  <si>
    <t>Action|Adventure|Family|Fantasy</t>
  </si>
  <si>
    <t>The Chronicles of Narnia: Prince Caspian </t>
  </si>
  <si>
    <t>The Avengers </t>
  </si>
  <si>
    <t>Rob Marshall</t>
  </si>
  <si>
    <t>Pirates of the Caribbean: On Stranger Tides </t>
  </si>
  <si>
    <t>Barry Sonnenfeld</t>
  </si>
  <si>
    <t>Action|Adventure|Comedy|Family|Fantasy|Sci-Fi</t>
  </si>
  <si>
    <t>Men in Black 3 </t>
  </si>
  <si>
    <t>Peter Jackson</t>
  </si>
  <si>
    <t>Adventure|Fantasy</t>
  </si>
  <si>
    <t>The Hobbit: The Battle of the Five Armies </t>
  </si>
  <si>
    <t>New Zealand</t>
  </si>
  <si>
    <t>Marc Webb</t>
  </si>
  <si>
    <t>The Amazing Spider-Man </t>
  </si>
  <si>
    <t>Ridley Scott</t>
  </si>
  <si>
    <t>Action|Adventure|Drama|History</t>
  </si>
  <si>
    <t>Robin Hood </t>
  </si>
  <si>
    <t>The Hobbit: The Desolation of Smaug </t>
  </si>
  <si>
    <t>Chris Weitz</t>
  </si>
  <si>
    <t>Adventure|Family|Fantasy</t>
  </si>
  <si>
    <t>The Golden Compass </t>
  </si>
  <si>
    <t>Action|Adventure|Drama|Romance</t>
  </si>
  <si>
    <t>King Kong </t>
  </si>
  <si>
    <t>Drama|Romance</t>
  </si>
  <si>
    <t>Titanic </t>
  </si>
  <si>
    <t>Anthony Russo</t>
  </si>
  <si>
    <t>Captain America: Civil War </t>
  </si>
  <si>
    <t>Peter Berg</t>
  </si>
  <si>
    <t>Action|Adventure|Sci-Fi|Thriller</t>
  </si>
  <si>
    <t>Battleship </t>
  </si>
  <si>
    <t>Colin Trevorrow</t>
  </si>
  <si>
    <t>Jurassic World </t>
  </si>
  <si>
    <t>Skyfall </t>
  </si>
  <si>
    <t>Action|Adventure|Fantasy|Romance</t>
  </si>
  <si>
    <t>Spider-Man 2 </t>
  </si>
  <si>
    <t>Shane Black</t>
  </si>
  <si>
    <t>Iron Man 3 </t>
  </si>
  <si>
    <t>Tim Burton</t>
  </si>
  <si>
    <t>Alice in Wonderland </t>
  </si>
  <si>
    <t>Brett Ratner</t>
  </si>
  <si>
    <t>Action|Adventure|Fantasy|Sci-Fi|Thriller</t>
  </si>
  <si>
    <t>X-Men: The Last Stand </t>
  </si>
  <si>
    <t>Canada</t>
  </si>
  <si>
    <t>Dan Scanlon</t>
  </si>
  <si>
    <t>Adventure|Animation|Comedy|Family|Fantasy</t>
  </si>
  <si>
    <t>Monsters University </t>
  </si>
  <si>
    <t>Michael Bay</t>
  </si>
  <si>
    <t>Transformers: Revenge of the Fallen </t>
  </si>
  <si>
    <t>Transformers: Age of Extinction </t>
  </si>
  <si>
    <t>Oz the Great and Powerful </t>
  </si>
  <si>
    <t>The Amazing Spider-Man 2 </t>
  </si>
  <si>
    <t>Joseph Kosinski</t>
  </si>
  <si>
    <t>TRON: Legacy </t>
  </si>
  <si>
    <t>John Lasseter</t>
  </si>
  <si>
    <t>Adventure|Animation|Comedy|Family|Sport</t>
  </si>
  <si>
    <t>Cars 2 </t>
  </si>
  <si>
    <t>Martin Campbell</t>
  </si>
  <si>
    <t>Green Lantern </t>
  </si>
  <si>
    <t>Lee Unkrich</t>
  </si>
  <si>
    <t>Toy Story 3 </t>
  </si>
  <si>
    <t>McG</t>
  </si>
  <si>
    <t>Terminator Salvation </t>
  </si>
  <si>
    <t>James Wan</t>
  </si>
  <si>
    <t>Action|Crime|Thriller</t>
  </si>
  <si>
    <t>Furious 7 </t>
  </si>
  <si>
    <t>Action|Adventure|Horror|Sci-Fi|Thriller</t>
  </si>
  <si>
    <t>World War Z </t>
  </si>
  <si>
    <t>X-Men: Days of Future Past </t>
  </si>
  <si>
    <t>J.J. Abrams</t>
  </si>
  <si>
    <t>Star Trek Into Darkness </t>
  </si>
  <si>
    <t>Jack the Giant Slayer </t>
  </si>
  <si>
    <t>Baz Luhrmann</t>
  </si>
  <si>
    <t>The Great Gatsby </t>
  </si>
  <si>
    <t>Australia</t>
  </si>
  <si>
    <t>Mike Newell</t>
  </si>
  <si>
    <t>Prince of Persia: The Sands of Time </t>
  </si>
  <si>
    <t>Guillermo del Toro</t>
  </si>
  <si>
    <t>Pacific Rim </t>
  </si>
  <si>
    <t>Transformers: Dark of the Moon </t>
  </si>
  <si>
    <t>Steven Spielberg</t>
  </si>
  <si>
    <t>Indiana Jones and the Kingdom of the Crystal Skull </t>
  </si>
  <si>
    <t>Mark Andrews</t>
  </si>
  <si>
    <t>Brave </t>
  </si>
  <si>
    <t>Justin Lin</t>
  </si>
  <si>
    <t>Star Trek Beyond </t>
  </si>
  <si>
    <t>5) PROFIT ANALYSIS:-</t>
  </si>
  <si>
    <t>Adventure|Animation|Family|Sci-Fi</t>
  </si>
  <si>
    <t>WALL·E </t>
  </si>
  <si>
    <t>Action|Comedy|Crime|Thriller</t>
  </si>
  <si>
    <t>Rush Hour 3 </t>
  </si>
  <si>
    <t>Operations</t>
  </si>
  <si>
    <t>Values</t>
  </si>
  <si>
    <t>Movie_Title</t>
  </si>
  <si>
    <t>Roland Emmerich</t>
  </si>
  <si>
    <t>2012 </t>
  </si>
  <si>
    <t>Mean</t>
  </si>
  <si>
    <t>Movies</t>
  </si>
  <si>
    <t>Profits in Millions</t>
  </si>
  <si>
    <t>Robert Zemeckis</t>
  </si>
  <si>
    <t>Animation|Drama|Family|Fantasy</t>
  </si>
  <si>
    <t>A Christmas Carol </t>
  </si>
  <si>
    <t>Median</t>
  </si>
  <si>
    <t>AvatarÂ</t>
  </si>
  <si>
    <t>Lana Wachowski</t>
  </si>
  <si>
    <t>Jupiter Ascending </t>
  </si>
  <si>
    <t>Mode</t>
  </si>
  <si>
    <t>Jurassic WorldÂ</t>
  </si>
  <si>
    <t>The Legend of Tarzan </t>
  </si>
  <si>
    <t>Standard Devation</t>
  </si>
  <si>
    <t>TitanicÂ</t>
  </si>
  <si>
    <t>The Chronicles of Narnia: The Lion, the Witch and the Wardrobe </t>
  </si>
  <si>
    <t>Variance</t>
  </si>
  <si>
    <t>Star Wars: Episode IV - A New HopeÂ</t>
  </si>
  <si>
    <t>X-Men: Apocalypse </t>
  </si>
  <si>
    <t>E.T. the Extra-TerrestrialÂ</t>
  </si>
  <si>
    <t>Action|Crime|Drama|Thriller</t>
  </si>
  <si>
    <t>The Dark Knight </t>
  </si>
  <si>
    <t>The Lion KingÂ</t>
  </si>
  <si>
    <t>Pete Docter</t>
  </si>
  <si>
    <t>Adventure|Animation|Comedy|Family</t>
  </si>
  <si>
    <t>Up </t>
  </si>
  <si>
    <t>The Jungle BookÂ</t>
  </si>
  <si>
    <t>Rob Letterman</t>
  </si>
  <si>
    <t>Action|Adventure|Animation|Comedy|Family|Sci-Fi</t>
  </si>
  <si>
    <t>Monsters vs. Aliens </t>
  </si>
  <si>
    <t>Star Wars: Episode I - The Phantom MenaceÂ</t>
  </si>
  <si>
    <t>Jon Favreau</t>
  </si>
  <si>
    <t>Iron Man </t>
  </si>
  <si>
    <t>The Dark KnightÂ</t>
  </si>
  <si>
    <t>Martin Scorsese</t>
  </si>
  <si>
    <t>Adventure|Drama|Family|Mystery</t>
  </si>
  <si>
    <t>Hugo </t>
  </si>
  <si>
    <t>The Twilight Saga: Breaking Dawn - Part 2Â</t>
  </si>
  <si>
    <t>Action|Comedy|Sci-Fi|Western</t>
  </si>
  <si>
    <t>Wild Wild West </t>
  </si>
  <si>
    <t>Rob Cohen</t>
  </si>
  <si>
    <t>Action|Adventure|Fantasy|Horror|Thriller</t>
  </si>
  <si>
    <t>The Mummy: Tomb of the Dragon Emperor </t>
  </si>
  <si>
    <t>David Ayer</t>
  </si>
  <si>
    <t>Action|Adventure|Comedy|Sci-Fi</t>
  </si>
  <si>
    <t>Suicide Squad </t>
  </si>
  <si>
    <t>Tom Shadyac</t>
  </si>
  <si>
    <t>Comedy|Family|Fantasy</t>
  </si>
  <si>
    <t>Evan Almighty </t>
  </si>
  <si>
    <t>Doug Liman</t>
  </si>
  <si>
    <t>Edge of Tomorrow </t>
  </si>
  <si>
    <t>Kevin Reynolds</t>
  </si>
  <si>
    <t>Waterworld </t>
  </si>
  <si>
    <t>Stephen Sommers</t>
  </si>
  <si>
    <t>G.I. Joe: The Rise of Cobra </t>
  </si>
  <si>
    <t>Adventure|Animation|Comedy|Drama|Family|Fantasy</t>
  </si>
  <si>
    <t>Inside Out </t>
  </si>
  <si>
    <t>Adventure|Drama|Family|Fantasy</t>
  </si>
  <si>
    <t>The Jungle Book </t>
  </si>
  <si>
    <t>Iron Man 2 </t>
  </si>
  <si>
    <t>Rupert Sanders</t>
  </si>
  <si>
    <t>Action|Adventure|Drama|Fantasy</t>
  </si>
  <si>
    <t>Snow White and the Huntsman </t>
  </si>
  <si>
    <t>Robert Stromberg</t>
  </si>
  <si>
    <t>Action|Adventure|Family|Fantasy|Romance</t>
  </si>
  <si>
    <t>Maleficent </t>
  </si>
  <si>
    <t>Matt Reeves</t>
  </si>
  <si>
    <t>Action|Adventure|Drama|Sci-Fi</t>
  </si>
  <si>
    <t>Dawn of the Planet of the Apes </t>
  </si>
  <si>
    <t>Carl Rinsch</t>
  </si>
  <si>
    <t>47 Ronin </t>
  </si>
  <si>
    <t>Captain America: The Winter Soldier </t>
  </si>
  <si>
    <t>Mike Mitchell</t>
  </si>
  <si>
    <t>Shrek Forever After </t>
  </si>
  <si>
    <t>Brad Bird</t>
  </si>
  <si>
    <t>Action|Adventure|Family|Mystery|Sci-Fi</t>
  </si>
  <si>
    <t>Tomorrowland </t>
  </si>
  <si>
    <t>Don Hall</t>
  </si>
  <si>
    <t>Action|Adventure|Animation|Comedy|Drama|Family|Sci-Fi</t>
  </si>
  <si>
    <t>Big Hero 6 </t>
  </si>
  <si>
    <t>Rich Moore</t>
  </si>
  <si>
    <t>Adventure|Animation|Comedy|Family|Sci-Fi</t>
  </si>
  <si>
    <t>Wreck-It Ralph </t>
  </si>
  <si>
    <t>Adventure|Animation|Family|Fantasy</t>
  </si>
  <si>
    <t>The Polar Express </t>
  </si>
  <si>
    <t>Independence Day: Resurgence </t>
  </si>
  <si>
    <t>Dean DeBlois</t>
  </si>
  <si>
    <t>How to Train Your Dragon </t>
  </si>
  <si>
    <t>Jonathan Mostow</t>
  </si>
  <si>
    <t>Action|Sci-Fi</t>
  </si>
  <si>
    <t>Terminator 3: Rise of the Machines </t>
  </si>
  <si>
    <t>James Gunn</t>
  </si>
  <si>
    <t>Guardians of the Galaxy </t>
  </si>
  <si>
    <t>Adventure|Drama|Sci-Fi</t>
  </si>
  <si>
    <t>Interstellar </t>
  </si>
  <si>
    <t>Inception </t>
  </si>
  <si>
    <t>The Hobbit: An Unexpected Journey </t>
  </si>
  <si>
    <t>The Fast and the Furious </t>
  </si>
  <si>
    <t>David Fincher</t>
  </si>
  <si>
    <t>Drama|Fantasy|Romance</t>
  </si>
  <si>
    <t>The Curious Case of Benjamin Button </t>
  </si>
  <si>
    <t>Matthew Vaughn</t>
  </si>
  <si>
    <t>X-Men: First Class </t>
  </si>
  <si>
    <t>3) LANGUAGE ANALYSIS:-</t>
  </si>
  <si>
    <t>Francis Lawrence</t>
  </si>
  <si>
    <t>Adventure|Sci-Fi</t>
  </si>
  <si>
    <t>The Hunger Games: Mockingjay - Part 2 </t>
  </si>
  <si>
    <t>Jon Turteltaub</t>
  </si>
  <si>
    <t>The Sorcerer's Apprentice </t>
  </si>
  <si>
    <t>Wolfgang Petersen</t>
  </si>
  <si>
    <t>Action|Adventure|Drama|Thriller</t>
  </si>
  <si>
    <t>Poseidon </t>
  </si>
  <si>
    <t>Language</t>
  </si>
  <si>
    <t>Average_imdb</t>
  </si>
  <si>
    <t>James Bobin</t>
  </si>
  <si>
    <t>Alice Through the Looking Glass </t>
  </si>
  <si>
    <t>Chris Miller</t>
  </si>
  <si>
    <t>Shrek the Third </t>
  </si>
  <si>
    <t>Duncan Jones</t>
  </si>
  <si>
    <t>Warcraft </t>
  </si>
  <si>
    <t>Alan Taylor</t>
  </si>
  <si>
    <t>Terminator Genisys </t>
  </si>
  <si>
    <t>Michael Apted</t>
  </si>
  <si>
    <t>The Chronicles of Narnia: The Voyage of the Dawn Treader </t>
  </si>
  <si>
    <t>Action|Drama|History|Romance|War</t>
  </si>
  <si>
    <t>Pearl Harbor </t>
  </si>
  <si>
    <t>Transformers </t>
  </si>
  <si>
    <t>Oliver Stone</t>
  </si>
  <si>
    <t>Action|Adventure|Biography|Drama|History|Romance|War</t>
  </si>
  <si>
    <t>Alexander </t>
  </si>
  <si>
    <t>Germany</t>
  </si>
  <si>
    <t>Harry Potter and the Order of the Phoenix </t>
  </si>
  <si>
    <t>Harry Potter and the Goblet of Fire </t>
  </si>
  <si>
    <t>Action|Drama</t>
  </si>
  <si>
    <t>Hancock </t>
  </si>
  <si>
    <t>Drama|Horror|Sci-Fi</t>
  </si>
  <si>
    <t>I Am Legend </t>
  </si>
  <si>
    <t>Adventure|Comedy|Family|Fantasy</t>
  </si>
  <si>
    <t>Charlie and the Chocolate Factory </t>
  </si>
  <si>
    <t>Animation|Comedy|Family|Fantasy</t>
  </si>
  <si>
    <t>Ratatouille </t>
  </si>
  <si>
    <t>Batman Begins </t>
  </si>
  <si>
    <t>Eric Darnell</t>
  </si>
  <si>
    <t>Action|Adventure|Animation|Comedy|Family</t>
  </si>
  <si>
    <t>Madagascar: Escape 2 Africa </t>
  </si>
  <si>
    <t>Shawn Levy</t>
  </si>
  <si>
    <t>Night at the Museum: Battle of the Smithsonian </t>
  </si>
  <si>
    <t>Gavin Hood</t>
  </si>
  <si>
    <t>X-Men Origins: Wolverine </t>
  </si>
  <si>
    <t>The Matrix Revolutions </t>
  </si>
  <si>
    <t>Chris Buck</t>
  </si>
  <si>
    <t>Adventure|Animation|Comedy|Family|Fantasy|Musical</t>
  </si>
  <si>
    <t>Frozen </t>
  </si>
  <si>
    <t>The Matrix Reloaded </t>
  </si>
  <si>
    <t>Thor: The Dark World </t>
  </si>
  <si>
    <t>George Miller</t>
  </si>
  <si>
    <t>Mad Max: Fury Road </t>
  </si>
  <si>
    <t>Ron Howard</t>
  </si>
  <si>
    <t>Mystery|Thriller</t>
  </si>
  <si>
    <t>Angels &amp; Demons </t>
  </si>
  <si>
    <t>Kenneth Branagh</t>
  </si>
  <si>
    <t>Thor </t>
  </si>
  <si>
    <t>Byron Howard</t>
  </si>
  <si>
    <t>Adventure|Animation|Comedy|Drama|Family</t>
  </si>
  <si>
    <t>Bolt </t>
  </si>
  <si>
    <t>Hoyt Yeatman</t>
  </si>
  <si>
    <t>Action|Adventure|Animation|Comedy|Family|Fantasy|Sci-Fi</t>
  </si>
  <si>
    <t>G-Force </t>
  </si>
  <si>
    <t>Jonathan Liebesman</t>
  </si>
  <si>
    <t>Wrath of the Titans </t>
  </si>
  <si>
    <t>Comedy|Fantasy|Horror</t>
  </si>
  <si>
    <t>Dark Shadows </t>
  </si>
  <si>
    <t>Christopher McQuarrie</t>
  </si>
  <si>
    <t>Mission: Impossible - Rogue Nation </t>
  </si>
  <si>
    <t>China</t>
  </si>
  <si>
    <t>Joe Johnston</t>
  </si>
  <si>
    <t>Drama|Fantasy|Horror|Thriller</t>
  </si>
  <si>
    <t>The Wolfman </t>
  </si>
  <si>
    <t>Steve Hickner</t>
  </si>
  <si>
    <t>Bee Movie </t>
  </si>
  <si>
    <t>Jennifer Yuh Nelson</t>
  </si>
  <si>
    <t>Kung Fu Panda 2 </t>
  </si>
  <si>
    <t>M. Night Shyamalan</t>
  </si>
  <si>
    <t>The Last Airbender </t>
  </si>
  <si>
    <t>Mission: Impossible III </t>
  </si>
  <si>
    <t>Action|Drama|Thriller</t>
  </si>
  <si>
    <t>White House Down </t>
  </si>
  <si>
    <t>Simon Wells</t>
  </si>
  <si>
    <t>Mars Needs Moms </t>
  </si>
  <si>
    <t>David Bowers</t>
  </si>
  <si>
    <t>Flushed Away </t>
  </si>
  <si>
    <t>Joe Wright</t>
  </si>
  <si>
    <t>Pan </t>
  </si>
  <si>
    <t>Rob Minkoff</t>
  </si>
  <si>
    <t>Mr. Peabody &amp; Sherman </t>
  </si>
  <si>
    <t>Adventure</t>
  </si>
  <si>
    <t>Troy </t>
  </si>
  <si>
    <t>Madagascar 3: Europe's Most Wanted </t>
  </si>
  <si>
    <t>Lee Tamahori</t>
  </si>
  <si>
    <t>Die Another Day </t>
  </si>
  <si>
    <t>4) DIRECTOR ANALYSIS:-</t>
  </si>
  <si>
    <t>Paul Feig</t>
  </si>
  <si>
    <t>Action|Comedy|Fantasy|Sci-Fi</t>
  </si>
  <si>
    <t>Ghostbusters </t>
  </si>
  <si>
    <t>Armageddon </t>
  </si>
  <si>
    <t>Director</t>
  </si>
  <si>
    <t>percentile</t>
  </si>
  <si>
    <t>Count_movies</t>
  </si>
  <si>
    <t>Action|Adventure|Comedy|Family|Fantasy|Mystery|Sci-Fi</t>
  </si>
  <si>
    <t>Men in Black II </t>
  </si>
  <si>
    <t>Action|Adventure|Animation|Fantasy</t>
  </si>
  <si>
    <t>Beowulf </t>
  </si>
  <si>
    <t>Alessandro Carloni</t>
  </si>
  <si>
    <t>Kung Fu Panda 3 </t>
  </si>
  <si>
    <t>Mission: Impossible - Ghost Protocol </t>
  </si>
  <si>
    <t>Peter Ramsey</t>
  </si>
  <si>
    <t>Rise of the Guardians </t>
  </si>
  <si>
    <t>Dean Parisot</t>
  </si>
  <si>
    <t>Comedy|Crime</t>
  </si>
  <si>
    <t>Fun with Dick and Jane </t>
  </si>
  <si>
    <t>Edward Zwick</t>
  </si>
  <si>
    <t>Action|Drama|History|War</t>
  </si>
  <si>
    <t>The Last Samurai </t>
  </si>
  <si>
    <t>Action|Adventure|Drama</t>
  </si>
  <si>
    <t>Exodus: Gods and Kings </t>
  </si>
  <si>
    <t>Star Trek </t>
  </si>
  <si>
    <t>Spider-Man </t>
  </si>
  <si>
    <t>Action|Adventure|Animation|Comedy|Family|Fantasy</t>
  </si>
  <si>
    <t>How to Train Your Dragon 2 </t>
  </si>
  <si>
    <t>Alex Proyas</t>
  </si>
  <si>
    <t>Gods of Egypt </t>
  </si>
  <si>
    <t>Stealth </t>
  </si>
  <si>
    <t>Action|Drama|Mystery|Sci-Fi</t>
  </si>
  <si>
    <t>Watchmen </t>
  </si>
  <si>
    <t>Richard Donner</t>
  </si>
  <si>
    <t>Lethal Weapon 4 </t>
  </si>
  <si>
    <t>Ang Lee</t>
  </si>
  <si>
    <t>Hulk </t>
  </si>
  <si>
    <t>Jon M. Chu</t>
  </si>
  <si>
    <t>G.I. Joe: Retaliation </t>
  </si>
  <si>
    <t>Breck Eisner</t>
  </si>
  <si>
    <t>Action|Adventure|Comedy|Thriller</t>
  </si>
  <si>
    <t>Sahara </t>
  </si>
  <si>
    <t>Hironobu Sakaguchi</t>
  </si>
  <si>
    <t>Action|Adventure|Animation|Fantasy|Romance|Sci-Fi</t>
  </si>
  <si>
    <t>Final Fantasy: The Spirits Within </t>
  </si>
  <si>
    <t>Captain America: The First Avenger </t>
  </si>
  <si>
    <t>The World Is Not Enough </t>
  </si>
  <si>
    <t>Peter Weir</t>
  </si>
  <si>
    <t>Action|Adventure|Drama|History|War</t>
  </si>
  <si>
    <t>Master and Commander: The Far Side of the World </t>
  </si>
  <si>
    <t>Bill Condon</t>
  </si>
  <si>
    <t>Adventure|Drama|Fantasy|Romance</t>
  </si>
  <si>
    <t>The Twilight Saga: Breaking Dawn - Part 2 </t>
  </si>
  <si>
    <t>Animation|Comedy|Family|Musical</t>
  </si>
  <si>
    <t>Happy Feet 2 </t>
  </si>
  <si>
    <t>Louis Leterrier</t>
  </si>
  <si>
    <t>The Incredible Hulk </t>
  </si>
  <si>
    <t>The BFG </t>
  </si>
  <si>
    <t>Alejandro G. Iñárritu</t>
  </si>
  <si>
    <t>Adventure|Drama|Thriller|Western</t>
  </si>
  <si>
    <t>The Revenant </t>
  </si>
  <si>
    <t>David Soren</t>
  </si>
  <si>
    <t>Turbo </t>
  </si>
  <si>
    <t>Adventure|Animation|Comedy|Family|Western</t>
  </si>
  <si>
    <t>Rango </t>
  </si>
  <si>
    <t>Penguins of Madagascar </t>
  </si>
  <si>
    <t>Paul Greengrass</t>
  </si>
  <si>
    <t>Action|Mystery|Thriller</t>
  </si>
  <si>
    <t>The Bourne Ultimatum </t>
  </si>
  <si>
    <t>Mark Osborne</t>
  </si>
  <si>
    <t>Kung Fu Panda </t>
  </si>
  <si>
    <t>Peyton Reed</t>
  </si>
  <si>
    <t>Ant-Man </t>
  </si>
  <si>
    <t>Adventure|Sci-Fi|Thriller</t>
  </si>
  <si>
    <t>The Hunger Games: Catching Fire </t>
  </si>
  <si>
    <t>Tim Johnson</t>
  </si>
  <si>
    <t>Adventure|Animation|Comedy|Family|Fantasy|Sci-Fi</t>
  </si>
  <si>
    <t>Home </t>
  </si>
  <si>
    <t>War of the Worlds </t>
  </si>
  <si>
    <t>Bad Boys II </t>
  </si>
  <si>
    <t>Puss in Boots </t>
  </si>
  <si>
    <t>Phillip Noyce</t>
  </si>
  <si>
    <t>Action|Crime|Mystery|Thriller</t>
  </si>
  <si>
    <t>Salt </t>
  </si>
  <si>
    <t>Darren Aronofsky</t>
  </si>
  <si>
    <t>Noah </t>
  </si>
  <si>
    <t>Action|Adventure|Family|Mystery</t>
  </si>
  <si>
    <t>The Adventures of Tintin </t>
  </si>
  <si>
    <t>Alfonso Cuarón</t>
  </si>
  <si>
    <t>Harry Potter and the Prisoner of Azkaban </t>
  </si>
  <si>
    <t>Adventure|Drama|Romance|War</t>
  </si>
  <si>
    <t>Australia </t>
  </si>
  <si>
    <t>After Earth </t>
  </si>
  <si>
    <t>Eric Leighton</t>
  </si>
  <si>
    <t>Adventure|Animation|Family|Thriller</t>
  </si>
  <si>
    <t>Dinosaur </t>
  </si>
  <si>
    <t>Night at the Museum: Secret of the Tomb </t>
  </si>
  <si>
    <t>Tom McGrath</t>
  </si>
  <si>
    <t>Action|Animation|Comedy|Family|Sci-Fi</t>
  </si>
  <si>
    <t>Megamind </t>
  </si>
  <si>
    <t>Chris Columbus</t>
  </si>
  <si>
    <t>Harry Potter and the Sorcerer's Stone </t>
  </si>
  <si>
    <t>Robert Schwentke</t>
  </si>
  <si>
    <t>Action|Comedy|Fantasy</t>
  </si>
  <si>
    <t>R.I.P.D. </t>
  </si>
  <si>
    <t>Pirates of the Caribbean: The Curse of the Black Pearl </t>
  </si>
  <si>
    <t>The Hunger Games: Mockingjay - Part 1 </t>
  </si>
  <si>
    <t>The Da Vinci Code </t>
  </si>
  <si>
    <t>Carlos Saldanha</t>
  </si>
  <si>
    <t>Adventure|Animation|Comedy|Family|Musical</t>
  </si>
  <si>
    <t>Rio 2 </t>
  </si>
  <si>
    <t>X-Men 2 </t>
  </si>
  <si>
    <t>Fast Five </t>
  </si>
  <si>
    <t>Guy Ritchie</t>
  </si>
  <si>
    <t>Action|Adventure|Crime|Mystery|Thriller</t>
  </si>
  <si>
    <t>Sherlock Holmes: A Game of Shadows </t>
  </si>
  <si>
    <t>Clash of the Titans </t>
  </si>
  <si>
    <t>Paul Verhoeven</t>
  </si>
  <si>
    <t>Total Recall </t>
  </si>
  <si>
    <t>John McTiernan</t>
  </si>
  <si>
    <t>Action|Adventure|History</t>
  </si>
  <si>
    <t>The 13th Warrior </t>
  </si>
  <si>
    <t>Tony Gilroy</t>
  </si>
  <si>
    <t>The Bourne Legacy </t>
  </si>
  <si>
    <t>Joel Schumacher</t>
  </si>
  <si>
    <t>Action</t>
  </si>
  <si>
    <t>Batman &amp; Robin </t>
  </si>
  <si>
    <t>How the Grinch Stole Christmas </t>
  </si>
  <si>
    <t>The Day After Tomorrow </t>
  </si>
  <si>
    <t>John Woo</t>
  </si>
  <si>
    <t>Mission: Impossible II </t>
  </si>
  <si>
    <t>The Perfect Storm </t>
  </si>
  <si>
    <t>Tim Story</t>
  </si>
  <si>
    <t>Fantastic 4: Rise of the Silver Surfer </t>
  </si>
  <si>
    <t>Adventure|Drama|Fantasy</t>
  </si>
  <si>
    <t>Life of Pi </t>
  </si>
  <si>
    <t>Mark Steven Johnson</t>
  </si>
  <si>
    <t>Action|Fantasy|Thriller</t>
  </si>
  <si>
    <t>Ghost Rider </t>
  </si>
  <si>
    <t>Jason Bourne </t>
  </si>
  <si>
    <t>Action|Adventure|Comedy|Crime</t>
  </si>
  <si>
    <t>Charlie's Angels: Full Throttle </t>
  </si>
  <si>
    <t>Adventure|Mystery|Sci-Fi</t>
  </si>
  <si>
    <t>Prometheus </t>
  </si>
  <si>
    <t>Stuart Little 2 </t>
  </si>
  <si>
    <t>Neill Blomkamp</t>
  </si>
  <si>
    <t>Action|Drama|Sci-Fi|Thriller</t>
  </si>
  <si>
    <t>Elysium </t>
  </si>
  <si>
    <t>David Twohy</t>
  </si>
  <si>
    <t>The Chronicles of Riddick </t>
  </si>
  <si>
    <t>José Padilha</t>
  </si>
  <si>
    <t>Action|Crime|Sci-Fi|Thriller</t>
  </si>
  <si>
    <t>RoboCop </t>
  </si>
  <si>
    <t>Action|Family|Sport</t>
  </si>
  <si>
    <t>Speed Racer </t>
  </si>
  <si>
    <t>James L. Brooks</t>
  </si>
  <si>
    <t>Comedy|Drama|Romance</t>
  </si>
  <si>
    <t>How Do You Know </t>
  </si>
  <si>
    <t>James Mangold</t>
  </si>
  <si>
    <t>Action|Comedy|Romance</t>
  </si>
  <si>
    <t>Knight and Day </t>
  </si>
  <si>
    <t>Action|Adventure|Mystery|Sci-Fi</t>
  </si>
  <si>
    <t>Oblivion </t>
  </si>
  <si>
    <t>George Lucas</t>
  </si>
  <si>
    <t>Star Wars: Episode III - Revenge of the Sith </t>
  </si>
  <si>
    <t>Star Wars: Episode II - Attack of the Clones </t>
  </si>
  <si>
    <t>Monsters, Inc. </t>
  </si>
  <si>
    <t>The Wolverine </t>
  </si>
  <si>
    <t>Star Wars: Episode I - The Phantom Menace </t>
  </si>
  <si>
    <t>Kirk De Micco</t>
  </si>
  <si>
    <t>The Croods </t>
  </si>
  <si>
    <t>Action|Drama|War</t>
  </si>
  <si>
    <t>Windtalkers </t>
  </si>
  <si>
    <t>Cedric Nicolas-Troyan</t>
  </si>
  <si>
    <t>The Huntsman: Winter's War </t>
  </si>
  <si>
    <t>Teenage Mutant Ninja Turtles </t>
  </si>
  <si>
    <t>Adventure|Drama|Sci-Fi|Thriller</t>
  </si>
  <si>
    <t>Gravity </t>
  </si>
  <si>
    <t>Roger Donaldson</t>
  </si>
  <si>
    <t>Dante's Peak </t>
  </si>
  <si>
    <t>Dave Green</t>
  </si>
  <si>
    <t>Teenage Mutant Ninja Turtles: Out of the Shadows </t>
  </si>
  <si>
    <t>Josh Trank</t>
  </si>
  <si>
    <t>Fantastic Four </t>
  </si>
  <si>
    <t>Action|Adventure|Comedy|Family|Fantasy</t>
  </si>
  <si>
    <t>Night at the Museum </t>
  </si>
  <si>
    <t>Brad Peyton</t>
  </si>
  <si>
    <t>San Andreas </t>
  </si>
  <si>
    <t>Roger Spottiswoode</t>
  </si>
  <si>
    <t>Tomorrow Never Dies </t>
  </si>
  <si>
    <t>The Patriot </t>
  </si>
  <si>
    <t>Steven Soderbergh</t>
  </si>
  <si>
    <t>Crime|Thriller</t>
  </si>
  <si>
    <t>Ocean's Twelve </t>
  </si>
  <si>
    <t>Action|Comedy|Crime|Romance|Thriller</t>
  </si>
  <si>
    <t>Mr. &amp; Mrs. Smith </t>
  </si>
  <si>
    <t>Insurgent </t>
  </si>
  <si>
    <t>Biography|Drama</t>
  </si>
  <si>
    <t>The Aviator </t>
  </si>
  <si>
    <t>Gulliver's Travels </t>
  </si>
  <si>
    <t>Michel Gondry</t>
  </si>
  <si>
    <t>Action|Comedy|Crime|Sci-Fi|Thriller</t>
  </si>
  <si>
    <t>The Green Hornet </t>
  </si>
  <si>
    <t>Noam Murro</t>
  </si>
  <si>
    <t>Action|Drama|Fantasy|War</t>
  </si>
  <si>
    <t>300: Rise of an Empire </t>
  </si>
  <si>
    <t>Raja Gosnell</t>
  </si>
  <si>
    <t>The Smurfs </t>
  </si>
  <si>
    <t>Will Finn</t>
  </si>
  <si>
    <t>Animation|Comedy|Family|Music|Western</t>
  </si>
  <si>
    <t>Home on the Range </t>
  </si>
  <si>
    <t>Action|Adventure|Mystery|Sci-Fi|Thriller</t>
  </si>
  <si>
    <t>Allegiant </t>
  </si>
  <si>
    <t>Action|Drama|Sci-Fi|Sport</t>
  </si>
  <si>
    <t>Real Steel </t>
  </si>
  <si>
    <t>The Smurfs 2 </t>
  </si>
  <si>
    <t>Jan de Bont</t>
  </si>
  <si>
    <t>Action|Crime|Romance|Thriller</t>
  </si>
  <si>
    <t>Speed 2: Cruise Control </t>
  </si>
  <si>
    <t>Ender's Game </t>
  </si>
  <si>
    <t>Len Wiseman</t>
  </si>
  <si>
    <t>Live Free or Die Hard </t>
  </si>
  <si>
    <t>The Lord of the Rings: The Fellowship of the Ring </t>
  </si>
  <si>
    <t>Frank Coraci</t>
  </si>
  <si>
    <t>Action|Adventure|Comedy</t>
  </si>
  <si>
    <t>Around the World in 80 Days </t>
  </si>
  <si>
    <t>Michael Mann</t>
  </si>
  <si>
    <t>Biography|Drama|Sport</t>
  </si>
  <si>
    <t>Ali </t>
  </si>
  <si>
    <t>Bo Welch</t>
  </si>
  <si>
    <t>The Cat in the Hat </t>
  </si>
  <si>
    <t>Action|Mystery|Sci-Fi|Thriller</t>
  </si>
  <si>
    <t>I, Robot </t>
  </si>
  <si>
    <t>Kingdom of Heaven </t>
  </si>
  <si>
    <t>Stuart Little </t>
  </si>
  <si>
    <t>Ron Clements</t>
  </si>
  <si>
    <t>Animation|Family|Fantasy|Musical|Romance</t>
  </si>
  <si>
    <t>The Princess and the Frog </t>
  </si>
  <si>
    <t>The Martian </t>
  </si>
  <si>
    <t>Action|Adventure|Romance|Sci-Fi|Thriller</t>
  </si>
  <si>
    <t>The Island </t>
  </si>
  <si>
    <t>Peter Chelsom</t>
  </si>
  <si>
    <t>Comedy|Romance</t>
  </si>
  <si>
    <t>Town &amp; Country </t>
  </si>
  <si>
    <t>New Line</t>
  </si>
  <si>
    <t>Dominic Sena</t>
  </si>
  <si>
    <t>Gone in Sixty Seconds </t>
  </si>
  <si>
    <t>Action|Drama|Romance</t>
  </si>
  <si>
    <t>Gladiator </t>
  </si>
  <si>
    <t>Minority Report </t>
  </si>
  <si>
    <t>Harry Potter and the Chamber of Secrets </t>
  </si>
  <si>
    <t>Casino Royale </t>
  </si>
  <si>
    <t>Planet of the Apes </t>
  </si>
  <si>
    <t>Terminator 2: Judgment Day </t>
  </si>
  <si>
    <t>Biography|Crime|Drama|History|Romance</t>
  </si>
  <si>
    <t>Public Enemies </t>
  </si>
  <si>
    <t>Biography|Crime|Drama</t>
  </si>
  <si>
    <t>American Gangster </t>
  </si>
  <si>
    <t>Action|Comedy|Thriller</t>
  </si>
  <si>
    <t>True Lies </t>
  </si>
  <si>
    <t>Tony Scott</t>
  </si>
  <si>
    <t>The Taking of Pelham 1 2 3 </t>
  </si>
  <si>
    <t>Paul Weitz</t>
  </si>
  <si>
    <t>Little Fockers </t>
  </si>
  <si>
    <t>Adam McKay</t>
  </si>
  <si>
    <t>Action|Comedy|Crime</t>
  </si>
  <si>
    <t>The Other Guys </t>
  </si>
  <si>
    <t>Chuck Russell</t>
  </si>
  <si>
    <t>Action|Drama|Mystery|Thriller</t>
  </si>
  <si>
    <t>Eraser </t>
  </si>
  <si>
    <t>Quentin Tarantino</t>
  </si>
  <si>
    <t>Drama|Western</t>
  </si>
  <si>
    <t>Django Unchained </t>
  </si>
  <si>
    <t>Gary Trousdale</t>
  </si>
  <si>
    <t>Animation|Drama|Family|Musical|Romance</t>
  </si>
  <si>
    <t>The Hunchback of Notre Dame </t>
  </si>
  <si>
    <t>Mark Dindal</t>
  </si>
  <si>
    <t>The Emperor's New Groove </t>
  </si>
  <si>
    <t>Simon West</t>
  </si>
  <si>
    <t>The Expendables 2 </t>
  </si>
  <si>
    <t>Action|Adventure|Comedy|Family|Mystery</t>
  </si>
  <si>
    <t>National Treasure </t>
  </si>
  <si>
    <t>Stefen Fangmeier</t>
  </si>
  <si>
    <t>Eragon </t>
  </si>
  <si>
    <t>Spike Jonze</t>
  </si>
  <si>
    <t>Where the Wild Things Are </t>
  </si>
  <si>
    <t>Chris Wedge</t>
  </si>
  <si>
    <t>Epic </t>
  </si>
  <si>
    <t>Florian Henckel von Donnersmarck</t>
  </si>
  <si>
    <t>Action|Romance|Thriller</t>
  </si>
  <si>
    <t>The Tourist </t>
  </si>
  <si>
    <t>Peter Hyams</t>
  </si>
  <si>
    <t>Action|Fantasy|Horror|Mystery</t>
  </si>
  <si>
    <t>End of Days </t>
  </si>
  <si>
    <t>Adventure|Drama|Thriller</t>
  </si>
  <si>
    <t>Blood Diamond </t>
  </si>
  <si>
    <t>Biography|Comedy|Crime|Drama</t>
  </si>
  <si>
    <t>The Wolf of Wall Street </t>
  </si>
  <si>
    <t>Batman Forever </t>
  </si>
  <si>
    <t>Action|Sci-Fi|War</t>
  </si>
  <si>
    <t>Starship Troopers </t>
  </si>
  <si>
    <t>Tom Tykwer</t>
  </si>
  <si>
    <t>Drama|Sci-Fi</t>
  </si>
  <si>
    <t>Cloud Atlas </t>
  </si>
  <si>
    <t>Action|Adventure|Animation|Family|Fantasy</t>
  </si>
  <si>
    <t>Legend of the Guardians: The Owls of Ga'Hoole </t>
  </si>
  <si>
    <t>Pitof</t>
  </si>
  <si>
    <t>Action|Crime|Fantasy|Romance|Thriller</t>
  </si>
  <si>
    <t>Catwoman </t>
  </si>
  <si>
    <t>Hercules </t>
  </si>
  <si>
    <t>Treasure Planet </t>
  </si>
  <si>
    <t>Brad Silberling</t>
  </si>
  <si>
    <t>Adventure|Comedy|Sci-Fi</t>
  </si>
  <si>
    <t>Land of the Lost </t>
  </si>
  <si>
    <t>Patrick Hughes</t>
  </si>
  <si>
    <t>The Expendables 3 </t>
  </si>
  <si>
    <t>Ericson Core</t>
  </si>
  <si>
    <t>Action|Crime|Sport|Thriller</t>
  </si>
  <si>
    <t>Point Break </t>
  </si>
  <si>
    <t>Lawrence Guterman</t>
  </si>
  <si>
    <t>Son of the Mask </t>
  </si>
  <si>
    <t>Action|Adventure|Biography|Drama|History|Thriller</t>
  </si>
  <si>
    <t>In the Heart of the Sea </t>
  </si>
  <si>
    <t>Ron Underwood</t>
  </si>
  <si>
    <t>Action|Comedy|Sci-Fi</t>
  </si>
  <si>
    <t>The Adventures of Pluto Nash </t>
  </si>
  <si>
    <t>Action|Drama|Thriller|War</t>
  </si>
  <si>
    <t>Green Zone </t>
  </si>
  <si>
    <t>France</t>
  </si>
  <si>
    <t>Steve Martino</t>
  </si>
  <si>
    <t>The Peanuts Movie </t>
  </si>
  <si>
    <t>David Mamet</t>
  </si>
  <si>
    <t>Drama|Mystery|Thriller</t>
  </si>
  <si>
    <t>The Spanish Prisoner </t>
  </si>
  <si>
    <t>Action|Adventure|Fantasy|Thriller</t>
  </si>
  <si>
    <t>The Mummy Returns </t>
  </si>
  <si>
    <t>Crime|Drama</t>
  </si>
  <si>
    <t>Gangs of New York </t>
  </si>
  <si>
    <t>Yimou Zhang</t>
  </si>
  <si>
    <t>Drama|History|Romance|War</t>
  </si>
  <si>
    <t>The Flowers of War </t>
  </si>
  <si>
    <t>Mandarin</t>
  </si>
  <si>
    <t>Ash Brannon</t>
  </si>
  <si>
    <t>Animation|Comedy|Family|Sport</t>
  </si>
  <si>
    <t>Surf's Up </t>
  </si>
  <si>
    <t>Frank Oz</t>
  </si>
  <si>
    <t>Comedy|Sci-Fi|Thriller</t>
  </si>
  <si>
    <t>The Stepford Wives </t>
  </si>
  <si>
    <t>Drama|History|War</t>
  </si>
  <si>
    <t>Black Hawk Down </t>
  </si>
  <si>
    <t>Jay Roach</t>
  </si>
  <si>
    <t>Comedy</t>
  </si>
  <si>
    <t>The Campaign </t>
  </si>
  <si>
    <t>Luc Besson</t>
  </si>
  <si>
    <t>The Fifth Element </t>
  </si>
  <si>
    <t>Michael Patrick King</t>
  </si>
  <si>
    <t>Sex and the City 2 </t>
  </si>
  <si>
    <t>Bibo Bergeron</t>
  </si>
  <si>
    <t>Adventure|Animation|Comedy|Family|Romance</t>
  </si>
  <si>
    <t>The Road to El Dorado </t>
  </si>
  <si>
    <t>Ice Age: Continental Drift </t>
  </si>
  <si>
    <t>Drama|Family|Fantasy|Romance</t>
  </si>
  <si>
    <t>Cinderella </t>
  </si>
  <si>
    <t>Drama|Fantasy|Thriller</t>
  </si>
  <si>
    <t>The Lovely Bones </t>
  </si>
  <si>
    <t>Finding Nemo </t>
  </si>
  <si>
    <t>The Lord of the Rings: The Return of the King </t>
  </si>
  <si>
    <t>The Lord of the Rings: The Two Towers </t>
  </si>
  <si>
    <t>Sergey Bodrov</t>
  </si>
  <si>
    <t>Seventh Son </t>
  </si>
  <si>
    <t>Lara Croft: Tomb Raider </t>
  </si>
  <si>
    <t>Wally Pfister</t>
  </si>
  <si>
    <t>Drama|Mystery|Romance|Sci-Fi|Thriller</t>
  </si>
  <si>
    <t>Transcendence </t>
  </si>
  <si>
    <t>Jurassic Park III </t>
  </si>
  <si>
    <t>Rupert Wyatt</t>
  </si>
  <si>
    <t>Rise of the Planet of the Apes </t>
  </si>
  <si>
    <t>Mark Waters</t>
  </si>
  <si>
    <t>The Spiderwick Chronicles </t>
  </si>
  <si>
    <t>John Moore</t>
  </si>
  <si>
    <t>A Good Day to Die Hard </t>
  </si>
  <si>
    <t>John Lee Hancock</t>
  </si>
  <si>
    <t>Drama|History|War|Western</t>
  </si>
  <si>
    <t>The Alamo </t>
  </si>
  <si>
    <t>Action|Adventure|Animation|Family</t>
  </si>
  <si>
    <t>The Incredibles </t>
  </si>
  <si>
    <t>Renny Harlin</t>
  </si>
  <si>
    <t>Cutthroat Island </t>
  </si>
  <si>
    <t>Percy Jackson &amp; the Olympians: The Lightning Thief </t>
  </si>
  <si>
    <t>Adventure|Comedy|Family|Mystery|Sci-Fi</t>
  </si>
  <si>
    <t>Men in Black </t>
  </si>
  <si>
    <t>Toy Story 2 </t>
  </si>
  <si>
    <t>Unstoppable </t>
  </si>
  <si>
    <t>Rush Hour 2 </t>
  </si>
  <si>
    <t>Drama|Fantasy|Horror|Mystery|Thriller</t>
  </si>
  <si>
    <t>What Lies Beneath </t>
  </si>
  <si>
    <t>Phil Lord</t>
  </si>
  <si>
    <t>Animation|Comedy|Family|Sci-Fi</t>
  </si>
  <si>
    <t>Cloudy with a Chance of Meatballs </t>
  </si>
  <si>
    <t>Ice Age: Dawn of the Dinosaurs </t>
  </si>
  <si>
    <t>Ben Stiller</t>
  </si>
  <si>
    <t>Adventure|Comedy|Drama|Fantasy|Romance</t>
  </si>
  <si>
    <t>The Secret Life of Walter Mitty </t>
  </si>
  <si>
    <t>Action|Adventure|Comedy|Crime|Thriller</t>
  </si>
  <si>
    <t>Charlie's Angels </t>
  </si>
  <si>
    <t>Crime|Drama|Thriller</t>
  </si>
  <si>
    <t>The Departed </t>
  </si>
  <si>
    <t>Tony Bancroft</t>
  </si>
  <si>
    <t>Adventure|Animation|Family|Fantasy|Musical|War</t>
  </si>
  <si>
    <t>Mulan </t>
  </si>
  <si>
    <t>Action|Comedy</t>
  </si>
  <si>
    <t>Tropic Thunder </t>
  </si>
  <si>
    <t>Crime|Drama|Mystery|Thriller</t>
  </si>
  <si>
    <t>The Girl with the Dragon Tattoo </t>
  </si>
  <si>
    <t>Die Hard with a Vengeance </t>
  </si>
  <si>
    <t>Sherlock Holmes </t>
  </si>
  <si>
    <t>Action|Adventure|Animation|Family|Fantasy|Sci-Fi</t>
  </si>
  <si>
    <t>Atlantis: The Lost Empire </t>
  </si>
  <si>
    <t>Walt Becker</t>
  </si>
  <si>
    <t>Adventure|Animation|Comedy|Family|Fantasy|Music</t>
  </si>
  <si>
    <t>Alvin and the Chipmunks: The Road Chip </t>
  </si>
  <si>
    <t>Drama|History|Thriller|War</t>
  </si>
  <si>
    <t>Valkyrie </t>
  </si>
  <si>
    <t>Dennis Dugan</t>
  </si>
  <si>
    <t>You Don't Mess with the Zohan </t>
  </si>
  <si>
    <t>Action|Animation|Comedy|Sci-Fi</t>
  </si>
  <si>
    <t>Pixels </t>
  </si>
  <si>
    <t>A.I. Artificial Intelligence </t>
  </si>
  <si>
    <t>Comedy|Family|Fantasy|Horror|Mystery</t>
  </si>
  <si>
    <t>The Haunted Mansion </t>
  </si>
  <si>
    <t>Drama|Mystery|Sci-Fi|Thriller</t>
  </si>
  <si>
    <t>Contact </t>
  </si>
  <si>
    <t>Action|Horror|Sci-Fi|Thriller</t>
  </si>
  <si>
    <t>Hollow Man </t>
  </si>
  <si>
    <t>Sydney Pollack</t>
  </si>
  <si>
    <t>Crime|Mystery|Thriller</t>
  </si>
  <si>
    <t>The Interpreter </t>
  </si>
  <si>
    <t>Aboriginal</t>
  </si>
  <si>
    <t>Thor Freudenthal</t>
  </si>
  <si>
    <t>Percy Jackson: Sea of Monsters </t>
  </si>
  <si>
    <t>Lara Croft Tomb Raider: The Cradle of Life </t>
  </si>
  <si>
    <t>Action|Adventure|Comedy|Crime|Mystery|Thriller</t>
  </si>
  <si>
    <t>Now You See Me 2 </t>
  </si>
  <si>
    <t>The Saint </t>
  </si>
  <si>
    <t>Spy Game </t>
  </si>
  <si>
    <t>Brian De Palma</t>
  </si>
  <si>
    <t>Mission to Mars </t>
  </si>
  <si>
    <t>Rio </t>
  </si>
  <si>
    <t>Comedy|Drama|Sci-Fi</t>
  </si>
  <si>
    <t>Bicentennial Man </t>
  </si>
  <si>
    <t>Mick Jackson</t>
  </si>
  <si>
    <t>Volcano </t>
  </si>
  <si>
    <t>Alan J. Pakula</t>
  </si>
  <si>
    <t>The Devil's Own </t>
  </si>
  <si>
    <t>Kathryn Bigelow</t>
  </si>
  <si>
    <t>K-19: The Widowmaker </t>
  </si>
  <si>
    <t>John Milius</t>
  </si>
  <si>
    <t>Conan the Barbarian </t>
  </si>
  <si>
    <t>Cinderella Man </t>
  </si>
  <si>
    <t>Andrey Konchalovskiy</t>
  </si>
  <si>
    <t>Action|Family|Fantasy|Musical</t>
  </si>
  <si>
    <t>The Nutcracker in 3D </t>
  </si>
  <si>
    <t>Gary Ross</t>
  </si>
  <si>
    <t>Drama|History|Sport</t>
  </si>
  <si>
    <t>Seabiscuit </t>
  </si>
  <si>
    <t>Twister </t>
  </si>
  <si>
    <t>Adventure|Drama|Romance</t>
  </si>
  <si>
    <t>Cast Away </t>
  </si>
  <si>
    <t>Animation|Comedy|Family|Music|Romance</t>
  </si>
  <si>
    <t>Happy Feet </t>
  </si>
  <si>
    <t>The Bourne Supremacy </t>
  </si>
  <si>
    <t>Air Force One </t>
  </si>
  <si>
    <t>Ocean's Eleven </t>
  </si>
  <si>
    <t>Paul W.S. Anderson</t>
  </si>
  <si>
    <t>The Three Musketeers </t>
  </si>
  <si>
    <t>Genndy Tartakovsky</t>
  </si>
  <si>
    <t>Hotel Transylvania </t>
  </si>
  <si>
    <t>Kevin Lima</t>
  </si>
  <si>
    <t>Animation|Comedy|Family|Fantasy|Musical|Romance</t>
  </si>
  <si>
    <t>Enchanted </t>
  </si>
  <si>
    <t>Daniel Espinosa</t>
  </si>
  <si>
    <t>Safe House </t>
  </si>
  <si>
    <t>Adventure|Comedy|Family</t>
  </si>
  <si>
    <t>102 Dalmatians </t>
  </si>
  <si>
    <t>Tower Heist </t>
  </si>
  <si>
    <t>Nancy Meyers</t>
  </si>
  <si>
    <t>The Holiday </t>
  </si>
  <si>
    <t>Action|Crime|Drama|Mystery|Thriller</t>
  </si>
  <si>
    <t>Enemy of the State </t>
  </si>
  <si>
    <t>It's Complicated </t>
  </si>
  <si>
    <t>Ocean's Thirteen </t>
  </si>
  <si>
    <t>Roger Allers</t>
  </si>
  <si>
    <t>Open Season </t>
  </si>
  <si>
    <t>Neil Burger</t>
  </si>
  <si>
    <t>Divergent </t>
  </si>
  <si>
    <t>Jean-Jacques Annaud</t>
  </si>
  <si>
    <t>Enemy at the Gates </t>
  </si>
  <si>
    <t>The Rundown </t>
  </si>
  <si>
    <t>Action|Adventure|Comedy|Fantasy</t>
  </si>
  <si>
    <t>Last Action Hero </t>
  </si>
  <si>
    <t>Memoirs of a Geisha </t>
  </si>
  <si>
    <t>The Fast and the Furious: Tokyo Drift </t>
  </si>
  <si>
    <t>Sarah Smith</t>
  </si>
  <si>
    <t>Arthur Christmas </t>
  </si>
  <si>
    <t>Martin Brest</t>
  </si>
  <si>
    <t>Meet Joe Black </t>
  </si>
  <si>
    <t>Andrew Davis</t>
  </si>
  <si>
    <t>Collateral Damage </t>
  </si>
  <si>
    <t>Tarsem Singh</t>
  </si>
  <si>
    <t>Adventure|Comedy|Drama|Family|Fantasy</t>
  </si>
  <si>
    <t>Mirror Mirror </t>
  </si>
  <si>
    <t>Edgar Wright</t>
  </si>
  <si>
    <t>Action|Comedy|Fantasy|Romance</t>
  </si>
  <si>
    <t>Scott Pilgrim vs. the World </t>
  </si>
  <si>
    <t>Jon Amiel</t>
  </si>
  <si>
    <t>The Core </t>
  </si>
  <si>
    <t>Peter Segal</t>
  </si>
  <si>
    <t>Comedy|Romance|Sci-Fi</t>
  </si>
  <si>
    <t>Nutty Professor II: The Klumps </t>
  </si>
  <si>
    <t>Adventure|Comedy|Mystery</t>
  </si>
  <si>
    <t>Scooby-Doo </t>
  </si>
  <si>
    <t>Pete Travis</t>
  </si>
  <si>
    <t>Dredd </t>
  </si>
  <si>
    <t>Comedy|Drama|Fantasy|Romance</t>
  </si>
  <si>
    <t>Click </t>
  </si>
  <si>
    <t>Action|Comedy|Family|Fantasy</t>
  </si>
  <si>
    <t>Cats &amp; Dogs: The Revenge of Kitty Galore </t>
  </si>
  <si>
    <t>Jumper </t>
  </si>
  <si>
    <t>Action|Adventure|Fantasy|Horror|Sci-Fi</t>
  </si>
  <si>
    <t>Hellboy II: The Golden Army </t>
  </si>
  <si>
    <t>Crime|Drama|History|Mystery|Thriller</t>
  </si>
  <si>
    <t>Zodiac </t>
  </si>
  <si>
    <t>The 6th Day </t>
  </si>
  <si>
    <t>Comedy|Drama</t>
  </si>
  <si>
    <t>Bruce Almighty </t>
  </si>
  <si>
    <t>Sylvester Stallone</t>
  </si>
  <si>
    <t>The Expendables </t>
  </si>
  <si>
    <t>Mission: Impossible </t>
  </si>
  <si>
    <t>The Hunger Games </t>
  </si>
  <si>
    <t>Todd Phillips</t>
  </si>
  <si>
    <t>The Hangover Part II </t>
  </si>
  <si>
    <t>Batman Returns </t>
  </si>
  <si>
    <t>Over the Hedge </t>
  </si>
  <si>
    <t>Adventure|Animation|Comedy|Drama|Family|Fantasy|Sci-Fi</t>
  </si>
  <si>
    <t>Lilo &amp; Stitch </t>
  </si>
  <si>
    <t>Mimi Leder</t>
  </si>
  <si>
    <t>Action|Drama|Romance|Sci-Fi|Thriller</t>
  </si>
  <si>
    <t>Deep Impact </t>
  </si>
  <si>
    <t>RED 2 </t>
  </si>
  <si>
    <t>Comedy|Crime|Sport</t>
  </si>
  <si>
    <t>The Longest Yard </t>
  </si>
  <si>
    <t>Alvin and the Chipmunks: Chipwrecked </t>
  </si>
  <si>
    <t>Grown Ups 2 </t>
  </si>
  <si>
    <t>Get Smart </t>
  </si>
  <si>
    <t>Something's Gotta Give </t>
  </si>
  <si>
    <t>Shutter Island </t>
  </si>
  <si>
    <t>Seth Gordon</t>
  </si>
  <si>
    <t>Four Christmases </t>
  </si>
  <si>
    <t>Robots </t>
  </si>
  <si>
    <t>Face/Off </t>
  </si>
  <si>
    <t>Adam Shankman</t>
  </si>
  <si>
    <t>Comedy|Family|Fantasy|Romance</t>
  </si>
  <si>
    <t>Bedtime Stories </t>
  </si>
  <si>
    <t>Road to Perdition </t>
  </si>
  <si>
    <t>Just Go with It </t>
  </si>
  <si>
    <t>Con Air </t>
  </si>
  <si>
    <t>D.J. Caruso</t>
  </si>
  <si>
    <t>Eagle Eye </t>
  </si>
  <si>
    <t>Anthony Minghella</t>
  </si>
  <si>
    <t>Adventure|Drama|History|Romance|War</t>
  </si>
  <si>
    <t>Cold Mountain </t>
  </si>
  <si>
    <t>Albert Hughes</t>
  </si>
  <si>
    <t>The Book of Eli </t>
  </si>
  <si>
    <t>Les Mayfield</t>
  </si>
  <si>
    <t>Comedy|Family|Sci-Fi</t>
  </si>
  <si>
    <t>Flubber </t>
  </si>
  <si>
    <t>Fantasy|Horror|Mystery|Thriller</t>
  </si>
  <si>
    <t>The Haunting </t>
  </si>
  <si>
    <t>Joe Pytka</t>
  </si>
  <si>
    <t>Adventure|Animation|Comedy|Family|Fantasy|Sci-Fi|Sport</t>
  </si>
  <si>
    <t>Space Jam </t>
  </si>
  <si>
    <t>Adventure|Comedy|Crime|Family|Mystery</t>
  </si>
  <si>
    <t>The Pink Panther </t>
  </si>
  <si>
    <t>Scott Derrickson</t>
  </si>
  <si>
    <t>Drama|Sci-Fi|Thriller</t>
  </si>
  <si>
    <t>The Day the Earth Stood Still </t>
  </si>
  <si>
    <t>Action|Crime|Mystery|Romance|Thriller</t>
  </si>
  <si>
    <t>Conspiracy Theory </t>
  </si>
  <si>
    <t>Fury </t>
  </si>
  <si>
    <t>Ivan Reitman</t>
  </si>
  <si>
    <t>Action|Adventure|Comedy|Romance</t>
  </si>
  <si>
    <t>Six Days Seven Nights </t>
  </si>
  <si>
    <t>Eric Brevig</t>
  </si>
  <si>
    <t>Yogi Bear </t>
  </si>
  <si>
    <t>Kelly Asbury</t>
  </si>
  <si>
    <t>Adventure|Animation|Family|Western</t>
  </si>
  <si>
    <t>Spirit: Stallion of the Cimarron </t>
  </si>
  <si>
    <t>Comedy|Family|Romance</t>
  </si>
  <si>
    <t>Zookeeper </t>
  </si>
  <si>
    <t>Stephen Hopkins</t>
  </si>
  <si>
    <t>Action|Adventure|Family|Sci-Fi|Thriller</t>
  </si>
  <si>
    <t>Lost in Space </t>
  </si>
  <si>
    <t>Jonathan Demme</t>
  </si>
  <si>
    <t>The Manchurian Candidate </t>
  </si>
  <si>
    <t>Hotel Transylvania 2 </t>
  </si>
  <si>
    <t>James Algar</t>
  </si>
  <si>
    <t>Animation|Family|Fantasy|Music</t>
  </si>
  <si>
    <t>Fantasia 2000 </t>
  </si>
  <si>
    <t>The Time Machine </t>
  </si>
  <si>
    <t>Action|Adventure|Family|Fantasy|Thriller</t>
  </si>
  <si>
    <t>Mighty Joe Young </t>
  </si>
  <si>
    <t>Swordfish </t>
  </si>
  <si>
    <t>The Legend of Zorro </t>
  </si>
  <si>
    <t>Spanish</t>
  </si>
  <si>
    <t>Vincent Ward</t>
  </si>
  <si>
    <t>What Dreams May Come </t>
  </si>
  <si>
    <t>Steven Brill</t>
  </si>
  <si>
    <t>Comedy|Fantasy</t>
  </si>
  <si>
    <t>Little Nicky </t>
  </si>
  <si>
    <t>Terry Gilliam</t>
  </si>
  <si>
    <t>Action|Adventure|Comedy|Fantasy|Thriller</t>
  </si>
  <si>
    <t>The Brothers Grimm </t>
  </si>
  <si>
    <t>Mars Attacks! </t>
  </si>
  <si>
    <t>Action|Sci-Fi|Thriller</t>
  </si>
  <si>
    <t>Surrogates </t>
  </si>
  <si>
    <t>Drama|History|Thriller</t>
  </si>
  <si>
    <t>Thirteen Days </t>
  </si>
  <si>
    <t>Daylight </t>
  </si>
  <si>
    <t>Barry Cook</t>
  </si>
  <si>
    <t>Adventure|Animation|Family</t>
  </si>
  <si>
    <t>Walking with Dinosaurs 3D </t>
  </si>
  <si>
    <t>Roger Christian</t>
  </si>
  <si>
    <t>Battlefield Earth </t>
  </si>
  <si>
    <t>Joe Dante</t>
  </si>
  <si>
    <t>Looney Tunes: Back in Action </t>
  </si>
  <si>
    <t>Drama|Musical|Romance</t>
  </si>
  <si>
    <t>Nine </t>
  </si>
  <si>
    <t>Timeline </t>
  </si>
  <si>
    <t>Kevin Costner</t>
  </si>
  <si>
    <t>The Postman </t>
  </si>
  <si>
    <t>Babe: Pig in the City </t>
  </si>
  <si>
    <t>The Last Witch Hunter </t>
  </si>
  <si>
    <t>Antony Hoffman</t>
  </si>
  <si>
    <t>Red Planet </t>
  </si>
  <si>
    <t>Arthur and the Invisibles </t>
  </si>
  <si>
    <t>Jacques Perrin</t>
  </si>
  <si>
    <t>Documentary|Drama</t>
  </si>
  <si>
    <t>Oceans </t>
  </si>
  <si>
    <t>French</t>
  </si>
  <si>
    <t>A Sound of Thunder </t>
  </si>
  <si>
    <t>Action|Adventure|Drama|History|Romance</t>
  </si>
  <si>
    <t>Pompeii </t>
  </si>
  <si>
    <t>A Beautiful Mind </t>
  </si>
  <si>
    <t>Adventure|Animation|Drama|Family|Musical</t>
  </si>
  <si>
    <t>The Lion King </t>
  </si>
  <si>
    <t>Journey 2: The Mysterious Island </t>
  </si>
  <si>
    <t>Cody Cameron</t>
  </si>
  <si>
    <t>Animation|Comedy|Family|Fantasy|Sci-Fi</t>
  </si>
  <si>
    <t>Cloudy with a Chance of Meatballs 2 </t>
  </si>
  <si>
    <t>Red Dragon </t>
  </si>
  <si>
    <t>Hidalgo </t>
  </si>
  <si>
    <t>Jack and Jill </t>
  </si>
  <si>
    <t>John Singleton</t>
  </si>
  <si>
    <t>2 Fast 2 Furious </t>
  </si>
  <si>
    <t>Adventure|Animation|Drama|Family|Fantasy</t>
  </si>
  <si>
    <t>The Little Prince </t>
  </si>
  <si>
    <t>Oliver Hirschbiegel</t>
  </si>
  <si>
    <t>Sci-Fi|Thriller</t>
  </si>
  <si>
    <t>The Invasion </t>
  </si>
  <si>
    <t>Des McAnuff</t>
  </si>
  <si>
    <t>The Adventures of Rocky &amp; Bullwinkle </t>
  </si>
  <si>
    <t>Yarrow Cheney</t>
  </si>
  <si>
    <t>Animation|Comedy|Family</t>
  </si>
  <si>
    <t>The Secret Life of Pets </t>
  </si>
  <si>
    <t>Japan</t>
  </si>
  <si>
    <t>Stephen Norrington</t>
  </si>
  <si>
    <t>The League of Extraordinary Gentlemen </t>
  </si>
  <si>
    <t>Pierre Coffin</t>
  </si>
  <si>
    <t>Despicable Me 2 </t>
  </si>
  <si>
    <t>Independence Day </t>
  </si>
  <si>
    <t>The Lost World: Jurassic Park </t>
  </si>
  <si>
    <t>Madagascar </t>
  </si>
  <si>
    <t>Children of Men </t>
  </si>
  <si>
    <t>X-Men </t>
  </si>
  <si>
    <t>Timur Bekmambetov</t>
  </si>
  <si>
    <t>Action|Crime|Fantasy|Thriller</t>
  </si>
  <si>
    <t>Wanted </t>
  </si>
  <si>
    <t>The Rock </t>
  </si>
  <si>
    <t>Ice Age: The Meltdown </t>
  </si>
  <si>
    <t>50 First Dates </t>
  </si>
  <si>
    <t>Comedy|Drama|Family|Music|Musical|Romance</t>
  </si>
  <si>
    <t>Hairspray </t>
  </si>
  <si>
    <t>Horror|Mystery|Thriller</t>
  </si>
  <si>
    <t>Exorcist: The Beginning </t>
  </si>
  <si>
    <t>David Kellogg</t>
  </si>
  <si>
    <t>Action|Adventure|Comedy|Family|Sci-Fi</t>
  </si>
  <si>
    <t>Inspector Gadget </t>
  </si>
  <si>
    <t>Now You See Me </t>
  </si>
  <si>
    <t>Grown Ups </t>
  </si>
  <si>
    <t>The Terminal </t>
  </si>
  <si>
    <t>Comedy|Family</t>
  </si>
  <si>
    <t>Hotel for Dogs </t>
  </si>
  <si>
    <t>Vertical Limit </t>
  </si>
  <si>
    <t>Mike Nichols</t>
  </si>
  <si>
    <t>Biography|Comedy|Drama|History</t>
  </si>
  <si>
    <t>Charlie Wilson's War </t>
  </si>
  <si>
    <t>Shark Tale </t>
  </si>
  <si>
    <t>Drama|Music|Musical</t>
  </si>
  <si>
    <t>Dreamgirls </t>
  </si>
  <si>
    <t>F. Gary Gray</t>
  </si>
  <si>
    <t>Comedy|Crime|Music</t>
  </si>
  <si>
    <t>Be Cool </t>
  </si>
  <si>
    <t>Munich </t>
  </si>
  <si>
    <t>Antoine Fuqua</t>
  </si>
  <si>
    <t>Tears of the Sun </t>
  </si>
  <si>
    <t>Robert Luketic</t>
  </si>
  <si>
    <t>Action|Comedy|Romance|Thriller</t>
  </si>
  <si>
    <t>Killers </t>
  </si>
  <si>
    <t>The Man from U.N.C.L.E. </t>
  </si>
  <si>
    <t>Spanglish </t>
  </si>
  <si>
    <t>Gil Kenan</t>
  </si>
  <si>
    <t>Animation|Comedy|Family|Fantasy|Mystery</t>
  </si>
  <si>
    <t>Monster House </t>
  </si>
  <si>
    <t>Barry Levinson</t>
  </si>
  <si>
    <t>Comedy|Crime|Drama|Romance</t>
  </si>
  <si>
    <t>Bandits </t>
  </si>
  <si>
    <t>Jerry Zucker</t>
  </si>
  <si>
    <t>Action|Adventure|Romance|Thriller</t>
  </si>
  <si>
    <t>First Knight </t>
  </si>
  <si>
    <t>Andy Tennant</t>
  </si>
  <si>
    <t>Drama|History|Romance</t>
  </si>
  <si>
    <t>Anna and the King </t>
  </si>
  <si>
    <t>Action|Drama|Fantasy|Romance</t>
  </si>
  <si>
    <t>Immortals </t>
  </si>
  <si>
    <t>Florent-Emilio Siri</t>
  </si>
  <si>
    <t>Hostage </t>
  </si>
  <si>
    <t>Don Bluth</t>
  </si>
  <si>
    <t>Action|Adventure|Animation|Family|Sci-Fi</t>
  </si>
  <si>
    <t>Titan A.E. </t>
  </si>
  <si>
    <t>Ron Shelton</t>
  </si>
  <si>
    <t>Hollywood Homicide </t>
  </si>
  <si>
    <t>Action|Drama|Sci-Fi</t>
  </si>
  <si>
    <t>Soldier </t>
  </si>
  <si>
    <t>Henry Selick</t>
  </si>
  <si>
    <t>Animation|Comedy|Fantasy</t>
  </si>
  <si>
    <t>Monkeybone </t>
  </si>
  <si>
    <t>Flight of the Phoenix </t>
  </si>
  <si>
    <t>Unbreakable </t>
  </si>
  <si>
    <t>Kyle Balda</t>
  </si>
  <si>
    <t>Minions </t>
  </si>
  <si>
    <t>Action|Fantasy</t>
  </si>
  <si>
    <t>Sucker Punch </t>
  </si>
  <si>
    <t>Snake Eyes </t>
  </si>
  <si>
    <t>Sphere </t>
  </si>
  <si>
    <t>Clay Kaytis</t>
  </si>
  <si>
    <t>Action|Animation|Comedy|Family</t>
  </si>
  <si>
    <t>The Angry Birds Movie </t>
  </si>
  <si>
    <t>Action|Adventure|Comedy|Romance|Thriller</t>
  </si>
  <si>
    <t>Fool's Gold </t>
  </si>
  <si>
    <t>Judd Apatow</t>
  </si>
  <si>
    <t>Funny People </t>
  </si>
  <si>
    <t>The Kingdom </t>
  </si>
  <si>
    <t>Action|Comedy|Sport</t>
  </si>
  <si>
    <t>Talladega Nights: The Ballad of Ricky Bobby </t>
  </si>
  <si>
    <t>Steve Carr</t>
  </si>
  <si>
    <t>Dr. Dolittle 2 </t>
  </si>
  <si>
    <t>Mel Gibson</t>
  </si>
  <si>
    <t>Biography|Drama|History|War</t>
  </si>
  <si>
    <t>Braveheart </t>
  </si>
  <si>
    <t>Jarhead </t>
  </si>
  <si>
    <t>David Silverman</t>
  </si>
  <si>
    <t>Adventure|Animation|Comedy</t>
  </si>
  <si>
    <t>The Simpsons Movie </t>
  </si>
  <si>
    <t>Frank Darabont</t>
  </si>
  <si>
    <t>The Majestic </t>
  </si>
  <si>
    <t>Action|Drama|Sport</t>
  </si>
  <si>
    <t>Driven </t>
  </si>
  <si>
    <t>Adventure|Drama|Family</t>
  </si>
  <si>
    <t>Two Brothers </t>
  </si>
  <si>
    <t>Drama|Mystery|Romance|Thriller</t>
  </si>
  <si>
    <t>The Village </t>
  </si>
  <si>
    <t>Betty Thomas</t>
  </si>
  <si>
    <t>Doctor Dolittle </t>
  </si>
  <si>
    <t>Signs </t>
  </si>
  <si>
    <t>Adventure|Animation|Comedy|Family|Fantasy|Romance</t>
  </si>
  <si>
    <t>Shrek 2 </t>
  </si>
  <si>
    <t>Cars </t>
  </si>
  <si>
    <t>Garry Marshall</t>
  </si>
  <si>
    <t>Runaway Bride </t>
  </si>
  <si>
    <t>xXx </t>
  </si>
  <si>
    <t>Paul Tibbitt</t>
  </si>
  <si>
    <t>The SpongeBob Movie: Sponge Out of Water </t>
  </si>
  <si>
    <t>Ransom </t>
  </si>
  <si>
    <t>Adventure|Drama|War</t>
  </si>
  <si>
    <t>Inglourious Basterds </t>
  </si>
  <si>
    <t>Hook </t>
  </si>
  <si>
    <t>Die Hard 2 </t>
  </si>
  <si>
    <t>Clark Johnson</t>
  </si>
  <si>
    <t>Action|Adventure|Crime|Thriller</t>
  </si>
  <si>
    <t>S.W.A.T. </t>
  </si>
  <si>
    <t>Cameron Crowe</t>
  </si>
  <si>
    <t>Fantasy|Mystery|Romance|Sci-Fi|Thriller</t>
  </si>
  <si>
    <t>Vanilla Sky </t>
  </si>
  <si>
    <t>Drama|Fantasy|Mystery|Thriller</t>
  </si>
  <si>
    <t>Lady in the Water </t>
  </si>
  <si>
    <t>AVP: Alien vs. Predator </t>
  </si>
  <si>
    <t>Animation|Comedy|Family|Fantasy|Music</t>
  </si>
  <si>
    <t>Alvin and the Chipmunks: The Squeakquel </t>
  </si>
  <si>
    <t>Randall Wallace</t>
  </si>
  <si>
    <t>We Were Soldiers </t>
  </si>
  <si>
    <t>Olympus Has Fallen </t>
  </si>
  <si>
    <t>Jonathan Frakes</t>
  </si>
  <si>
    <t>Star Trek: Insurrection </t>
  </si>
  <si>
    <t>Battle Los Angeles </t>
  </si>
  <si>
    <t>Big Fish </t>
  </si>
  <si>
    <t>Drama|Horror|Romance|Thriller</t>
  </si>
  <si>
    <t>Wolf </t>
  </si>
  <si>
    <t>Drama|War</t>
  </si>
  <si>
    <t>War Horse </t>
  </si>
  <si>
    <t>George Clooney</t>
  </si>
  <si>
    <t>The Monuments Men </t>
  </si>
  <si>
    <t>The Abyss </t>
  </si>
  <si>
    <t>Drama</t>
  </si>
  <si>
    <t>Wall Street: Money Never Sleeps </t>
  </si>
  <si>
    <t>Gary Shore</t>
  </si>
  <si>
    <t>Action|Drama|Fantasy|Horror|War</t>
  </si>
  <si>
    <t>Dracula Untold </t>
  </si>
  <si>
    <t>The Siege </t>
  </si>
  <si>
    <t>Adventure|Family|Fantasy|Romance</t>
  </si>
  <si>
    <t>Stardust </t>
  </si>
  <si>
    <t>Adventure|Biography|Drama|History|War</t>
  </si>
  <si>
    <t>Seven Years in Tibet </t>
  </si>
  <si>
    <t>The Dilemma </t>
  </si>
  <si>
    <t>Bad Company </t>
  </si>
  <si>
    <t>Andrzej Bartkowiak</t>
  </si>
  <si>
    <t>Action|Adventure|Horror|Sci-Fi</t>
  </si>
  <si>
    <t>Doom </t>
  </si>
  <si>
    <t>I Spy </t>
  </si>
  <si>
    <t>Måns Mårlind</t>
  </si>
  <si>
    <t>Action|Fantasy|Horror</t>
  </si>
  <si>
    <t>Underworld: Awakening </t>
  </si>
  <si>
    <t>Comedy|Drama|Musical|Romance</t>
  </si>
  <si>
    <t>Rock of Ages </t>
  </si>
  <si>
    <t>Gregory Hoblit</t>
  </si>
  <si>
    <t>Hart's War </t>
  </si>
  <si>
    <t>Gary McKendry</t>
  </si>
  <si>
    <t>Killer Elite </t>
  </si>
  <si>
    <t>Action|Sci-Fi|Sport</t>
  </si>
  <si>
    <t>Rollerball </t>
  </si>
  <si>
    <t>Wych Kaosayananda</t>
  </si>
  <si>
    <t>Ballistic: Ecks vs. Sever </t>
  </si>
  <si>
    <t>Mikael Salomon</t>
  </si>
  <si>
    <t>Hard Rain </t>
  </si>
  <si>
    <t>Bobby Farrelly</t>
  </si>
  <si>
    <t>Action|Adventure|Animation|Comedy|Crime|Family|Fantasy</t>
  </si>
  <si>
    <t>Osmosis Jones </t>
  </si>
  <si>
    <t>Adventure|Animation|Family|Fantasy|Musical</t>
  </si>
  <si>
    <t>Legends of Oz: Dorothy's Return </t>
  </si>
  <si>
    <t>Blackhat </t>
  </si>
  <si>
    <t>Kerry Conran</t>
  </si>
  <si>
    <t>Sky Captain and the World of Tomorrow </t>
  </si>
  <si>
    <t>Michael Caton-Jones</t>
  </si>
  <si>
    <t>Basic Instinct 2 </t>
  </si>
  <si>
    <t>Mikael Håfström</t>
  </si>
  <si>
    <t>Action|Crime|Mystery|Sci-Fi|Thriller</t>
  </si>
  <si>
    <t>Escape Plan </t>
  </si>
  <si>
    <t>The Legend of Hercules </t>
  </si>
  <si>
    <t>Phil Alden Robinson</t>
  </si>
  <si>
    <t>The Sum of All Fears </t>
  </si>
  <si>
    <t>David Slade</t>
  </si>
  <si>
    <t>The Twilight Saga: Eclipse </t>
  </si>
  <si>
    <t>The Score </t>
  </si>
  <si>
    <t>Despicable Me </t>
  </si>
  <si>
    <t>Joseph Ruben</t>
  </si>
  <si>
    <t>Action|Comedy|Crime|Drama|Thriller</t>
  </si>
  <si>
    <t>Money Train </t>
  </si>
  <si>
    <t>Seth MacFarlane</t>
  </si>
  <si>
    <t>Ted 2 </t>
  </si>
  <si>
    <t>Alejandro Amenábar</t>
  </si>
  <si>
    <t>Adventure|Drama|History|Romance</t>
  </si>
  <si>
    <t>Agora </t>
  </si>
  <si>
    <t>Spain</t>
  </si>
  <si>
    <t>Kinka Usher</t>
  </si>
  <si>
    <t>Mystery Men </t>
  </si>
  <si>
    <t>Hall Pass </t>
  </si>
  <si>
    <t>Biography|Drama|Thriller</t>
  </si>
  <si>
    <t>The Insider </t>
  </si>
  <si>
    <t>Body of Lies </t>
  </si>
  <si>
    <t>Abraham Lincoln: Vampire Hunter </t>
  </si>
  <si>
    <t>Entrapment </t>
  </si>
  <si>
    <t>Rob Bowman</t>
  </si>
  <si>
    <t>The X Files </t>
  </si>
  <si>
    <t>Doug Lefler</t>
  </si>
  <si>
    <t>Action|Adventure|Fantasy|War</t>
  </si>
  <si>
    <t>The Last Legion </t>
  </si>
  <si>
    <t>Saving Private Ryan </t>
  </si>
  <si>
    <t>Scott Waugh</t>
  </si>
  <si>
    <t>Need for Speed </t>
  </si>
  <si>
    <t>Comedy|Fantasy|Romance</t>
  </si>
  <si>
    <t>What Women Want </t>
  </si>
  <si>
    <t>Ice Age </t>
  </si>
  <si>
    <t>Lawrence Kasdan</t>
  </si>
  <si>
    <t>Drama|Horror|Sci-Fi|Thriller</t>
  </si>
  <si>
    <t>Dreamcatcher </t>
  </si>
  <si>
    <t>Lincoln </t>
  </si>
  <si>
    <t>The Matrix </t>
  </si>
  <si>
    <t>Adventure|Drama|History</t>
  </si>
  <si>
    <t>Apollo 13 </t>
  </si>
  <si>
    <t>Michael Lembeck</t>
  </si>
  <si>
    <t>The Santa Clause 2 </t>
  </si>
  <si>
    <t>Tom Hooper</t>
  </si>
  <si>
    <t>Les Misérables </t>
  </si>
  <si>
    <t>Nora Ephron</t>
  </si>
  <si>
    <t>You've Got Mail </t>
  </si>
  <si>
    <t>Step Brothers </t>
  </si>
  <si>
    <t>Action|Adventure|Comedy|Romance|Thriller|Western</t>
  </si>
  <si>
    <t>The Mask of Zorro </t>
  </si>
  <si>
    <t>Due Date </t>
  </si>
  <si>
    <t>Angelina Jolie Pitt</t>
  </si>
  <si>
    <t>Biography|Drama|Sport|War</t>
  </si>
  <si>
    <t>Unbroken </t>
  </si>
  <si>
    <t>Clint Eastwood</t>
  </si>
  <si>
    <t>Space Cowboys </t>
  </si>
  <si>
    <t>Cliffhanger </t>
  </si>
  <si>
    <t>Broken Arrow </t>
  </si>
  <si>
    <t>The Kid </t>
  </si>
  <si>
    <t>World Trade Center </t>
  </si>
  <si>
    <t>Mona Lisa Smile </t>
  </si>
  <si>
    <t>Larry Charles</t>
  </si>
  <si>
    <t>The Dictator </t>
  </si>
  <si>
    <t>Stanley Kubrick</t>
  </si>
  <si>
    <t>Eyes Wide Shut </t>
  </si>
  <si>
    <t>Will Gluck</t>
  </si>
  <si>
    <t>Comedy|Drama|Family|Musical</t>
  </si>
  <si>
    <t>Annie </t>
  </si>
  <si>
    <t>Glenn Ficarra</t>
  </si>
  <si>
    <t>Focus </t>
  </si>
  <si>
    <t>This Means War </t>
  </si>
  <si>
    <t>David S. Goyer</t>
  </si>
  <si>
    <t>Action|Adventure|Fantasy|Horror|Sci-Fi|Thriller</t>
  </si>
  <si>
    <t>Blade: Trinity </t>
  </si>
  <si>
    <t>Primary Colors </t>
  </si>
  <si>
    <t>Resident Evil: Retribution </t>
  </si>
  <si>
    <t>Death Race </t>
  </si>
  <si>
    <t>The Long Kiss Goodnight </t>
  </si>
  <si>
    <t>Taylor Hackford</t>
  </si>
  <si>
    <t>Proof of Life </t>
  </si>
  <si>
    <t>Zathura: A Space Adventure </t>
  </si>
  <si>
    <t>Fight Club </t>
  </si>
  <si>
    <t>Drama|Sport</t>
  </si>
  <si>
    <t>We Are Marshall </t>
  </si>
  <si>
    <t>Michael Lehmann</t>
  </si>
  <si>
    <t>Hudson Hawk </t>
  </si>
  <si>
    <t>Lucky Numbers </t>
  </si>
  <si>
    <t>Stuart Beattie</t>
  </si>
  <si>
    <t>Action|Fantasy|Sci-Fi|Thriller</t>
  </si>
  <si>
    <t>I, Frankenstein </t>
  </si>
  <si>
    <t>Roman Polanski</t>
  </si>
  <si>
    <t>Oliver Twist </t>
  </si>
  <si>
    <t>Elektra </t>
  </si>
  <si>
    <t>Frank Miller</t>
  </si>
  <si>
    <t>Sin City: A Dame to Kill For </t>
  </si>
  <si>
    <t>Drama|Mystery|Romance</t>
  </si>
  <si>
    <t>Random Hearts </t>
  </si>
  <si>
    <t>Baltasar Kormákur</t>
  </si>
  <si>
    <t>Adventure|Biography|Drama|History|Sport|Thriller</t>
  </si>
  <si>
    <t>Everest </t>
  </si>
  <si>
    <t>Crime|Drama|Fantasy</t>
  </si>
  <si>
    <t>Perfume: The Story of a Murderer </t>
  </si>
  <si>
    <t>Austin Powers in Goldmember </t>
  </si>
  <si>
    <t>Astro Boy </t>
  </si>
  <si>
    <t>Hong Kong</t>
  </si>
  <si>
    <t>Jurassic Park </t>
  </si>
  <si>
    <t>Adventure|Biography|Crime|Drama|Western</t>
  </si>
  <si>
    <t>Wyatt Earp </t>
  </si>
  <si>
    <t>Clear and Present Danger </t>
  </si>
  <si>
    <t>Daniel Lee</t>
  </si>
  <si>
    <t>Dragon Blade </t>
  </si>
  <si>
    <t>Keenen Ivory Wayans</t>
  </si>
  <si>
    <t>Littleman </t>
  </si>
  <si>
    <t>Action|War</t>
  </si>
  <si>
    <t>U-571 </t>
  </si>
  <si>
    <t>Rob Reiner</t>
  </si>
  <si>
    <t>The American President </t>
  </si>
  <si>
    <t>Marco Schnabel</t>
  </si>
  <si>
    <t>Comedy|Romance|Sport</t>
  </si>
  <si>
    <t>The Love Guru </t>
  </si>
  <si>
    <t>Demian Lichtenstein</t>
  </si>
  <si>
    <t>3000 Miles to Graceland </t>
  </si>
  <si>
    <t>Crime|Drama|Mystery|Thriller|Western</t>
  </si>
  <si>
    <t>The Hateful Eight </t>
  </si>
  <si>
    <t>Josh Gordon</t>
  </si>
  <si>
    <t>Comedy|Sport</t>
  </si>
  <si>
    <t>Blades of Glory </t>
  </si>
  <si>
    <t>Tim Hill</t>
  </si>
  <si>
    <t>Hop </t>
  </si>
  <si>
    <t>300 </t>
  </si>
  <si>
    <t>Meet the Fockers </t>
  </si>
  <si>
    <t>David Frankel</t>
  </si>
  <si>
    <t>Comedy|Drama|Family</t>
  </si>
  <si>
    <t>Marley &amp; Me </t>
  </si>
  <si>
    <t>Crime|Drama|Fantasy|Mystery</t>
  </si>
  <si>
    <t>The Green Mile </t>
  </si>
  <si>
    <t>Chicken Little </t>
  </si>
  <si>
    <t>Gone Girl </t>
  </si>
  <si>
    <t>The Bourne Identity </t>
  </si>
  <si>
    <t>GoldenEye </t>
  </si>
  <si>
    <t>The General's Daughter </t>
  </si>
  <si>
    <t>The Truman Show </t>
  </si>
  <si>
    <t>Brenda Chapman</t>
  </si>
  <si>
    <t>Adventure|Animation|Biography|Drama|Family|Fantasy|Musical</t>
  </si>
  <si>
    <t>The Prince of Egypt </t>
  </si>
  <si>
    <t>Daddy Day Care </t>
  </si>
  <si>
    <t>2 Guns </t>
  </si>
  <si>
    <t>Cats &amp; Dogs </t>
  </si>
  <si>
    <t>The Italian Job </t>
  </si>
  <si>
    <t>Marc Lawrence</t>
  </si>
  <si>
    <t>Two Weeks Notice </t>
  </si>
  <si>
    <t>Antz </t>
  </si>
  <si>
    <t>Peter Billingsley</t>
  </si>
  <si>
    <t>Couples Retreat </t>
  </si>
  <si>
    <t>Days of Thunder </t>
  </si>
  <si>
    <t>Cheaper by the Dozen 2 </t>
  </si>
  <si>
    <t>Wes Ball</t>
  </si>
  <si>
    <t>The Scorch Trials </t>
  </si>
  <si>
    <t>Ryan Murphy</t>
  </si>
  <si>
    <t>Eat Pray Love </t>
  </si>
  <si>
    <t>The Family Man </t>
  </si>
  <si>
    <t>RED </t>
  </si>
  <si>
    <t>Any Given Sunday </t>
  </si>
  <si>
    <t>Robert Redford</t>
  </si>
  <si>
    <t>Drama|Romance|Western</t>
  </si>
  <si>
    <t>The Horse Whisperer </t>
  </si>
  <si>
    <t>Collateral </t>
  </si>
  <si>
    <t>The Scorpion King </t>
  </si>
  <si>
    <t>Jay Russell</t>
  </si>
  <si>
    <t>Ladder 49 </t>
  </si>
  <si>
    <t>Jack Reacher </t>
  </si>
  <si>
    <t>Deep Blue Sea </t>
  </si>
  <si>
    <t>Kenny Ortega</t>
  </si>
  <si>
    <t>Documentary|Music</t>
  </si>
  <si>
    <t>This Is It </t>
  </si>
  <si>
    <t>Drama|Thriller</t>
  </si>
  <si>
    <t>Contagion </t>
  </si>
  <si>
    <t>David McNally</t>
  </si>
  <si>
    <t>Kangaroo Jack </t>
  </si>
  <si>
    <t>Animation|Family|Fantasy</t>
  </si>
  <si>
    <t>Coraline </t>
  </si>
  <si>
    <t>The Happening </t>
  </si>
  <si>
    <t>Man on Fire </t>
  </si>
  <si>
    <t>Brian Robbins</t>
  </si>
  <si>
    <t>The Shaggy Dog </t>
  </si>
  <si>
    <t>Starsky &amp; Hutch </t>
  </si>
  <si>
    <t>Brian Levant</t>
  </si>
  <si>
    <t>Jingle All the Way </t>
  </si>
  <si>
    <t>Action|Fantasy|Horror|Sci-Fi</t>
  </si>
  <si>
    <t>Hellboy </t>
  </si>
  <si>
    <t>Steven Zaillian</t>
  </si>
  <si>
    <t>A Civil Action </t>
  </si>
  <si>
    <t>Chris Butler</t>
  </si>
  <si>
    <t>ParaNorman </t>
  </si>
  <si>
    <t>The Jackal </t>
  </si>
  <si>
    <t>Paycheck </t>
  </si>
  <si>
    <t>Jon Avnet</t>
  </si>
  <si>
    <t>Up Close &amp; Personal </t>
  </si>
  <si>
    <t>Sam Fell</t>
  </si>
  <si>
    <t>The Tale of Despereaux </t>
  </si>
  <si>
    <t>Kevin Donovan</t>
  </si>
  <si>
    <t>The Tuxedo </t>
  </si>
  <si>
    <t>Geoff Murphy</t>
  </si>
  <si>
    <t>Under Siege 2: Dark Territory </t>
  </si>
  <si>
    <t>Jack Ryan: Shadow Recruit </t>
  </si>
  <si>
    <t>David O. Russell</t>
  </si>
  <si>
    <t>Biography|Comedy|Drama</t>
  </si>
  <si>
    <t>Joy </t>
  </si>
  <si>
    <t>Babak Najafi</t>
  </si>
  <si>
    <t>London Has Fallen </t>
  </si>
  <si>
    <t>Jean-Pierre Jeunet</t>
  </si>
  <si>
    <t>Action|Horror|Sci-Fi</t>
  </si>
  <si>
    <t>Alien: Resurrection </t>
  </si>
  <si>
    <t>Shooter </t>
  </si>
  <si>
    <t>Graham Annable</t>
  </si>
  <si>
    <t>The Boxtrolls </t>
  </si>
  <si>
    <t>Griffin Dunne</t>
  </si>
  <si>
    <t>Practical Magic </t>
  </si>
  <si>
    <t>The Lego Movie </t>
  </si>
  <si>
    <t>John Pasquin</t>
  </si>
  <si>
    <t>Miss Congeniality 2: Armed and Fabulous </t>
  </si>
  <si>
    <t>Reign of Fire </t>
  </si>
  <si>
    <t>Ruben Fleischer</t>
  </si>
  <si>
    <t>Gangster Squad </t>
  </si>
  <si>
    <t>Harold Ramis</t>
  </si>
  <si>
    <t>Adventure|Comedy</t>
  </si>
  <si>
    <t>Year One </t>
  </si>
  <si>
    <t>Biography|Drama|History|Sport</t>
  </si>
  <si>
    <t>Invictus </t>
  </si>
  <si>
    <t>Comedy|Crime|Romance|Thriller</t>
  </si>
  <si>
    <t>Duplicity </t>
  </si>
  <si>
    <t>Donald Petrie</t>
  </si>
  <si>
    <t>My Favorite Martian </t>
  </si>
  <si>
    <t>The Sentinel </t>
  </si>
  <si>
    <t>Jorge Blanco</t>
  </si>
  <si>
    <t>Planet 51 </t>
  </si>
  <si>
    <t>Stuart Baird</t>
  </si>
  <si>
    <t>Star Trek: Nemesis </t>
  </si>
  <si>
    <t>Joel Coen</t>
  </si>
  <si>
    <t>Comedy|Crime|Romance</t>
  </si>
  <si>
    <t>Intolerable Cruelty </t>
  </si>
  <si>
    <t>Edge of Darkness </t>
  </si>
  <si>
    <t>Horror|Mystery|Sci-Fi|Thriller</t>
  </si>
  <si>
    <t>The Relic </t>
  </si>
  <si>
    <t>Analyze That </t>
  </si>
  <si>
    <t>Righteous Kill </t>
  </si>
  <si>
    <t>Harold Becker</t>
  </si>
  <si>
    <t>Mercury Rising </t>
  </si>
  <si>
    <t>Biography|Drama|Music</t>
  </si>
  <si>
    <t>The Soloist </t>
  </si>
  <si>
    <t>Drama|Fantasy|Sport</t>
  </si>
  <si>
    <t>The Legend of Bagger Vance </t>
  </si>
  <si>
    <t>Adventure|Comedy|Drama|Music</t>
  </si>
  <si>
    <t>Almost Famous </t>
  </si>
  <si>
    <t>xXx: State of the Union </t>
  </si>
  <si>
    <t>Scott Stewart</t>
  </si>
  <si>
    <t>Action|Fantasy|Horror|Sci-Fi|Thriller</t>
  </si>
  <si>
    <t>Priest </t>
  </si>
  <si>
    <t>Patrick Gilmore</t>
  </si>
  <si>
    <t>Adventure|Animation|Comedy|Drama|Family|Fantasy|Romance</t>
  </si>
  <si>
    <t>Sinbad: Legend of the Seven Seas </t>
  </si>
  <si>
    <t>Horror|Sci-Fi|Thriller</t>
  </si>
  <si>
    <t>Event Horizon </t>
  </si>
  <si>
    <t>Drama|Fantasy|Mystery|Romance|Thriller</t>
  </si>
  <si>
    <t>Dragonfly </t>
  </si>
  <si>
    <t>The Black Dahlia </t>
  </si>
  <si>
    <t>Tony Bill</t>
  </si>
  <si>
    <t>Action|Adventure|Drama|History|Romance|War</t>
  </si>
  <si>
    <t>Flyboys </t>
  </si>
  <si>
    <t>Rod Lurie</t>
  </si>
  <si>
    <t>The Last Castle </t>
  </si>
  <si>
    <t>Walter Hill</t>
  </si>
  <si>
    <t>Supernova </t>
  </si>
  <si>
    <t>Akiva Goldsman</t>
  </si>
  <si>
    <t>Drama|Fantasy|Mystery|Romance</t>
  </si>
  <si>
    <t>Winter's Tale </t>
  </si>
  <si>
    <t>Harald Zwart</t>
  </si>
  <si>
    <t>Fantasy|Horror|Mystery|Romance</t>
  </si>
  <si>
    <t>The Mortal Instruments: City of Bones </t>
  </si>
  <si>
    <t>Adventure|Comedy|Family|Romance|Sci-Fi</t>
  </si>
  <si>
    <t>Meet Dave </t>
  </si>
  <si>
    <t>Walter Salles</t>
  </si>
  <si>
    <t>Drama|Horror|Thriller</t>
  </si>
  <si>
    <t>Dark Water </t>
  </si>
  <si>
    <t>Edtv </t>
  </si>
  <si>
    <t>Iain Softley</t>
  </si>
  <si>
    <t>Inkheart </t>
  </si>
  <si>
    <t>The Spirit </t>
  </si>
  <si>
    <t>David Koepp</t>
  </si>
  <si>
    <t>Action|Comedy|Mystery|Romance</t>
  </si>
  <si>
    <t>Mortdecai </t>
  </si>
  <si>
    <t>Uwe Boll</t>
  </si>
  <si>
    <t>In the Name of the King: A Dungeon Siege Tale </t>
  </si>
  <si>
    <t>Beyond Borders </t>
  </si>
  <si>
    <t>John Dahl</t>
  </si>
  <si>
    <t>The Great Raid </t>
  </si>
  <si>
    <t>Filipino</t>
  </si>
  <si>
    <t>Tim Miller</t>
  </si>
  <si>
    <t>Action|Adventure|Comedy|Romance|Sci-Fi</t>
  </si>
  <si>
    <t>Deadpool </t>
  </si>
  <si>
    <t>Stephen Herek</t>
  </si>
  <si>
    <t>Holy Man </t>
  </si>
  <si>
    <t>Action|Biography|Drama|History|Thriller|War</t>
  </si>
  <si>
    <t>American Sniper </t>
  </si>
  <si>
    <t>Adventure|Comedy|Family|Fantasy|Horror</t>
  </si>
  <si>
    <t>Goosebumps </t>
  </si>
  <si>
    <t>Just Like Heaven </t>
  </si>
  <si>
    <t>Comedy|Family|Romance|Sci-Fi</t>
  </si>
  <si>
    <t>The Flintstones in Viva Rock Vegas </t>
  </si>
  <si>
    <t>Peter MacDonald</t>
  </si>
  <si>
    <t>Action|Adventure|Thriller|War</t>
  </si>
  <si>
    <t>Rambo III </t>
  </si>
  <si>
    <t>Comedy|Drama|Romance|Sport</t>
  </si>
  <si>
    <t>Leatherheads </t>
  </si>
  <si>
    <t>Did You Hear About the Morgans? </t>
  </si>
  <si>
    <t>The Internship </t>
  </si>
  <si>
    <t>Resident Evil: Afterlife </t>
  </si>
  <si>
    <t>Anthony Hemingway</t>
  </si>
  <si>
    <t>Red Tails </t>
  </si>
  <si>
    <t>The Devil's Advocate </t>
  </si>
  <si>
    <t>Sean Anders</t>
  </si>
  <si>
    <t>That's My Boy </t>
  </si>
  <si>
    <t>DragonHeart </t>
  </si>
  <si>
    <t>Action|Comedy|Crime|Drama</t>
  </si>
  <si>
    <t>After the Sunset </t>
  </si>
  <si>
    <t>Mark Neveldine</t>
  </si>
  <si>
    <t>Ghost Rider: Spirit of Vengeance </t>
  </si>
  <si>
    <t>John Madden</t>
  </si>
  <si>
    <t>Drama|Music|Romance|War</t>
  </si>
  <si>
    <t>Captain Corelli's Mandolin </t>
  </si>
  <si>
    <t>Action|Comedy|Drama|Family|Thriller</t>
  </si>
  <si>
    <t>The Pacifier </t>
  </si>
  <si>
    <t>Kevin Bray</t>
  </si>
  <si>
    <t>Action|Crime</t>
  </si>
  <si>
    <t>Walking Tall </t>
  </si>
  <si>
    <t>Forrest Gump </t>
  </si>
  <si>
    <t>Alvin and the Chipmunks </t>
  </si>
  <si>
    <t>Meet the Parents </t>
  </si>
  <si>
    <t>Mike Gabriel</t>
  </si>
  <si>
    <t>Adventure|Animation|Drama|Family|History|Musical|Romance</t>
  </si>
  <si>
    <t>Pocahontas </t>
  </si>
  <si>
    <t>Action|Adventure|Drama|Romance|Sci-Fi</t>
  </si>
  <si>
    <t>Superman </t>
  </si>
  <si>
    <t>The Nutty Professor </t>
  </si>
  <si>
    <t>Hitch </t>
  </si>
  <si>
    <t>Sam Weisman</t>
  </si>
  <si>
    <t>Action|Adventure|Comedy|Family|Romance</t>
  </si>
  <si>
    <t>George of the Jungle </t>
  </si>
  <si>
    <t>Jesse Dylan</t>
  </si>
  <si>
    <t>American Wedding </t>
  </si>
  <si>
    <t>Captain Phillips </t>
  </si>
  <si>
    <t>Date Night </t>
  </si>
  <si>
    <t>Casper </t>
  </si>
  <si>
    <t>The Equalizer </t>
  </si>
  <si>
    <t>Wayne Wang</t>
  </si>
  <si>
    <t>Maid in Manhattan </t>
  </si>
  <si>
    <t>Crimson Tide </t>
  </si>
  <si>
    <t>Gabriele Muccino</t>
  </si>
  <si>
    <t>The Pursuit of Happyness </t>
  </si>
  <si>
    <t>Flightplan </t>
  </si>
  <si>
    <t>Disclosure </t>
  </si>
  <si>
    <t>City of Angels </t>
  </si>
  <si>
    <t>Kill Bill: Vol. 1 </t>
  </si>
  <si>
    <t>Bowfinger </t>
  </si>
  <si>
    <t>Kill Bill: Vol. 2 </t>
  </si>
  <si>
    <t>Tango &amp; Cash </t>
  </si>
  <si>
    <t>Death Becomes Her </t>
  </si>
  <si>
    <t>Tom Dey</t>
  </si>
  <si>
    <t>Action|Adventure|Comedy|Western</t>
  </si>
  <si>
    <t>Shanghai Noon </t>
  </si>
  <si>
    <t>Executive Decision </t>
  </si>
  <si>
    <t>Mr. Popper's Penguins </t>
  </si>
  <si>
    <t>The Forbidden Kingdom </t>
  </si>
  <si>
    <t>Jimmy Hayward</t>
  </si>
  <si>
    <t>Free Birds </t>
  </si>
  <si>
    <t>Alien 3 </t>
  </si>
  <si>
    <t>Alan Parker</t>
  </si>
  <si>
    <t>Biography|Drama|History|Musical</t>
  </si>
  <si>
    <t>Evita </t>
  </si>
  <si>
    <t>John Frankenheimer</t>
  </si>
  <si>
    <t>Ronin </t>
  </si>
  <si>
    <t>Adventure|Drama|Horror|Thriller</t>
  </si>
  <si>
    <t>The Ghost and the Darkness </t>
  </si>
  <si>
    <t>Paul King</t>
  </si>
  <si>
    <t>Paddington </t>
  </si>
  <si>
    <t>Akiva Schaffer</t>
  </si>
  <si>
    <t>The Watch </t>
  </si>
  <si>
    <t>William Friedkin</t>
  </si>
  <si>
    <t>The Hunted </t>
  </si>
  <si>
    <t>Instinct </t>
  </si>
  <si>
    <t>Stuck on You </t>
  </si>
  <si>
    <t>Kent Alterman</t>
  </si>
  <si>
    <t>Semi-Pro </t>
  </si>
  <si>
    <t>Peter Lord</t>
  </si>
  <si>
    <t>The Pirates! Band of Misfits </t>
  </si>
  <si>
    <t>Changeling </t>
  </si>
  <si>
    <t>Chain Reaction </t>
  </si>
  <si>
    <t>Action|Drama|Sport|Thriller</t>
  </si>
  <si>
    <t>The Fan </t>
  </si>
  <si>
    <t>Drama|Musical|Romance|Thriller</t>
  </si>
  <si>
    <t>The Phantom of the Opera </t>
  </si>
  <si>
    <t>Shekhar Kapur</t>
  </si>
  <si>
    <t>Elizabeth: The Golden Age </t>
  </si>
  <si>
    <t>Karyn Kusama</t>
  </si>
  <si>
    <t>Æon Flux </t>
  </si>
  <si>
    <t>Ron Maxwell</t>
  </si>
  <si>
    <t>Gods and Generals </t>
  </si>
  <si>
    <t>Robert Butler</t>
  </si>
  <si>
    <t>Turbulence </t>
  </si>
  <si>
    <t>Karey Kirkpatrick</t>
  </si>
  <si>
    <t>Comedy|Drama|Family|Fantasy</t>
  </si>
  <si>
    <t>Imagine That </t>
  </si>
  <si>
    <t>Adventure|Comedy|Crime|Family|Musical</t>
  </si>
  <si>
    <t>Muppets Most Wanted </t>
  </si>
  <si>
    <t>Thunderbirds </t>
  </si>
  <si>
    <t>Steve Antin</t>
  </si>
  <si>
    <t>Drama|Music|Musical|Romance</t>
  </si>
  <si>
    <t>Burlesque </t>
  </si>
  <si>
    <t>Drama|Mystery|Romance|War</t>
  </si>
  <si>
    <t>A Very Long Engagement </t>
  </si>
  <si>
    <t>Blade II </t>
  </si>
  <si>
    <t>Seven Pounds </t>
  </si>
  <si>
    <t>Bullet to the Head </t>
  </si>
  <si>
    <t>Francis Ford Coppola</t>
  </si>
  <si>
    <t>The Godfather: Part III </t>
  </si>
  <si>
    <t>Elizabethtown </t>
  </si>
  <si>
    <t>You, Me and Dupree </t>
  </si>
  <si>
    <t>Richard Lester</t>
  </si>
  <si>
    <t>Action|Adventure|Romance|Sci-Fi</t>
  </si>
  <si>
    <t>Superman II </t>
  </si>
  <si>
    <t>Gigli </t>
  </si>
  <si>
    <t>All the King's Men </t>
  </si>
  <si>
    <t>Shaft </t>
  </si>
  <si>
    <t>Adventure|Animation|Drama|Family|Fantasy|Musical|Mystery|Romance</t>
  </si>
  <si>
    <t>Anastasia </t>
  </si>
  <si>
    <t>Moulin Rouge! </t>
  </si>
  <si>
    <t>Domestic Disturbance </t>
  </si>
  <si>
    <t>Scott Cooper</t>
  </si>
  <si>
    <t>Black Mass </t>
  </si>
  <si>
    <t>Flags of Our Fathers </t>
  </si>
  <si>
    <t>Law Abiding Citizen </t>
  </si>
  <si>
    <t>Robert Rodriguez</t>
  </si>
  <si>
    <t>Action|Horror|Thriller</t>
  </si>
  <si>
    <t>Grindhouse </t>
  </si>
  <si>
    <t>Drama|History|Horror</t>
  </si>
  <si>
    <t>Beloved </t>
  </si>
  <si>
    <t>Curtis Hanson</t>
  </si>
  <si>
    <t>Drama|Romance|Sport</t>
  </si>
  <si>
    <t>Lucky You </t>
  </si>
  <si>
    <t>Catch Me If You Can </t>
  </si>
  <si>
    <t>Zero Dark Thirty </t>
  </si>
  <si>
    <t>The Break-Up </t>
  </si>
  <si>
    <t>Phyllida Lloyd</t>
  </si>
  <si>
    <t>Comedy|Family|Musical|Romance</t>
  </si>
  <si>
    <t>Mamma Mia! </t>
  </si>
  <si>
    <t>Valentine's Day </t>
  </si>
  <si>
    <t>Jay Chandrasekhar</t>
  </si>
  <si>
    <t>The Dukes of Hazzard </t>
  </si>
  <si>
    <t>Terrence Malick</t>
  </si>
  <si>
    <t>The Thin Red Line </t>
  </si>
  <si>
    <t>David Dobkin</t>
  </si>
  <si>
    <t>The Change-Up </t>
  </si>
  <si>
    <t>Milos Forman</t>
  </si>
  <si>
    <t>Man on the Moon </t>
  </si>
  <si>
    <t>Casino </t>
  </si>
  <si>
    <t>Pierre Morel</t>
  </si>
  <si>
    <t>From Paris with Love </t>
  </si>
  <si>
    <t>Paul Hunter</t>
  </si>
  <si>
    <t>Bulletproof Monk </t>
  </si>
  <si>
    <t>Me, Myself &amp; Irene </t>
  </si>
  <si>
    <t>Steve Oedekerk</t>
  </si>
  <si>
    <t>Barnyard </t>
  </si>
  <si>
    <t>The Twilight Saga: New Moon </t>
  </si>
  <si>
    <t>Shrek </t>
  </si>
  <si>
    <t>George Nolfi</t>
  </si>
  <si>
    <t>Romance|Sci-Fi|Thriller</t>
  </si>
  <si>
    <t>The Adjustment Bureau </t>
  </si>
  <si>
    <t>Robin Hood: Prince of Thieves </t>
  </si>
  <si>
    <t>Jerry Maguire </t>
  </si>
  <si>
    <t>Ted </t>
  </si>
  <si>
    <t>As Good as It Gets </t>
  </si>
  <si>
    <t>Biography|Comedy|Drama|Romance</t>
  </si>
  <si>
    <t>Patch Adams </t>
  </si>
  <si>
    <t>Anchorman 2: The Legend Continues </t>
  </si>
  <si>
    <t>Mr. Deeds </t>
  </si>
  <si>
    <t>Mystery|Sci-Fi|Thriller</t>
  </si>
  <si>
    <t>Super 8 </t>
  </si>
  <si>
    <t>Erin Brockovich </t>
  </si>
  <si>
    <t>How to Lose a Guy in 10 Days </t>
  </si>
  <si>
    <t>22 Jump Street </t>
  </si>
  <si>
    <t>Neil Jordan</t>
  </si>
  <si>
    <t>Drama|Fantasy|Horror</t>
  </si>
  <si>
    <t>Interview with the Vampire: The Vampire Chronicles </t>
  </si>
  <si>
    <t>Yes Man </t>
  </si>
  <si>
    <t>Rawson Marshall Thurber</t>
  </si>
  <si>
    <t>Central Intelligence </t>
  </si>
  <si>
    <t>Stepmom </t>
  </si>
  <si>
    <t>Daddy's Home </t>
  </si>
  <si>
    <t>Adventure|Comedy|Drama|Fantasy|Musical</t>
  </si>
  <si>
    <t>Into the Woods </t>
  </si>
  <si>
    <t>Spike Lee</t>
  </si>
  <si>
    <t>Inside Man </t>
  </si>
  <si>
    <t>Brian Helgeland</t>
  </si>
  <si>
    <t>Payback </t>
  </si>
  <si>
    <t>Frank Marshall</t>
  </si>
  <si>
    <t>Congo </t>
  </si>
  <si>
    <t>Knowing </t>
  </si>
  <si>
    <t>Failure to Launch </t>
  </si>
  <si>
    <t>Crazy, Stupid, Love. </t>
  </si>
  <si>
    <t>Peter Hewitt</t>
  </si>
  <si>
    <t>Garfield </t>
  </si>
  <si>
    <t>Joe Roth</t>
  </si>
  <si>
    <t>Christmas with the Kranks </t>
  </si>
  <si>
    <t>Bennett Miller</t>
  </si>
  <si>
    <t>Moneyball </t>
  </si>
  <si>
    <t>Outbreak </t>
  </si>
  <si>
    <t>Jaume Collet-Serra</t>
  </si>
  <si>
    <t>Non-Stop </t>
  </si>
  <si>
    <t>Andy Fickman</t>
  </si>
  <si>
    <t>Action|Adventure|Family|Fantasy|Sci-Fi|Thriller</t>
  </si>
  <si>
    <t>Race to Witch Mountain </t>
  </si>
  <si>
    <t>James McTeigue</t>
  </si>
  <si>
    <t>V for Vendetta </t>
  </si>
  <si>
    <t>Shanghai Knights </t>
  </si>
  <si>
    <t>Matthew O'Callaghan</t>
  </si>
  <si>
    <t>Curious George </t>
  </si>
  <si>
    <t>Angela Robinson</t>
  </si>
  <si>
    <t>Adventure|Comedy|Family|Fantasy|Romance|Sport</t>
  </si>
  <si>
    <t>Herbie Fully Loaded </t>
  </si>
  <si>
    <t>Gary Fleder</t>
  </si>
  <si>
    <t>Don't Say a Word </t>
  </si>
  <si>
    <t>Tommy Wirkola</t>
  </si>
  <si>
    <t>Hansel &amp; Gretel: Witch Hunters </t>
  </si>
  <si>
    <t>Adrian Lyne</t>
  </si>
  <si>
    <t>Unfaithful </t>
  </si>
  <si>
    <t>I Am Number Four </t>
  </si>
  <si>
    <t>Stephen Gaghan</t>
  </si>
  <si>
    <t>Syriana </t>
  </si>
  <si>
    <t>13 Hours </t>
  </si>
  <si>
    <t>Jorge R. Gutiérrez</t>
  </si>
  <si>
    <t>The Book of Life </t>
  </si>
  <si>
    <t>Richard Loncraine</t>
  </si>
  <si>
    <t>Firewall </t>
  </si>
  <si>
    <t>Absolute Power </t>
  </si>
  <si>
    <t>G.I. Jane </t>
  </si>
  <si>
    <t>The Game </t>
  </si>
  <si>
    <t>Christophe Gans</t>
  </si>
  <si>
    <t>Adventure|Horror|Mystery</t>
  </si>
  <si>
    <t>Silent Hill </t>
  </si>
  <si>
    <t>Howard Deutch</t>
  </si>
  <si>
    <t>The Replacements </t>
  </si>
  <si>
    <t>Jon Hurwitz</t>
  </si>
  <si>
    <t>American Reunion </t>
  </si>
  <si>
    <t>The Negotiator </t>
  </si>
  <si>
    <t>Steven Quale</t>
  </si>
  <si>
    <t>Into the Storm </t>
  </si>
  <si>
    <t>John Landis</t>
  </si>
  <si>
    <t>Beverly Hills Cop III </t>
  </si>
  <si>
    <t>Gremlins 2: The New Batch </t>
  </si>
  <si>
    <t>The Judge </t>
  </si>
  <si>
    <t>The Peacemaker </t>
  </si>
  <si>
    <t>Alexander Witt</t>
  </si>
  <si>
    <t>Resident Evil: Apocalypse </t>
  </si>
  <si>
    <t>Beeban Kidron</t>
  </si>
  <si>
    <t>Bridget Jones: The Edge of Reason </t>
  </si>
  <si>
    <t>Carl Franklin</t>
  </si>
  <si>
    <t>Crime|Drama|Romance|Thriller</t>
  </si>
  <si>
    <t>Out of Time </t>
  </si>
  <si>
    <t>Steven Seagal</t>
  </si>
  <si>
    <t>On Deadly Ground </t>
  </si>
  <si>
    <t>The Adventures of Sharkboy and Lavagirl 3-D </t>
  </si>
  <si>
    <t>Danny Boyle</t>
  </si>
  <si>
    <t>The Beach </t>
  </si>
  <si>
    <t>Raising Helen </t>
  </si>
  <si>
    <t>Ninja Assassin </t>
  </si>
  <si>
    <t>For Love of the Game </t>
  </si>
  <si>
    <t>Andrew Bergman</t>
  </si>
  <si>
    <t>Comedy|Crime|Drama|Thriller</t>
  </si>
  <si>
    <t>Striptease </t>
  </si>
  <si>
    <t>Marmaduke </t>
  </si>
  <si>
    <t>Drama|Fantasy</t>
  </si>
  <si>
    <t>Hereafter </t>
  </si>
  <si>
    <t>Barbet Schroeder</t>
  </si>
  <si>
    <t>Murder by Numbers </t>
  </si>
  <si>
    <t>Assassins </t>
  </si>
  <si>
    <t>Peter Webber</t>
  </si>
  <si>
    <t>Hannibal Rising </t>
  </si>
  <si>
    <t>The Story of Us </t>
  </si>
  <si>
    <t>Andrew Niccol</t>
  </si>
  <si>
    <t>The Host </t>
  </si>
  <si>
    <t>Basic </t>
  </si>
  <si>
    <t>Blood Work </t>
  </si>
  <si>
    <t>The International </t>
  </si>
  <si>
    <t>John Carpenter</t>
  </si>
  <si>
    <t>Escape from L.A. </t>
  </si>
  <si>
    <t>The Iron Giant </t>
  </si>
  <si>
    <t>Wes Anderson</t>
  </si>
  <si>
    <t>Adventure|Comedy|Drama</t>
  </si>
  <si>
    <t>The Life Aquatic with Steve Zissou </t>
  </si>
  <si>
    <t>Action|Biography|Drama|History|War</t>
  </si>
  <si>
    <t>Free State of Jones </t>
  </si>
  <si>
    <t>The Life of David Gale </t>
  </si>
  <si>
    <t>Man of the House </t>
  </si>
  <si>
    <t>Run All Night </t>
  </si>
  <si>
    <t>David Cronenberg</t>
  </si>
  <si>
    <t>Eastern Promises </t>
  </si>
  <si>
    <t>John Stockwell</t>
  </si>
  <si>
    <t>Into the Blue </t>
  </si>
  <si>
    <t>The Messenger: The Story of Joan of Arc </t>
  </si>
  <si>
    <t>David Gordon Green</t>
  </si>
  <si>
    <t>Adventure|Comedy|Fantasy</t>
  </si>
  <si>
    <t>Your Highness </t>
  </si>
  <si>
    <t>Jim Sheridan</t>
  </si>
  <si>
    <t>Dream House </t>
  </si>
  <si>
    <t>Costa-Gavras</t>
  </si>
  <si>
    <t>Mad City </t>
  </si>
  <si>
    <t>Patrick Read Johnson</t>
  </si>
  <si>
    <t>Adventure|Comedy|Crime|Drama|Family</t>
  </si>
  <si>
    <t>Baby's Day Out </t>
  </si>
  <si>
    <t>Roland Joffé</t>
  </si>
  <si>
    <t>The Scarlet Letter </t>
  </si>
  <si>
    <t>Fair Game </t>
  </si>
  <si>
    <t>Action|Biography|Crime|Drama|Thriller</t>
  </si>
  <si>
    <t>Domino </t>
  </si>
  <si>
    <t>Jade </t>
  </si>
  <si>
    <t>Gamer </t>
  </si>
  <si>
    <t>Richard LaGravenese</t>
  </si>
  <si>
    <t>Beautiful Creatures </t>
  </si>
  <si>
    <t>Danny DeVito</t>
  </si>
  <si>
    <t>Death to Smoochy </t>
  </si>
  <si>
    <t>Zoolander 2 </t>
  </si>
  <si>
    <t>George Armitage</t>
  </si>
  <si>
    <t>The Big Bounce </t>
  </si>
  <si>
    <t>Comedy|Sci-Fi</t>
  </si>
  <si>
    <t>What Planet Are You From? </t>
  </si>
  <si>
    <t>Patrick Lussier</t>
  </si>
  <si>
    <t>Drive Angry </t>
  </si>
  <si>
    <t>Street Fighter: The Legend of Chun-Li </t>
  </si>
  <si>
    <t>James Wong</t>
  </si>
  <si>
    <t>The One </t>
  </si>
  <si>
    <t>Action|Adventure|Comedy|Crime|Music|Mystery</t>
  </si>
  <si>
    <t>The Adventures of Ford Fairlane </t>
  </si>
  <si>
    <t>Traffic </t>
  </si>
  <si>
    <t>Indiana Jones and the Last Crusade </t>
  </si>
  <si>
    <t>Action|Crime|Drama|Sci-Fi|Thriller</t>
  </si>
  <si>
    <t>Chappie </t>
  </si>
  <si>
    <t>The Bone Collector </t>
  </si>
  <si>
    <t>Panic Room </t>
  </si>
  <si>
    <t>Action|Adventure|Comedy|Drama|War</t>
  </si>
  <si>
    <t>Three Kings </t>
  </si>
  <si>
    <t>Child 44 </t>
  </si>
  <si>
    <t>Czech Republic</t>
  </si>
  <si>
    <t>Rat Race </t>
  </si>
  <si>
    <t>Drama|Mystery|Sci-Fi</t>
  </si>
  <si>
    <t>K-PAX </t>
  </si>
  <si>
    <t>Kate &amp; Leopold </t>
  </si>
  <si>
    <t>Bedazzled </t>
  </si>
  <si>
    <t>Crime|Drama|Music</t>
  </si>
  <si>
    <t>The Cotton Club </t>
  </si>
  <si>
    <t>Adventure|Crime|Drama|Western</t>
  </si>
  <si>
    <t>3:10 to Yuma </t>
  </si>
  <si>
    <t>Olivier Megaton</t>
  </si>
  <si>
    <t>Taken 3 </t>
  </si>
  <si>
    <t>Out of Sight </t>
  </si>
  <si>
    <t>Comedy|Drama|Thriller</t>
  </si>
  <si>
    <t>The Cable Guy </t>
  </si>
  <si>
    <t>Warren Beatty</t>
  </si>
  <si>
    <t>Action|Comedy|Crime|Music|Romance|Thriller</t>
  </si>
  <si>
    <t>Dick Tracy </t>
  </si>
  <si>
    <t>Crime|Romance|Thriller</t>
  </si>
  <si>
    <t>The Thomas Crown Affair </t>
  </si>
  <si>
    <t>Penny Marshall</t>
  </si>
  <si>
    <t>Riding in Cars with Boys </t>
  </si>
  <si>
    <t>Paul Bolger</t>
  </si>
  <si>
    <t>Happily N'Ever After </t>
  </si>
  <si>
    <t>Stephen Frears</t>
  </si>
  <si>
    <t>Mary Reilly </t>
  </si>
  <si>
    <t>P.J. Hogan</t>
  </si>
  <si>
    <t>My Best Friend's Wedding </t>
  </si>
  <si>
    <t>America's Sweethearts </t>
  </si>
  <si>
    <t>Insomnia </t>
  </si>
  <si>
    <t>Action|Adventure|Drama|Sci-Fi|Thriller</t>
  </si>
  <si>
    <t>Star Trek: First Contact </t>
  </si>
  <si>
    <t>Action|Drama|Fantasy|Thriller|Western</t>
  </si>
  <si>
    <t>Jonah Hex </t>
  </si>
  <si>
    <t>Action|Drama|Mystery|Thriller|War</t>
  </si>
  <si>
    <t>Courage Under Fire </t>
  </si>
  <si>
    <t>Liar Liar </t>
  </si>
  <si>
    <t>Brad Furman</t>
  </si>
  <si>
    <t>Biography|Crime|Drama|Thriller</t>
  </si>
  <si>
    <t>The Infiltrator </t>
  </si>
  <si>
    <t>The Flintstones </t>
  </si>
  <si>
    <t>Taken 2 </t>
  </si>
  <si>
    <t>David Zucker</t>
  </si>
  <si>
    <t>Scary Movie 3 </t>
  </si>
  <si>
    <t>Action|Comedy|Crime|Romance</t>
  </si>
  <si>
    <t>Miss Congeniality </t>
  </si>
  <si>
    <t>Action|Adventure|Family|Fantasy|Sci-Fi</t>
  </si>
  <si>
    <t>Journey to the Center of the Earth </t>
  </si>
  <si>
    <t>The Princess Diaries 2: Royal Engagement </t>
  </si>
  <si>
    <t>The Pelican Brief </t>
  </si>
  <si>
    <t>The Client </t>
  </si>
  <si>
    <t>The Bucket List </t>
  </si>
  <si>
    <t>Patriot Games </t>
  </si>
  <si>
    <t>Monster-in-Law </t>
  </si>
  <si>
    <t>Denis Villeneuve</t>
  </si>
  <si>
    <t>Prisoners </t>
  </si>
  <si>
    <t>Training Day </t>
  </si>
  <si>
    <t>Galaxy Quest </t>
  </si>
  <si>
    <t>Scary Movie 2 </t>
  </si>
  <si>
    <t>Adventure|Comedy|Family|Musical</t>
  </si>
  <si>
    <t>The Muppets </t>
  </si>
  <si>
    <t>Action|Horror</t>
  </si>
  <si>
    <t>Blade </t>
  </si>
  <si>
    <t>Thomas Carter</t>
  </si>
  <si>
    <t>Coach Carter </t>
  </si>
  <si>
    <t>Roger Michell</t>
  </si>
  <si>
    <t>Changing Lanes </t>
  </si>
  <si>
    <t>Luis Llosa</t>
  </si>
  <si>
    <t>Action|Adventure|Horror|Thriller</t>
  </si>
  <si>
    <t>Anaconda </t>
  </si>
  <si>
    <t>Comedy|Drama|Music|Romance</t>
  </si>
  <si>
    <t>Coyote Ugly </t>
  </si>
  <si>
    <t>Richard Curtis</t>
  </si>
  <si>
    <t>Love Actually </t>
  </si>
  <si>
    <t>A Bug's Life </t>
  </si>
  <si>
    <t>From Hell </t>
  </si>
  <si>
    <t>Action|Crime|Drama|Romance|Thriller</t>
  </si>
  <si>
    <t>The Specialist </t>
  </si>
  <si>
    <t>Peru</t>
  </si>
  <si>
    <t>Tin Cup </t>
  </si>
  <si>
    <t>Comedy|Family|Romance|Sport</t>
  </si>
  <si>
    <t>Kicking &amp; Screaming </t>
  </si>
  <si>
    <t>Garth Jennings</t>
  </si>
  <si>
    <t>The Hitchhiker's Guide to the Galaxy </t>
  </si>
  <si>
    <t>Joel Zwick</t>
  </si>
  <si>
    <t>Fat Albert </t>
  </si>
  <si>
    <t>Russell Mulcahy</t>
  </si>
  <si>
    <t>Resident Evil: Extinction </t>
  </si>
  <si>
    <t>Blended </t>
  </si>
  <si>
    <t>Last Holiday </t>
  </si>
  <si>
    <t>The River Wild </t>
  </si>
  <si>
    <t>Drama|Family|Fantasy</t>
  </si>
  <si>
    <t>The Indian in the Cupboard </t>
  </si>
  <si>
    <t>Savages </t>
  </si>
  <si>
    <t>David R. Ellis</t>
  </si>
  <si>
    <t>Cellular </t>
  </si>
  <si>
    <t>Peter Howitt</t>
  </si>
  <si>
    <t>Johnny English </t>
  </si>
  <si>
    <t>John A. Davis</t>
  </si>
  <si>
    <t>The Ant Bully </t>
  </si>
  <si>
    <t>David Lynch</t>
  </si>
  <si>
    <t>Dune </t>
  </si>
  <si>
    <t>Julie Taymor</t>
  </si>
  <si>
    <t>Drama|Fantasy|Musical|Romance</t>
  </si>
  <si>
    <t>Across the Universe </t>
  </si>
  <si>
    <t>Revolutionary Road </t>
  </si>
  <si>
    <t>16 Blocks </t>
  </si>
  <si>
    <t>Mathieu Kassovitz</t>
  </si>
  <si>
    <t>Babylon A.D. </t>
  </si>
  <si>
    <t>John Gray</t>
  </si>
  <si>
    <t>The Glimmer Man </t>
  </si>
  <si>
    <t>Multiplicity </t>
  </si>
  <si>
    <t>John Schultz</t>
  </si>
  <si>
    <t>Adventure|Comedy|Family|Fantasy|Sci-Fi</t>
  </si>
  <si>
    <t>Aliens in the Attic </t>
  </si>
  <si>
    <t>Sean Penn</t>
  </si>
  <si>
    <t>The Pledge </t>
  </si>
  <si>
    <t>Susan Stroman</t>
  </si>
  <si>
    <t>Comedy|Musical</t>
  </si>
  <si>
    <t>The Producers </t>
  </si>
  <si>
    <t>Simon Wincer</t>
  </si>
  <si>
    <t>The Phantom </t>
  </si>
  <si>
    <t>Billy Bob Thornton</t>
  </si>
  <si>
    <t>All the Pretty Horses </t>
  </si>
  <si>
    <t>Biography|Drama|History</t>
  </si>
  <si>
    <t>Nixon </t>
  </si>
  <si>
    <t>The Ghost Writer </t>
  </si>
  <si>
    <t>Deep Rising </t>
  </si>
  <si>
    <t>Action|Crime|Drama|Thriller|War</t>
  </si>
  <si>
    <t>Miracle at St. Anna </t>
  </si>
  <si>
    <t>Curse of the Golden Flower </t>
  </si>
  <si>
    <t>Danny Pang</t>
  </si>
  <si>
    <t>Bangkok Dangerous </t>
  </si>
  <si>
    <t>Comedy|Crime|Thriller</t>
  </si>
  <si>
    <t>Big Trouble </t>
  </si>
  <si>
    <t>Love in the Time of Cholera </t>
  </si>
  <si>
    <t>George P. Cosmatos</t>
  </si>
  <si>
    <t>Shadow Conspiracy </t>
  </si>
  <si>
    <t>Oliver Parker</t>
  </si>
  <si>
    <t>Johnny English Reborn </t>
  </si>
  <si>
    <t>Ben Affleck</t>
  </si>
  <si>
    <t>Biography|Drama|History|Thriller</t>
  </si>
  <si>
    <t>Argo </t>
  </si>
  <si>
    <t>Action|Adventure|Crime|Drama|Mystery|Thriller</t>
  </si>
  <si>
    <t>The Fugitive </t>
  </si>
  <si>
    <t>The Bounty Hunter </t>
  </si>
  <si>
    <t>Sleepers </t>
  </si>
  <si>
    <t>Rambo: First Blood Part II </t>
  </si>
  <si>
    <t>Brian Gibson</t>
  </si>
  <si>
    <t>The Juror </t>
  </si>
  <si>
    <t>Norman Ferguson</t>
  </si>
  <si>
    <t>Animation|Family|Fantasy|Musical</t>
  </si>
  <si>
    <t>Pinocchio </t>
  </si>
  <si>
    <t>Michael Cimino</t>
  </si>
  <si>
    <t>Adventure|Drama|Western</t>
  </si>
  <si>
    <t>Heaven's Gate </t>
  </si>
  <si>
    <t>Underworld: Evolution </t>
  </si>
  <si>
    <t>Paul McGuigan</t>
  </si>
  <si>
    <t>Victor Frankenstein </t>
  </si>
  <si>
    <t>Gus Van Sant</t>
  </si>
  <si>
    <t>Finding Forrester </t>
  </si>
  <si>
    <t>28 Days </t>
  </si>
  <si>
    <t>Unleashed </t>
  </si>
  <si>
    <t>Roger Kumble</t>
  </si>
  <si>
    <t>The Sweetest Thing </t>
  </si>
  <si>
    <t>The Firm </t>
  </si>
  <si>
    <t>Burr Steers</t>
  </si>
  <si>
    <t>Charlie St. Cloud </t>
  </si>
  <si>
    <t>The Mechanic </t>
  </si>
  <si>
    <t>21 Jump Street </t>
  </si>
  <si>
    <t>Notting Hill </t>
  </si>
  <si>
    <t>Chicken Run </t>
  </si>
  <si>
    <t>John Hamburg</t>
  </si>
  <si>
    <t>Along Came Polly </t>
  </si>
  <si>
    <t>Reginald Hudlin</t>
  </si>
  <si>
    <t>Boomerang </t>
  </si>
  <si>
    <t>The Heat </t>
  </si>
  <si>
    <t>Joseph L. Mankiewicz</t>
  </si>
  <si>
    <t>Biography|Drama|History|Romance</t>
  </si>
  <si>
    <t>Cleopatra </t>
  </si>
  <si>
    <t>Here Comes the Boom </t>
  </si>
  <si>
    <t>High Crimes </t>
  </si>
  <si>
    <t>Barbra Streisand</t>
  </si>
  <si>
    <t>The Mirror Has Two Faces </t>
  </si>
  <si>
    <t>Mark Pellington</t>
  </si>
  <si>
    <t>Drama|Horror|Mystery|Thriller</t>
  </si>
  <si>
    <t>The Mothman Prophecies </t>
  </si>
  <si>
    <t>Brüno </t>
  </si>
  <si>
    <t>John Glen</t>
  </si>
  <si>
    <t>Licence to Kill </t>
  </si>
  <si>
    <t>Catherine Hardwicke</t>
  </si>
  <si>
    <t>Red Riding Hood </t>
  </si>
  <si>
    <t>John Herzfeld</t>
  </si>
  <si>
    <t>15 Minutes </t>
  </si>
  <si>
    <t>Annabel Jankel</t>
  </si>
  <si>
    <t>Super Mario Bros. </t>
  </si>
  <si>
    <t>Lord of War </t>
  </si>
  <si>
    <t>Hero </t>
  </si>
  <si>
    <t>Julie Anne Robinson</t>
  </si>
  <si>
    <t>One for the Money </t>
  </si>
  <si>
    <t>Evan Goldberg</t>
  </si>
  <si>
    <t>The Interview </t>
  </si>
  <si>
    <t>Sngmoo Lee</t>
  </si>
  <si>
    <t>Action|Fantasy|Western</t>
  </si>
  <si>
    <t>The Warrior's Way </t>
  </si>
  <si>
    <t>Micmacs </t>
  </si>
  <si>
    <t>Drama|Music</t>
  </si>
  <si>
    <t>8 Mile </t>
  </si>
  <si>
    <t>A Knight's Tale </t>
  </si>
  <si>
    <t>Gordon Chan</t>
  </si>
  <si>
    <t>The Medallion </t>
  </si>
  <si>
    <t>The Sixth Sense </t>
  </si>
  <si>
    <t>Asger Leth</t>
  </si>
  <si>
    <t>Man on a Ledge </t>
  </si>
  <si>
    <t>The Big Year </t>
  </si>
  <si>
    <t>John G. Avildsen</t>
  </si>
  <si>
    <t>Action|Drama|Family|Sport</t>
  </si>
  <si>
    <t>The Karate Kid </t>
  </si>
  <si>
    <t>American Hustle </t>
  </si>
  <si>
    <t>Anne Fletcher</t>
  </si>
  <si>
    <t>The Proposal </t>
  </si>
  <si>
    <t>Bruce Beresford</t>
  </si>
  <si>
    <t>Double Jeopardy </t>
  </si>
  <si>
    <t>Back to the Future Part II </t>
  </si>
  <si>
    <t>Lucy </t>
  </si>
  <si>
    <t>Sam Taylor-Johnson</t>
  </si>
  <si>
    <t>Fifty Shades of Grey </t>
  </si>
  <si>
    <t>Spy Kids 3-D: Game Over </t>
  </si>
  <si>
    <t>A Time to Kill </t>
  </si>
  <si>
    <t>Cheaper by the Dozen </t>
  </si>
  <si>
    <t>Action|Biography|Drama|Thriller|War</t>
  </si>
  <si>
    <t>Lone Survivor </t>
  </si>
  <si>
    <t>Comedy|Drama|Sport</t>
  </si>
  <si>
    <t>A League of Their Own </t>
  </si>
  <si>
    <t>The Conjuring 2 </t>
  </si>
  <si>
    <t>The Social Network </t>
  </si>
  <si>
    <t>Ken Kwapis</t>
  </si>
  <si>
    <t>He's Just Not That Into You </t>
  </si>
  <si>
    <t>Scary Movie 4 </t>
  </si>
  <si>
    <t>Wes Craven</t>
  </si>
  <si>
    <t>Horror|Mystery</t>
  </si>
  <si>
    <t>Scream 3 </t>
  </si>
  <si>
    <t>Adventure|Comedy|Sci-Fi|Western</t>
  </si>
  <si>
    <t>Back to the Future Part III </t>
  </si>
  <si>
    <t>Etan Cohen</t>
  </si>
  <si>
    <t>Get Hard </t>
  </si>
  <si>
    <t>Fantasy|Horror|Romance</t>
  </si>
  <si>
    <t>Bram Stoker's Dracula </t>
  </si>
  <si>
    <t>Biography|Drama|Romance</t>
  </si>
  <si>
    <t>Julie &amp; Julia </t>
  </si>
  <si>
    <t>42 </t>
  </si>
  <si>
    <t>The Talented Mr. Ripley </t>
  </si>
  <si>
    <t>Dumb and Dumber To </t>
  </si>
  <si>
    <t>Eight Below </t>
  </si>
  <si>
    <t>The Intern </t>
  </si>
  <si>
    <t>Ride Along 2 </t>
  </si>
  <si>
    <t>Action|Adventure|Drama|Romance|War</t>
  </si>
  <si>
    <t>The Last of the Mohicans </t>
  </si>
  <si>
    <t>Ray </t>
  </si>
  <si>
    <t>Sin City </t>
  </si>
  <si>
    <t>Vantage Point </t>
  </si>
  <si>
    <t>I Love You, Man </t>
  </si>
  <si>
    <t>Shallow Hal </t>
  </si>
  <si>
    <t>JFK </t>
  </si>
  <si>
    <t>John Whitesell</t>
  </si>
  <si>
    <t>Big Momma's House 2 </t>
  </si>
  <si>
    <t>Adventure|Comedy|Crime|Romance</t>
  </si>
  <si>
    <t>The Mexican </t>
  </si>
  <si>
    <t>Comedy|Drama|Family|Fantasy|Romance</t>
  </si>
  <si>
    <t>17 Again </t>
  </si>
  <si>
    <t>Nick Cassavetes</t>
  </si>
  <si>
    <t>The Other Woman </t>
  </si>
  <si>
    <t>Horror</t>
  </si>
  <si>
    <t>The Final Destination </t>
  </si>
  <si>
    <t>Bridge of Spies </t>
  </si>
  <si>
    <t>Behind Enemy Lines </t>
  </si>
  <si>
    <t>Shall We Dance </t>
  </si>
  <si>
    <t>Small Soldiers </t>
  </si>
  <si>
    <t>Mark A.Z. Dippé</t>
  </si>
  <si>
    <t>Spawn </t>
  </si>
  <si>
    <t>Action|Adventure|Drama|Romance|Thriller</t>
  </si>
  <si>
    <t>The Count of Monte Cristo </t>
  </si>
  <si>
    <t>The Lincoln Lawyer </t>
  </si>
  <si>
    <t>Unknown </t>
  </si>
  <si>
    <t>The Prestige </t>
  </si>
  <si>
    <t>Horrible Bosses 2 </t>
  </si>
  <si>
    <t>Cal Brunker</t>
  </si>
  <si>
    <t>Escape from Planet Earth </t>
  </si>
  <si>
    <t>Apocalypto </t>
  </si>
  <si>
    <t>Maya</t>
  </si>
  <si>
    <t>The Living Daylights </t>
  </si>
  <si>
    <t>Nimród Antal</t>
  </si>
  <si>
    <t>Predators </t>
  </si>
  <si>
    <t>Legal Eagles </t>
  </si>
  <si>
    <t>Secret Window </t>
  </si>
  <si>
    <t>Alejandro Agresti</t>
  </si>
  <si>
    <t>The Lake House </t>
  </si>
  <si>
    <t>The Skeleton Key </t>
  </si>
  <si>
    <t>Peter Hedges</t>
  </si>
  <si>
    <t>The Odd Life of Timothy Green </t>
  </si>
  <si>
    <t>Paul Weiland</t>
  </si>
  <si>
    <t>Made of Honor </t>
  </si>
  <si>
    <t>Biography|Drama|Music|Musical</t>
  </si>
  <si>
    <t>Jersey Boys </t>
  </si>
  <si>
    <t>The Rainmaker </t>
  </si>
  <si>
    <t>Gothika </t>
  </si>
  <si>
    <t>Drama|History</t>
  </si>
  <si>
    <t>Amistad </t>
  </si>
  <si>
    <t>Medicine Man </t>
  </si>
  <si>
    <t>Colin Strause</t>
  </si>
  <si>
    <t>Aliens vs. Predator: Requiem </t>
  </si>
  <si>
    <t>Ri¢hie Ri¢h </t>
  </si>
  <si>
    <t>Joan Chen</t>
  </si>
  <si>
    <t>Autumn in New York </t>
  </si>
  <si>
    <t>Greg Mottola</t>
  </si>
  <si>
    <t>Paul </t>
  </si>
  <si>
    <t>The Guilt Trip </t>
  </si>
  <si>
    <t>Scream 4 </t>
  </si>
  <si>
    <t>8MM </t>
  </si>
  <si>
    <t>The Doors </t>
  </si>
  <si>
    <t>Jake Kasdan</t>
  </si>
  <si>
    <t>Sex Tape </t>
  </si>
  <si>
    <t>Diane Keaton</t>
  </si>
  <si>
    <t>Hanging Up </t>
  </si>
  <si>
    <t>Final Destination 5 </t>
  </si>
  <si>
    <t>Kelly Makin</t>
  </si>
  <si>
    <t>Mickey Blue Eyes </t>
  </si>
  <si>
    <t>Pay It Forward </t>
  </si>
  <si>
    <t>Fever Pitch </t>
  </si>
  <si>
    <t>Drillbit Taylor </t>
  </si>
  <si>
    <t>Comedy|Western</t>
  </si>
  <si>
    <t>A Million Ways to Die in the West </t>
  </si>
  <si>
    <t>Action|Adventure|Crime|Fantasy|Mystery|Thriller</t>
  </si>
  <si>
    <t>The Shadow </t>
  </si>
  <si>
    <t>Stephen Daldry</t>
  </si>
  <si>
    <t>Adventure|Drama|Mystery</t>
  </si>
  <si>
    <t>Extremely Loud &amp; Incredibly Close </t>
  </si>
  <si>
    <t>Morning Glory </t>
  </si>
  <si>
    <t>Biography|Crime|Drama|Music</t>
  </si>
  <si>
    <t>Get Rich or Die Tryin' </t>
  </si>
  <si>
    <t>Christian Duguay</t>
  </si>
  <si>
    <t>The Art of War </t>
  </si>
  <si>
    <t>Rent </t>
  </si>
  <si>
    <t>Crime|Drama|Horror|Thriller</t>
  </si>
  <si>
    <t>Bless the Child </t>
  </si>
  <si>
    <t>The Out-of-Towners </t>
  </si>
  <si>
    <t>The Island of Dr. Moreau </t>
  </si>
  <si>
    <t>The Musketeer </t>
  </si>
  <si>
    <t>Justin Chadwick</t>
  </si>
  <si>
    <t>The Other Boleyn Girl </t>
  </si>
  <si>
    <t>Pat O'Connor</t>
  </si>
  <si>
    <t>Sweet November </t>
  </si>
  <si>
    <t>Horror|Thriller</t>
  </si>
  <si>
    <t>The Reaping </t>
  </si>
  <si>
    <t>Mean Streets </t>
  </si>
  <si>
    <t>Renaissance Man </t>
  </si>
  <si>
    <t>Colombiana </t>
  </si>
  <si>
    <t>Frederik Du Chau</t>
  </si>
  <si>
    <t>Adventure|Animation|Comedy|Drama|Family|Fantasy|Musical</t>
  </si>
  <si>
    <t>The Magic Sword: Quest for Camelot </t>
  </si>
  <si>
    <t>City by the Sea </t>
  </si>
  <si>
    <t>Irwin Winkler</t>
  </si>
  <si>
    <t>At First Sight </t>
  </si>
  <si>
    <t>Joseph Kahn</t>
  </si>
  <si>
    <t>Torque </t>
  </si>
  <si>
    <t>City Hall </t>
  </si>
  <si>
    <t>Showgirls </t>
  </si>
  <si>
    <t>Sofia Coppola</t>
  </si>
  <si>
    <t>Marie Antoinette </t>
  </si>
  <si>
    <t>Kiss of Death </t>
  </si>
  <si>
    <t>Stephen Kay</t>
  </si>
  <si>
    <t>Get Carter </t>
  </si>
  <si>
    <t>J.A. Bayona</t>
  </si>
  <si>
    <t>The Impossible </t>
  </si>
  <si>
    <t>Elaine May</t>
  </si>
  <si>
    <t>Action|Adventure|Comedy|Music|Thriller</t>
  </si>
  <si>
    <t>Ishtar </t>
  </si>
  <si>
    <t>Adventure|Animation|Comedy|Crime|Family</t>
  </si>
  <si>
    <t>Fantastic Mr. Fox </t>
  </si>
  <si>
    <t>Life or Something Like It </t>
  </si>
  <si>
    <t>Comedy|Romance|Sci-Fi|Thriller</t>
  </si>
  <si>
    <t>Memoirs of an Invisible Man </t>
  </si>
  <si>
    <t>Amélie </t>
  </si>
  <si>
    <t>Dennie Gordon</t>
  </si>
  <si>
    <t>Comedy|Crime|Family|Romance</t>
  </si>
  <si>
    <t>New York Minute </t>
  </si>
  <si>
    <t>Charles Shyer</t>
  </si>
  <si>
    <t>Alfie </t>
  </si>
  <si>
    <t>Big Miracle </t>
  </si>
  <si>
    <t>Ulu Grosbard</t>
  </si>
  <si>
    <t>The Deep End of the Ocean </t>
  </si>
  <si>
    <t>William Malone</t>
  </si>
  <si>
    <t>Crime|Horror|Thriller</t>
  </si>
  <si>
    <t>Feardotcom </t>
  </si>
  <si>
    <t>Cirque du Freak: The Vampire's Assistant </t>
  </si>
  <si>
    <t>Duplex </t>
  </si>
  <si>
    <t>Jerry Jameson</t>
  </si>
  <si>
    <t>Raise the Titanic </t>
  </si>
  <si>
    <t>Mic Rodgers</t>
  </si>
  <si>
    <t>Universal Soldier: The Return </t>
  </si>
  <si>
    <t>Christian Alvart</t>
  </si>
  <si>
    <t>Action|Horror|Mystery|Sci-Fi|Thriller</t>
  </si>
  <si>
    <t>Pandorum </t>
  </si>
  <si>
    <t>Impostor </t>
  </si>
  <si>
    <t>Extreme Ops </t>
  </si>
  <si>
    <t>Jean-Marie Poiré</t>
  </si>
  <si>
    <t>Comedy|Fantasy|Sci-Fi</t>
  </si>
  <si>
    <t>Just Visiting </t>
  </si>
  <si>
    <t>Sunshine </t>
  </si>
  <si>
    <t>A Thousand Words </t>
  </si>
  <si>
    <t>Marc F. Adler</t>
  </si>
  <si>
    <t>Adventure|Animation|Comedy|Fantasy|Romance</t>
  </si>
  <si>
    <t>Delgo </t>
  </si>
  <si>
    <t>The Gunman </t>
  </si>
  <si>
    <t>Geoffrey Sax</t>
  </si>
  <si>
    <t>Action|Adventure|Family|Thriller</t>
  </si>
  <si>
    <t>Alex Rider: Operation Stormbreaker </t>
  </si>
  <si>
    <t>Disturbia </t>
  </si>
  <si>
    <t>Hackers </t>
  </si>
  <si>
    <t>Richard Shepard</t>
  </si>
  <si>
    <t>Adventure|Comedy|Drama|Romance|Thriller|War</t>
  </si>
  <si>
    <t>The Hunting Party </t>
  </si>
  <si>
    <t>The Hudsucker Proxy </t>
  </si>
  <si>
    <t>Peter Ho-Sun Chan</t>
  </si>
  <si>
    <t>The Warlords </t>
  </si>
  <si>
    <t>Nomad: The Warrior </t>
  </si>
  <si>
    <t>Kazakh</t>
  </si>
  <si>
    <t>Joon-ho Bong</t>
  </si>
  <si>
    <t>Snowpiercer </t>
  </si>
  <si>
    <t>South Korea</t>
  </si>
  <si>
    <t>Action|Drama|Fantasy</t>
  </si>
  <si>
    <t>The Crow </t>
  </si>
  <si>
    <t>S.S. Rajamouli</t>
  </si>
  <si>
    <t>Action|Adventure|Drama|Fantasy|War</t>
  </si>
  <si>
    <t>Baahubali: The Beginning </t>
  </si>
  <si>
    <t>Telugu</t>
  </si>
  <si>
    <t>India</t>
  </si>
  <si>
    <t>Drama|Fantasy|Romance|Sci-Fi</t>
  </si>
  <si>
    <t>The Time Traveler's Wife </t>
  </si>
  <si>
    <t>Animation|Comedy|Family|Horror|Sci-Fi</t>
  </si>
  <si>
    <t>Frankenweenie </t>
  </si>
  <si>
    <t>Serenity </t>
  </si>
  <si>
    <t>Charles S. Dutton</t>
  </si>
  <si>
    <t>Biography|Drama|Romance|Sport</t>
  </si>
  <si>
    <t>Against the Ropes </t>
  </si>
  <si>
    <t>Superman III </t>
  </si>
  <si>
    <t>Grudge Match </t>
  </si>
  <si>
    <t>Red Cliff </t>
  </si>
  <si>
    <t>Sweet Home Alabama </t>
  </si>
  <si>
    <t>The Ugly Truth </t>
  </si>
  <si>
    <t>Jonathan Lynn</t>
  </si>
  <si>
    <t>Sgt. Bilko </t>
  </si>
  <si>
    <t>Spy Kids 2: Island of Lost Dreams </t>
  </si>
  <si>
    <t>David Carson</t>
  </si>
  <si>
    <t>Star Trek: Generations </t>
  </si>
  <si>
    <t>Kar-Wai Wong</t>
  </si>
  <si>
    <t>Action|Biography|Drama</t>
  </si>
  <si>
    <t>The Grandmaster </t>
  </si>
  <si>
    <t>Water for Elephants </t>
  </si>
  <si>
    <t>Norman Jewison</t>
  </si>
  <si>
    <t>The Hurricane </t>
  </si>
  <si>
    <t>Enough </t>
  </si>
  <si>
    <t>David Mirkin</t>
  </si>
  <si>
    <t>Heartbreakers </t>
  </si>
  <si>
    <t>Paul Blart: Mall Cop 2 </t>
  </si>
  <si>
    <t>Luis Mandoki</t>
  </si>
  <si>
    <t>Angel Eyes </t>
  </si>
  <si>
    <t>Joe Somebody </t>
  </si>
  <si>
    <t>The Ninth Gate </t>
  </si>
  <si>
    <t>Extreme Measures </t>
  </si>
  <si>
    <t>Rock Star </t>
  </si>
  <si>
    <t>Lee Daniels</t>
  </si>
  <si>
    <t>Precious </t>
  </si>
  <si>
    <t>Adventure|Drama</t>
  </si>
  <si>
    <t>White Squall </t>
  </si>
  <si>
    <t>Horror|Mystery|Sci-Fi</t>
  </si>
  <si>
    <t>The Thing </t>
  </si>
  <si>
    <t>Riddick </t>
  </si>
  <si>
    <t>Jeb Stuart</t>
  </si>
  <si>
    <t>Switchback </t>
  </si>
  <si>
    <t>Steve Miner</t>
  </si>
  <si>
    <t>Action|Adventure|Drama|Thriller|Western</t>
  </si>
  <si>
    <t>Texas Rangers </t>
  </si>
  <si>
    <t>Adventure|Family|Fantasy|Sci-Fi</t>
  </si>
  <si>
    <t>City of Ember </t>
  </si>
  <si>
    <t>Paul Thomas Anderson</t>
  </si>
  <si>
    <t>The Master </t>
  </si>
  <si>
    <t>The Express </t>
  </si>
  <si>
    <t>J Blakeson</t>
  </si>
  <si>
    <t>The 5th Wave </t>
  </si>
  <si>
    <t>Ryan Coogler</t>
  </si>
  <si>
    <t>Creed </t>
  </si>
  <si>
    <t>The Town </t>
  </si>
  <si>
    <t>Kirk Jones</t>
  </si>
  <si>
    <t>What to Expect When You're Expecting </t>
  </si>
  <si>
    <t>Ethan Coen</t>
  </si>
  <si>
    <t>Burn After Reading </t>
  </si>
  <si>
    <t>Jennifer Flackett</t>
  </si>
  <si>
    <t>Nim's Island </t>
  </si>
  <si>
    <t>Action|Biography|Drama|Sport</t>
  </si>
  <si>
    <t>Rush </t>
  </si>
  <si>
    <t>Magnolia </t>
  </si>
  <si>
    <t>Kevin Smith</t>
  </si>
  <si>
    <t>Cop Out </t>
  </si>
  <si>
    <t>Christian Ditter</t>
  </si>
  <si>
    <t>How to Be Single </t>
  </si>
  <si>
    <t>Charles Martin Smith</t>
  </si>
  <si>
    <t>Drama|Family</t>
  </si>
  <si>
    <t>Dolphin Tale </t>
  </si>
  <si>
    <t>Twilight </t>
  </si>
  <si>
    <t>John Q </t>
  </si>
  <si>
    <t>Blue Streak </t>
  </si>
  <si>
    <t>We're the Millers </t>
  </si>
  <si>
    <t>Breakdown </t>
  </si>
  <si>
    <t>Irvin Kershner</t>
  </si>
  <si>
    <t>Never Say Never Again </t>
  </si>
  <si>
    <t>Steve Pink</t>
  </si>
  <si>
    <t>Hot Tub Time Machine </t>
  </si>
  <si>
    <t>Dolphin Tale 2 </t>
  </si>
  <si>
    <t>Action|Adventure|Crime|Drama|Family|Fantasy|Romance|Thriller</t>
  </si>
  <si>
    <t>Reindeer Games </t>
  </si>
  <si>
    <t>A Man Apart </t>
  </si>
  <si>
    <t>Aloha </t>
  </si>
  <si>
    <t>Ghosts of Mississippi </t>
  </si>
  <si>
    <t>Scott Hicks</t>
  </si>
  <si>
    <t>Snow Falling on Cedars </t>
  </si>
  <si>
    <t>The Rite </t>
  </si>
  <si>
    <t>Gattaca </t>
  </si>
  <si>
    <t>Biography|Comedy|Romance</t>
  </si>
  <si>
    <t>Isn't She Great </t>
  </si>
  <si>
    <t>Space Chimps </t>
  </si>
  <si>
    <t>Chris Rock</t>
  </si>
  <si>
    <t>Head of State </t>
  </si>
  <si>
    <t>The Hangover </t>
  </si>
  <si>
    <t>Wilson Yip</t>
  </si>
  <si>
    <t>Action|Biography|Drama|History</t>
  </si>
  <si>
    <t>Ip Man 3 </t>
  </si>
  <si>
    <t>Cantonese</t>
  </si>
  <si>
    <t>Austin Powers: The Spy Who Shagged Me </t>
  </si>
  <si>
    <t>Batman </t>
  </si>
  <si>
    <t>Biography|Drama|War</t>
  </si>
  <si>
    <t>There Be Dragons </t>
  </si>
  <si>
    <t>Lethal Weapon 3 </t>
  </si>
  <si>
    <t>The Blind Side </t>
  </si>
  <si>
    <t>Spy Kids </t>
  </si>
  <si>
    <t>Horrible Bosses </t>
  </si>
  <si>
    <t>True Grit </t>
  </si>
  <si>
    <t>The Devil Wears Prada </t>
  </si>
  <si>
    <t>Robert Wise</t>
  </si>
  <si>
    <t>Star Trek: The Motion Picture </t>
  </si>
  <si>
    <t>Identity Thief </t>
  </si>
  <si>
    <t>Cape Fear </t>
  </si>
  <si>
    <t>21 </t>
  </si>
  <si>
    <t>Trainwreck </t>
  </si>
  <si>
    <t>Kevin Rodney Sullivan</t>
  </si>
  <si>
    <t>Guess Who </t>
  </si>
  <si>
    <t>Drama|Romance|War</t>
  </si>
  <si>
    <t>The English Patient </t>
  </si>
  <si>
    <t>L.A. Confidential </t>
  </si>
  <si>
    <t>Adventure|Comedy|Family|Sci-Fi</t>
  </si>
  <si>
    <t>Sky High </t>
  </si>
  <si>
    <t>In &amp; Out </t>
  </si>
  <si>
    <t>Species </t>
  </si>
  <si>
    <t>A Nightmare on Elm Street </t>
  </si>
  <si>
    <t>The Cell </t>
  </si>
  <si>
    <t>The Man in the Iron Mask </t>
  </si>
  <si>
    <t>Biography|Drama|Family|History|Sport</t>
  </si>
  <si>
    <t>Secretariat </t>
  </si>
  <si>
    <t>Kevin Munroe</t>
  </si>
  <si>
    <t>TMNT </t>
  </si>
  <si>
    <t>Michael Tollin</t>
  </si>
  <si>
    <t>Radio </t>
  </si>
  <si>
    <t>Friends with Benefits </t>
  </si>
  <si>
    <t>Nicholas Stoller</t>
  </si>
  <si>
    <t>Neighbors 2: Sorority Rising </t>
  </si>
  <si>
    <t>Biography|Comedy|Drama|History|Music</t>
  </si>
  <si>
    <t>Saving Mr. Banks </t>
  </si>
  <si>
    <t>Malcolm X </t>
  </si>
  <si>
    <t>This Is 40 </t>
  </si>
  <si>
    <t>Old Dogs </t>
  </si>
  <si>
    <t>Patrick Tatopoulos</t>
  </si>
  <si>
    <t>Underworld: Rise of the Lycans </t>
  </si>
  <si>
    <t>License to Wed </t>
  </si>
  <si>
    <t>The Benchwarmers </t>
  </si>
  <si>
    <t>Gary David Goldberg</t>
  </si>
  <si>
    <t>Must Love Dogs </t>
  </si>
  <si>
    <t>Donnie Brasco </t>
  </si>
  <si>
    <t>Resident Evil </t>
  </si>
  <si>
    <t>Tobe Hooper</t>
  </si>
  <si>
    <t>Fantasy|Horror</t>
  </si>
  <si>
    <t>Poltergeist </t>
  </si>
  <si>
    <t>The Ladykillers </t>
  </si>
  <si>
    <t>Max Payne </t>
  </si>
  <si>
    <t>In Time </t>
  </si>
  <si>
    <t>Alan Poul</t>
  </si>
  <si>
    <t>The Back-up Plan </t>
  </si>
  <si>
    <t>Luke Greenfield</t>
  </si>
  <si>
    <t>Something Borrowed </t>
  </si>
  <si>
    <t>Gil Junger</t>
  </si>
  <si>
    <t>Black Knight </t>
  </si>
  <si>
    <t>Steven E. de Souza</t>
  </si>
  <si>
    <t>Street Fighter </t>
  </si>
  <si>
    <t>The Pianist </t>
  </si>
  <si>
    <t>The Nativity Story </t>
  </si>
  <si>
    <t>House of Wax </t>
  </si>
  <si>
    <t>Closer </t>
  </si>
  <si>
    <t>J. Edgar </t>
  </si>
  <si>
    <t>Alexandre Aja</t>
  </si>
  <si>
    <t>Mirrors </t>
  </si>
  <si>
    <t>Michael Rymer</t>
  </si>
  <si>
    <t>Queen of the Damned </t>
  </si>
  <si>
    <t>Predator 2 </t>
  </si>
  <si>
    <t>Untraceable </t>
  </si>
  <si>
    <t>Hugh Wilson</t>
  </si>
  <si>
    <t>Comedy|Drama|Romance|Sci-Fi</t>
  </si>
  <si>
    <t>Blast from the Past </t>
  </si>
  <si>
    <t>Jersey Girl </t>
  </si>
  <si>
    <t>Alex Cross </t>
  </si>
  <si>
    <t>Midnight in the Garden of Good and Evil </t>
  </si>
  <si>
    <t>Susanna White</t>
  </si>
  <si>
    <t>Nanny McPhee Returns </t>
  </si>
  <si>
    <t>Hoffa </t>
  </si>
  <si>
    <t>Chris Carter</t>
  </si>
  <si>
    <t>The X Files: I Want to Believe </t>
  </si>
  <si>
    <t>Tommy O'Haver</t>
  </si>
  <si>
    <t>Ella Enchanted </t>
  </si>
  <si>
    <t>Peter Landesman</t>
  </si>
  <si>
    <t>Concussion </t>
  </si>
  <si>
    <t>Abduction </t>
  </si>
  <si>
    <t>Gary Chapman</t>
  </si>
  <si>
    <t>Adventure|Animation|Comedy|Family|War</t>
  </si>
  <si>
    <t>Valiant </t>
  </si>
  <si>
    <t>Wonder Boys </t>
  </si>
  <si>
    <t>Craig Mazin</t>
  </si>
  <si>
    <t>Action|Comedy|Sci-Fi|Thriller</t>
  </si>
  <si>
    <t>Superhero Movie </t>
  </si>
  <si>
    <t>Allen Hughes</t>
  </si>
  <si>
    <t>Broken City </t>
  </si>
  <si>
    <t>Comedy|Horror</t>
  </si>
  <si>
    <t>Cursed </t>
  </si>
  <si>
    <t>Premium Rush </t>
  </si>
  <si>
    <t>Hot Pursuit </t>
  </si>
  <si>
    <t>The Four Feathers </t>
  </si>
  <si>
    <t>Parker </t>
  </si>
  <si>
    <t>Wimbledon </t>
  </si>
  <si>
    <t>Furry Vengeance </t>
  </si>
  <si>
    <t>Drama|Thriller|War</t>
  </si>
  <si>
    <t>Lions for Lambs </t>
  </si>
  <si>
    <t>Flight of the Intruder </t>
  </si>
  <si>
    <t>Comedy|Music</t>
  </si>
  <si>
    <t>Walk Hard: The Dewey Cox Story </t>
  </si>
  <si>
    <t>Lasse Hallström</t>
  </si>
  <si>
    <t>The Shipping News </t>
  </si>
  <si>
    <t>Action|Western</t>
  </si>
  <si>
    <t>American Outlaws </t>
  </si>
  <si>
    <t>Jean-Marc Vallée</t>
  </si>
  <si>
    <t>The Young Victoria </t>
  </si>
  <si>
    <t>Whiteout </t>
  </si>
  <si>
    <t>The Tree of Life </t>
  </si>
  <si>
    <t>Hark Tsui</t>
  </si>
  <si>
    <t>Knock Off </t>
  </si>
  <si>
    <t>Aruba</t>
  </si>
  <si>
    <t>Sabotage </t>
  </si>
  <si>
    <t>The Order </t>
  </si>
  <si>
    <t>Lexi Alexander</t>
  </si>
  <si>
    <t>Punisher: War Zone </t>
  </si>
  <si>
    <t>Action|Adventure|Family|Sci-Fi</t>
  </si>
  <si>
    <t>Zoom </t>
  </si>
  <si>
    <t>Adventure|Biography|Drama|Thriller</t>
  </si>
  <si>
    <t>The Walk </t>
  </si>
  <si>
    <t>Ronny Yu</t>
  </si>
  <si>
    <t>Warriors of Virtue </t>
  </si>
  <si>
    <t>A Good Year </t>
  </si>
  <si>
    <t>Radio Flyer </t>
  </si>
  <si>
    <t>Blood In, Blood Out </t>
  </si>
  <si>
    <t>Bille August</t>
  </si>
  <si>
    <t>Smilla's Sense of Snow </t>
  </si>
  <si>
    <t>Denmark</t>
  </si>
  <si>
    <t>Femme Fatale </t>
  </si>
  <si>
    <t>Drama|Romance|War|Western</t>
  </si>
  <si>
    <t>Ride with the Devil </t>
  </si>
  <si>
    <t>The Maze Runner </t>
  </si>
  <si>
    <t>Ken Scott</t>
  </si>
  <si>
    <t>Unfinished Business </t>
  </si>
  <si>
    <t>The Age of Innocence </t>
  </si>
  <si>
    <t>The Fountain </t>
  </si>
  <si>
    <t>Hugh Johnson</t>
  </si>
  <si>
    <t>Action|Adventure|Comedy|Drama|Thriller</t>
  </si>
  <si>
    <t>Chill Factor </t>
  </si>
  <si>
    <t>Stolen </t>
  </si>
  <si>
    <t>Hayao Miyazaki</t>
  </si>
  <si>
    <t>Ponyo </t>
  </si>
  <si>
    <t>Japanese</t>
  </si>
  <si>
    <t>George Tillman Jr.</t>
  </si>
  <si>
    <t>The Longest Ride </t>
  </si>
  <si>
    <t>Rand Ravich</t>
  </si>
  <si>
    <t>The Astronaut's Wife </t>
  </si>
  <si>
    <t>Hugh Hudson</t>
  </si>
  <si>
    <t>I Dreamed of Africa </t>
  </si>
  <si>
    <t>Playing for Keeps </t>
  </si>
  <si>
    <t>Mandela: Long Walk to Freedom </t>
  </si>
  <si>
    <t>A Few Good Men </t>
  </si>
  <si>
    <t>Exit Wounds </t>
  </si>
  <si>
    <t>Big Momma's House </t>
  </si>
  <si>
    <t>Jeremy Degruson</t>
  </si>
  <si>
    <t>Thunder and the House of Magic </t>
  </si>
  <si>
    <t>Belgium</t>
  </si>
  <si>
    <t>Chris Gorak</t>
  </si>
  <si>
    <t>The Darkest Hour </t>
  </si>
  <si>
    <t>Scott Speer</t>
  </si>
  <si>
    <t>Drama|Music|Romance</t>
  </si>
  <si>
    <t>Step Up Revolution </t>
  </si>
  <si>
    <t>Action|Adventure|Crime|Drama|Thriller</t>
  </si>
  <si>
    <t>Snakes on a Plane </t>
  </si>
  <si>
    <t>Joe Charbanic</t>
  </si>
  <si>
    <t>Crime|Horror|Mystery|Thriller</t>
  </si>
  <si>
    <t>The Watcher </t>
  </si>
  <si>
    <t>Jonathan Hensleigh</t>
  </si>
  <si>
    <t>The Punisher </t>
  </si>
  <si>
    <t>Danny Cannon</t>
  </si>
  <si>
    <t>Goal! The Dream Begins </t>
  </si>
  <si>
    <t>Boaz Yakin</t>
  </si>
  <si>
    <t>Safe </t>
  </si>
  <si>
    <t>Pushing Tin </t>
  </si>
  <si>
    <t>Richard Marquand</t>
  </si>
  <si>
    <t>Star Wars: Episode VI - Return of the Jedi </t>
  </si>
  <si>
    <t>Neil Marshall</t>
  </si>
  <si>
    <t>Doomsday </t>
  </si>
  <si>
    <t>The Reader </t>
  </si>
  <si>
    <t>Elf </t>
  </si>
  <si>
    <t>Phenomenon </t>
  </si>
  <si>
    <t>Adventure|Comedy|Family|Sport</t>
  </si>
  <si>
    <t>Snow Dogs </t>
  </si>
  <si>
    <t>Comedy|Drama|Fantasy</t>
  </si>
  <si>
    <t>Scrooged </t>
  </si>
  <si>
    <t>Jared Hess</t>
  </si>
  <si>
    <t>Comedy|Family|Sport</t>
  </si>
  <si>
    <t>Nacho Libre </t>
  </si>
  <si>
    <t>Bridesmaids </t>
  </si>
  <si>
    <t>This Is the End </t>
  </si>
  <si>
    <t>Rupert Wainwright</t>
  </si>
  <si>
    <t>Stigmata </t>
  </si>
  <si>
    <t>Men of Honor </t>
  </si>
  <si>
    <t>John Luessenhop</t>
  </si>
  <si>
    <t>Takers </t>
  </si>
  <si>
    <t>Justin Zackham</t>
  </si>
  <si>
    <t>The Big Wedding </t>
  </si>
  <si>
    <t>Big Mommas: Like Father, Like Son </t>
  </si>
  <si>
    <t>Source Code </t>
  </si>
  <si>
    <t>Alive </t>
  </si>
  <si>
    <t>The Number 23 </t>
  </si>
  <si>
    <t>Action|Adventure|Drama|Family</t>
  </si>
  <si>
    <t>The Young and Prodigious T.S. Spivet </t>
  </si>
  <si>
    <t>John Gatins</t>
  </si>
  <si>
    <t>Drama|Family|Sport</t>
  </si>
  <si>
    <t>Dreamer: Inspired by a True Story </t>
  </si>
  <si>
    <t>A History of Violence </t>
  </si>
  <si>
    <t>Transporter 2 </t>
  </si>
  <si>
    <t>Action|Thriller|Western</t>
  </si>
  <si>
    <t>The Quick and the Dead </t>
  </si>
  <si>
    <t>Laws of Attraction </t>
  </si>
  <si>
    <t>Ireland</t>
  </si>
  <si>
    <t>Bringing Out the Dead </t>
  </si>
  <si>
    <t>Miguel Sapochnik</t>
  </si>
  <si>
    <t>Repo Men </t>
  </si>
  <si>
    <t>Hyung-rae Shim</t>
  </si>
  <si>
    <t>Action|Drama|Fantasy|Horror|Thriller</t>
  </si>
  <si>
    <t>Dragon Wars: D-War </t>
  </si>
  <si>
    <t>Bogus </t>
  </si>
  <si>
    <t>Don Scardino</t>
  </si>
  <si>
    <t>The Incredible Burt Wonderstone </t>
  </si>
  <si>
    <t>Animation|Comedy|Family|Fantasy|Musical</t>
  </si>
  <si>
    <t>Cats Don't Dance </t>
  </si>
  <si>
    <t>Tim Robbins</t>
  </si>
  <si>
    <t>Cradle Will Rock </t>
  </si>
  <si>
    <t>The Good German </t>
  </si>
  <si>
    <t>Apocalypse Now </t>
  </si>
  <si>
    <t>Nanette Burstein</t>
  </si>
  <si>
    <t>Going the Distance </t>
  </si>
  <si>
    <t>Mr. Holland's Opus </t>
  </si>
  <si>
    <t>Ariel Vromen</t>
  </si>
  <si>
    <t>Action|Crime|Drama|Mystery|Sci-Fi|Thriller</t>
  </si>
  <si>
    <t>Criminal </t>
  </si>
  <si>
    <t>Out of Africa </t>
  </si>
  <si>
    <t>Flight </t>
  </si>
  <si>
    <t>Lewis Gilbert</t>
  </si>
  <si>
    <t>Moonraker </t>
  </si>
  <si>
    <t>Adventure|Comedy|Crime|Drama</t>
  </si>
  <si>
    <t>The Grand Budapest Hotel </t>
  </si>
  <si>
    <t>Drama|Mystery</t>
  </si>
  <si>
    <t>Hearts in Atlantis </t>
  </si>
  <si>
    <t>Comedy|Fantasy|Horror|Thriller</t>
  </si>
  <si>
    <t>Arachnophobia </t>
  </si>
  <si>
    <t>Crime|Drama|Mystery|Sci-Fi|Thriller</t>
  </si>
  <si>
    <t>Frequency </t>
  </si>
  <si>
    <t>John Francis Daley</t>
  </si>
  <si>
    <t>Vacation </t>
  </si>
  <si>
    <t>Get Shorty </t>
  </si>
  <si>
    <t>Comedy|Crime|Musical</t>
  </si>
  <si>
    <t>Chicago </t>
  </si>
  <si>
    <t>Big Daddy </t>
  </si>
  <si>
    <t>J.B. Rogers</t>
  </si>
  <si>
    <t>American Pie 2 </t>
  </si>
  <si>
    <t>Toy Story </t>
  </si>
  <si>
    <t>Speed </t>
  </si>
  <si>
    <t>Michael Sucsy</t>
  </si>
  <si>
    <t>The Vow </t>
  </si>
  <si>
    <t>Tom Vaughan</t>
  </si>
  <si>
    <t>Extraordinary Measures </t>
  </si>
  <si>
    <t>Remember the Titans </t>
  </si>
  <si>
    <t>The Hunt for Red October </t>
  </si>
  <si>
    <t>Lee Daniels' The Butler </t>
  </si>
  <si>
    <t>Dodgeball: A True Underdog Story </t>
  </si>
  <si>
    <t>The Addams Family </t>
  </si>
  <si>
    <t>Ace Ventura: When Nature Calls </t>
  </si>
  <si>
    <t>The Princess Diaries </t>
  </si>
  <si>
    <t>The First Wives Club </t>
  </si>
  <si>
    <t>Se7en </t>
  </si>
  <si>
    <t>District 9 </t>
  </si>
  <si>
    <t>South Africa</t>
  </si>
  <si>
    <t>Stephen Hillenburg</t>
  </si>
  <si>
    <t>The SpongeBob SquarePants Movie </t>
  </si>
  <si>
    <t>Mystic River </t>
  </si>
  <si>
    <t>Million Dollar Baby </t>
  </si>
  <si>
    <t>Analyze This </t>
  </si>
  <si>
    <t>The Notebook </t>
  </si>
  <si>
    <t>27 Dresses </t>
  </si>
  <si>
    <t>Comedy|Drama|Family|Music|Romance</t>
  </si>
  <si>
    <t>Hannah Montana: The Movie </t>
  </si>
  <si>
    <t>Stig Bergqvist</t>
  </si>
  <si>
    <t>Rugrats in Paris: The Movie </t>
  </si>
  <si>
    <t>The Prince of Tides </t>
  </si>
  <si>
    <t>Legends of the Fall </t>
  </si>
  <si>
    <t>Jason Reitman</t>
  </si>
  <si>
    <t>Up in the Air </t>
  </si>
  <si>
    <t>Alexander Payne</t>
  </si>
  <si>
    <t>About Schmidt </t>
  </si>
  <si>
    <t>Jonathan Levine</t>
  </si>
  <si>
    <t>Comedy|Horror|Romance</t>
  </si>
  <si>
    <t>Warm Bodies </t>
  </si>
  <si>
    <t>Rian Johnson</t>
  </si>
  <si>
    <t>Looper </t>
  </si>
  <si>
    <t>Down to Earth </t>
  </si>
  <si>
    <t>Chris Noonan</t>
  </si>
  <si>
    <t>Babe </t>
  </si>
  <si>
    <t>Hope Springs </t>
  </si>
  <si>
    <t>Forgetting Sarah Marshall </t>
  </si>
  <si>
    <t>Four Brothers </t>
  </si>
  <si>
    <t>Michael McCullers</t>
  </si>
  <si>
    <t>Baby Mama </t>
  </si>
  <si>
    <t>Forest Whitaker</t>
  </si>
  <si>
    <t>Hope Floats </t>
  </si>
  <si>
    <t>Gary Winick</t>
  </si>
  <si>
    <t>Bride Wars </t>
  </si>
  <si>
    <t>Without a Paddle </t>
  </si>
  <si>
    <t>13 Going on 30 </t>
  </si>
  <si>
    <t>Woody Allen</t>
  </si>
  <si>
    <t>Midnight in Paris </t>
  </si>
  <si>
    <t>Peter Lepeniotis</t>
  </si>
  <si>
    <t>The Nut Job </t>
  </si>
  <si>
    <t>Ted Demme</t>
  </si>
  <si>
    <t>Blow </t>
  </si>
  <si>
    <t>Message in a Bottle </t>
  </si>
  <si>
    <t>William Shatner</t>
  </si>
  <si>
    <t>Star Trek V: The Final Frontier </t>
  </si>
  <si>
    <t>Comedy|Family|Fantasy|Sport</t>
  </si>
  <si>
    <t>Like Mike </t>
  </si>
  <si>
    <t>Naked Gun 33 1/3: The Final Insult </t>
  </si>
  <si>
    <t>A View to a Kill </t>
  </si>
  <si>
    <t>Steve Box</t>
  </si>
  <si>
    <t>Animation|Comedy|Family|Mystery|Sci-Fi</t>
  </si>
  <si>
    <t>The Curse of the Were-Rabbit </t>
  </si>
  <si>
    <t>P.S. I Love You </t>
  </si>
  <si>
    <t>Atonement </t>
  </si>
  <si>
    <t>Letters to Juliet </t>
  </si>
  <si>
    <t>Black Rain </t>
  </si>
  <si>
    <t>Animation|Drama|Family|Fantasy|Musical|Romance</t>
  </si>
  <si>
    <t>Corpse Bride </t>
  </si>
  <si>
    <t>Sicario </t>
  </si>
  <si>
    <t>Southpaw </t>
  </si>
  <si>
    <t>Drag Me to Hell </t>
  </si>
  <si>
    <t>Lee Toland Krieger</t>
  </si>
  <si>
    <t>The Age of Adaline </t>
  </si>
  <si>
    <t>Tim McCanlies</t>
  </si>
  <si>
    <t>Secondhand Lions </t>
  </si>
  <si>
    <t>Step Up 3D </t>
  </si>
  <si>
    <t>Blue Crush </t>
  </si>
  <si>
    <t>Stranger Than Fiction </t>
  </si>
  <si>
    <t>30 Days of Night </t>
  </si>
  <si>
    <t>Drew Goddard</t>
  </si>
  <si>
    <t>The Cabin in the Woods </t>
  </si>
  <si>
    <t>Jason Friedberg</t>
  </si>
  <si>
    <t>Meet the Spartans </t>
  </si>
  <si>
    <t>Midnight Run </t>
  </si>
  <si>
    <t>Paul Michael Glaser</t>
  </si>
  <si>
    <t>The Running Man </t>
  </si>
  <si>
    <t>Comedy|Horror|Musical|Sci-Fi</t>
  </si>
  <si>
    <t>Little Shop of Horrors </t>
  </si>
  <si>
    <t>Hanna </t>
  </si>
  <si>
    <t>John R. Leonetti</t>
  </si>
  <si>
    <t>Mortal Kombat: Annihilation </t>
  </si>
  <si>
    <t>Tom Hanks</t>
  </si>
  <si>
    <t>Larry Crowne </t>
  </si>
  <si>
    <t>Kimberly Peirce</t>
  </si>
  <si>
    <t>Carrie </t>
  </si>
  <si>
    <t>Liz Friedlander</t>
  </si>
  <si>
    <t>Take the Lead </t>
  </si>
  <si>
    <t>Phil Joanou</t>
  </si>
  <si>
    <t>Crime|Drama|Sport</t>
  </si>
  <si>
    <t>Gridiron Gang </t>
  </si>
  <si>
    <t>What's the Worst That Could Happen? </t>
  </si>
  <si>
    <t>Shane Acker</t>
  </si>
  <si>
    <t>Action|Adventure|Animation|Drama|Mystery|Sci-Fi|Thriller</t>
  </si>
  <si>
    <t>9 </t>
  </si>
  <si>
    <t>Side Effects </t>
  </si>
  <si>
    <t>Stephen J. Anderson</t>
  </si>
  <si>
    <t>Winnie the Pooh </t>
  </si>
  <si>
    <t>Troy Miller</t>
  </si>
  <si>
    <t>Dumb and Dumberer: When Harry Met Lloyd </t>
  </si>
  <si>
    <t>Bulworth </t>
  </si>
  <si>
    <t>Tate Taylor</t>
  </si>
  <si>
    <t>Get on Up </t>
  </si>
  <si>
    <t>One True Thing </t>
  </si>
  <si>
    <t>Brett Leonard</t>
  </si>
  <si>
    <t>Virtuosity </t>
  </si>
  <si>
    <t>My Super Ex-Girlfriend </t>
  </si>
  <si>
    <t>Deliver Us from Evil </t>
  </si>
  <si>
    <t>Alister Grierson</t>
  </si>
  <si>
    <t>Sanctum </t>
  </si>
  <si>
    <t>Nick Hurran</t>
  </si>
  <si>
    <t>Little Black Book </t>
  </si>
  <si>
    <t>The Five-Year Engagement </t>
  </si>
  <si>
    <t>Charles Stone III</t>
  </si>
  <si>
    <t>Mr 3000 </t>
  </si>
  <si>
    <t>Paul Haggis</t>
  </si>
  <si>
    <t>The Next Three Days </t>
  </si>
  <si>
    <t>Kurt Wimmer</t>
  </si>
  <si>
    <t>Ultraviolet </t>
  </si>
  <si>
    <t>Jean-François Richet</t>
  </si>
  <si>
    <t>Assault on Precinct 13 </t>
  </si>
  <si>
    <t>The Replacement Killers </t>
  </si>
  <si>
    <t>Kevin Hooks</t>
  </si>
  <si>
    <t>Action|Adventure|Crime|Drama|Romance</t>
  </si>
  <si>
    <t>Fled </t>
  </si>
  <si>
    <t>Ellory Elkayem</t>
  </si>
  <si>
    <t>Action|Comedy|Horror</t>
  </si>
  <si>
    <t>Eight Legged Freaks </t>
  </si>
  <si>
    <t>Love &amp; Other Drugs </t>
  </si>
  <si>
    <t>88 Minutes </t>
  </si>
  <si>
    <t>Niki Caro</t>
  </si>
  <si>
    <t>North Country </t>
  </si>
  <si>
    <t>The Whole Ten Yards </t>
  </si>
  <si>
    <t>Vincenzo Natali</t>
  </si>
  <si>
    <t>Splice </t>
  </si>
  <si>
    <t>Willard Huyck</t>
  </si>
  <si>
    <t>Howard the Duck </t>
  </si>
  <si>
    <t>Gavin O'Connor</t>
  </si>
  <si>
    <t>Pride and Glory </t>
  </si>
  <si>
    <t>Bruce Hunt</t>
  </si>
  <si>
    <t>Adventure|Horror|Thriller</t>
  </si>
  <si>
    <t>The Cave </t>
  </si>
  <si>
    <t>Alex &amp; Emma </t>
  </si>
  <si>
    <t>Wicker Park </t>
  </si>
  <si>
    <t>Craig Gillespie</t>
  </si>
  <si>
    <t>Fright Night </t>
  </si>
  <si>
    <t>The New World </t>
  </si>
  <si>
    <t>Chris Roberts</t>
  </si>
  <si>
    <t>Wing Commander </t>
  </si>
  <si>
    <t>In Dreams </t>
  </si>
  <si>
    <t>Dragonball: Evolution </t>
  </si>
  <si>
    <t>Jee-woon Kim</t>
  </si>
  <si>
    <t>The Last Stand </t>
  </si>
  <si>
    <t>Nick Hamm</t>
  </si>
  <si>
    <t>Godsend </t>
  </si>
  <si>
    <t>Andy Cadiff</t>
  </si>
  <si>
    <t>Chasing Liberty </t>
  </si>
  <si>
    <t>Mike Disa</t>
  </si>
  <si>
    <t>Hoodwinked Too! Hood vs. Evil </t>
  </si>
  <si>
    <t>An Unfinished Life </t>
  </si>
  <si>
    <t>Adventure|Fantasy|Mystery</t>
  </si>
  <si>
    <t>The Imaginarium of Doctor Parnassus </t>
  </si>
  <si>
    <t>Runner Runner </t>
  </si>
  <si>
    <t>Antitrust </t>
  </si>
  <si>
    <t>Glory </t>
  </si>
  <si>
    <t>Sergio Leone</t>
  </si>
  <si>
    <t>Once Upon a Time in America </t>
  </si>
  <si>
    <t>Italy</t>
  </si>
  <si>
    <t>Niels Arden Oplev</t>
  </si>
  <si>
    <t>Dead Man Down </t>
  </si>
  <si>
    <t>Michael Radford</t>
  </si>
  <si>
    <t>The Merchant of Venice </t>
  </si>
  <si>
    <t>The Good Thief </t>
  </si>
  <si>
    <t>Miss Potter </t>
  </si>
  <si>
    <t>Kaige Chen</t>
  </si>
  <si>
    <t>The Promise </t>
  </si>
  <si>
    <t>Corey Yuen</t>
  </si>
  <si>
    <t>DOA: Dead or Alive </t>
  </si>
  <si>
    <t>Andrew Dominik</t>
  </si>
  <si>
    <t>Biography|Crime|Drama|History|Western</t>
  </si>
  <si>
    <t>The Assassination of Jesse James by the Coward Robert Ford </t>
  </si>
  <si>
    <t>Li Zhang</t>
  </si>
  <si>
    <t>1911 </t>
  </si>
  <si>
    <t>Action|Biography|Crime|Drama</t>
  </si>
  <si>
    <t>Machine Gun Preacher </t>
  </si>
  <si>
    <t>Elizabeth Banks</t>
  </si>
  <si>
    <t>Pitch Perfect 2 </t>
  </si>
  <si>
    <t>Biography|Drama|Music|Romance</t>
  </si>
  <si>
    <t>Walk the Line </t>
  </si>
  <si>
    <t>Edward Norton</t>
  </si>
  <si>
    <t>Keeping the Faith </t>
  </si>
  <si>
    <t>The Borrowers </t>
  </si>
  <si>
    <t>Frost/Nixon </t>
  </si>
  <si>
    <t>Serving Sara </t>
  </si>
  <si>
    <t>Ben Falcone</t>
  </si>
  <si>
    <t>The Boss </t>
  </si>
  <si>
    <t>Richard Attenborough</t>
  </si>
  <si>
    <t>Cry Freedom </t>
  </si>
  <si>
    <t>Mumford </t>
  </si>
  <si>
    <t>Don Mancini</t>
  </si>
  <si>
    <t>Seed of Chucky </t>
  </si>
  <si>
    <t>Romania</t>
  </si>
  <si>
    <t>John Maybury</t>
  </si>
  <si>
    <t>The Jacket </t>
  </si>
  <si>
    <t>Aladdin </t>
  </si>
  <si>
    <t>Biography|Crime|Drama|History|Music</t>
  </si>
  <si>
    <t>Straight Outta Compton </t>
  </si>
  <si>
    <t>Indiana Jones and the Temple of Doom </t>
  </si>
  <si>
    <t>Igor Kovalyov</t>
  </si>
  <si>
    <t>Adventure|Animation|Comedy|Drama|Family|Musical</t>
  </si>
  <si>
    <t>The Rugrats Movie </t>
  </si>
  <si>
    <t>Along Came a Spider </t>
  </si>
  <si>
    <t>Once Upon a Time in Mexico </t>
  </si>
  <si>
    <t>Die Hard </t>
  </si>
  <si>
    <t>David Wain</t>
  </si>
  <si>
    <t>Role Models </t>
  </si>
  <si>
    <t>The Big Short </t>
  </si>
  <si>
    <t>Comedy|Drama|Music</t>
  </si>
  <si>
    <t>Taking Woodstock </t>
  </si>
  <si>
    <t>Miracle </t>
  </si>
  <si>
    <t>Dawn of the Dead </t>
  </si>
  <si>
    <t>The Wedding Planner </t>
  </si>
  <si>
    <t>The Royal Tenenbaums </t>
  </si>
  <si>
    <t>Identity </t>
  </si>
  <si>
    <t>Last Vegas </t>
  </si>
  <si>
    <t>For Your Eyes Only </t>
  </si>
  <si>
    <t>Serendipity </t>
  </si>
  <si>
    <t>Timecop </t>
  </si>
  <si>
    <t>Zoolander </t>
  </si>
  <si>
    <t>Drama|Romance|Thriller</t>
  </si>
  <si>
    <t>Safe Haven </t>
  </si>
  <si>
    <t>Hocus Pocus </t>
  </si>
  <si>
    <t>No Reservations </t>
  </si>
  <si>
    <t>Kick-Ass </t>
  </si>
  <si>
    <t>30 Minutes or Less </t>
  </si>
  <si>
    <t>Action|Fantasy|Horror|Thriller</t>
  </si>
  <si>
    <t>Dracula 2000 </t>
  </si>
  <si>
    <t>Miguel Arteta</t>
  </si>
  <si>
    <t>Alexander and the Terrible, Horrible, No Good, Very Bad Day </t>
  </si>
  <si>
    <t>Pride &amp; Prejudice </t>
  </si>
  <si>
    <t>Blade Runner </t>
  </si>
  <si>
    <t>Adventure|Biography</t>
  </si>
  <si>
    <t>Rob Roy </t>
  </si>
  <si>
    <t>3 Days to Kill </t>
  </si>
  <si>
    <t>James Gray</t>
  </si>
  <si>
    <t>We Own the Night </t>
  </si>
  <si>
    <t>Janusz Kaminski</t>
  </si>
  <si>
    <t>Lost Souls </t>
  </si>
  <si>
    <t>Documentary</t>
  </si>
  <si>
    <t>Winged Migration </t>
  </si>
  <si>
    <t>Just My Luck </t>
  </si>
  <si>
    <t>Mystery, Alaska </t>
  </si>
  <si>
    <t>Action|Comedy|Family</t>
  </si>
  <si>
    <t>The Spy Next Door </t>
  </si>
  <si>
    <t>Michael Ritchie</t>
  </si>
  <si>
    <t>A Simple Wish </t>
  </si>
  <si>
    <t>Ghosts of Mars </t>
  </si>
  <si>
    <t>Our Brand Is Crisis </t>
  </si>
  <si>
    <t>Action|Horror|Romance</t>
  </si>
  <si>
    <t>Pride and Prejudice and Zombies </t>
  </si>
  <si>
    <t>Kundun </t>
  </si>
  <si>
    <t>Robert B. Weide</t>
  </si>
  <si>
    <t>How to Lose Friends &amp; Alienate People </t>
  </si>
  <si>
    <t>Jeff Wadlow</t>
  </si>
  <si>
    <t>Kick-Ass 2 </t>
  </si>
  <si>
    <t>Camille Delamarre</t>
  </si>
  <si>
    <t>Brick Mansions </t>
  </si>
  <si>
    <t>Octopussy </t>
  </si>
  <si>
    <t>Knocked Up </t>
  </si>
  <si>
    <t>My Sister's Keeper </t>
  </si>
  <si>
    <t>Malcolm D. Lee</t>
  </si>
  <si>
    <t>Welcome Home, Roscoe Jenkins </t>
  </si>
  <si>
    <t>David Lean</t>
  </si>
  <si>
    <t>A Passage to India </t>
  </si>
  <si>
    <t>Richard Eyre</t>
  </si>
  <si>
    <t>Notes on a Scandal </t>
  </si>
  <si>
    <t>Rendition </t>
  </si>
  <si>
    <t>Nicholas Meyer</t>
  </si>
  <si>
    <t>Star Trek VI: The Undiscovered Country </t>
  </si>
  <si>
    <t>Callie Khouri</t>
  </si>
  <si>
    <t>Divine Secrets of the Ya-Ya Sisterhood </t>
  </si>
  <si>
    <t>Kiss the Girls </t>
  </si>
  <si>
    <t>Action|Comedy|Crime|Music</t>
  </si>
  <si>
    <t>The Blues Brothers </t>
  </si>
  <si>
    <t>Todd Graff</t>
  </si>
  <si>
    <t>Joyful Noise </t>
  </si>
  <si>
    <t>About a Boy </t>
  </si>
  <si>
    <t>Lake Placid </t>
  </si>
  <si>
    <t>Lucky Number Slevin </t>
  </si>
  <si>
    <t>Philip Kaufman</t>
  </si>
  <si>
    <t>The Right Stuff </t>
  </si>
  <si>
    <t>Anonymous </t>
  </si>
  <si>
    <t>Action|Drama|Fantasy|Mystery|Sci-Fi|Thriller</t>
  </si>
  <si>
    <t>Dark City </t>
  </si>
  <si>
    <t>Saul Dibb</t>
  </si>
  <si>
    <t>The Duchess </t>
  </si>
  <si>
    <t>Richard Linklater</t>
  </si>
  <si>
    <t>Action|Crime|Drama|History|Western</t>
  </si>
  <si>
    <t>The Newton Boys </t>
  </si>
  <si>
    <t>Case 39 </t>
  </si>
  <si>
    <t>E. Elias Merhige</t>
  </si>
  <si>
    <t>Suspect Zero </t>
  </si>
  <si>
    <t>Menno Meyjes</t>
  </si>
  <si>
    <t>Martian Child </t>
  </si>
  <si>
    <t>Spy Kids: All the Time in the World in 4D </t>
  </si>
  <si>
    <t>Jodie Foster</t>
  </si>
  <si>
    <t>Money Monster </t>
  </si>
  <si>
    <t>Formula 51 </t>
  </si>
  <si>
    <t>Comedy|Crime|Drama</t>
  </si>
  <si>
    <t>Flawless </t>
  </si>
  <si>
    <t>Mindhunters </t>
  </si>
  <si>
    <t>What Just Happened </t>
  </si>
  <si>
    <t>The Statement </t>
  </si>
  <si>
    <t>Paul Blart: Mall Cop </t>
  </si>
  <si>
    <t>Comedy|Family|Fantasy|Music|Romance</t>
  </si>
  <si>
    <t>Freaky Friday </t>
  </si>
  <si>
    <t>The 40-Year-Old Virgin </t>
  </si>
  <si>
    <t>Shakespeare in Love </t>
  </si>
  <si>
    <t>Scott Frank</t>
  </si>
  <si>
    <t>A Walk Among the Tombstones </t>
  </si>
  <si>
    <t>Kindergarten Cop </t>
  </si>
  <si>
    <t>Pineapple Express </t>
  </si>
  <si>
    <t>Ever After: A Cinderella Story </t>
  </si>
  <si>
    <t>Open Range </t>
  </si>
  <si>
    <t>Flatliners </t>
  </si>
  <si>
    <t>A Bridge Too Far </t>
  </si>
  <si>
    <t>Red Eye </t>
  </si>
  <si>
    <t>Final Destination 2 </t>
  </si>
  <si>
    <t>Adventure|Comedy|Crime|Music</t>
  </si>
  <si>
    <t>O Brother, Where Art Thou? </t>
  </si>
  <si>
    <t>Legion </t>
  </si>
  <si>
    <t>Pain &amp; Gain </t>
  </si>
  <si>
    <t>In Good Company </t>
  </si>
  <si>
    <t>Action|Adventure|Comedy|Sci-Fi|Thriller</t>
  </si>
  <si>
    <t>Clockstoppers </t>
  </si>
  <si>
    <t>Action|Crime|Drama|Western</t>
  </si>
  <si>
    <t>Silverado </t>
  </si>
  <si>
    <t>Brothers </t>
  </si>
  <si>
    <t>Kevin Allen</t>
  </si>
  <si>
    <t>Action|Adventure|Comedy|Family|Romance|Sci-Fi</t>
  </si>
  <si>
    <t>Agent Cody Banks 2: Destination London </t>
  </si>
  <si>
    <t>New Year's Eve </t>
  </si>
  <si>
    <t>Michael Cristofer</t>
  </si>
  <si>
    <t>Original Sin </t>
  </si>
  <si>
    <t>The Raven </t>
  </si>
  <si>
    <t>Welcome to Mooseport </t>
  </si>
  <si>
    <t>Andrew Morahan</t>
  </si>
  <si>
    <t>Action|Fantasy|Romance|Sci-Fi</t>
  </si>
  <si>
    <t>Highlander: The Final Dimension </t>
  </si>
  <si>
    <t>Bob Rafelson</t>
  </si>
  <si>
    <t>Blood and Wine </t>
  </si>
  <si>
    <t>Comedy|Crime|Mystery|Romance</t>
  </si>
  <si>
    <t>The Curse of the Jade Scorpion </t>
  </si>
  <si>
    <t>Alan Shapiro</t>
  </si>
  <si>
    <t>Adventure|Family</t>
  </si>
  <si>
    <t>Flipper </t>
  </si>
  <si>
    <t>Self/less </t>
  </si>
  <si>
    <t>Fernando Meirelles</t>
  </si>
  <si>
    <t>The Constant Gardener </t>
  </si>
  <si>
    <t>The Passion of the Christ </t>
  </si>
  <si>
    <t>Aramaic</t>
  </si>
  <si>
    <t>Comedy|Drama|Family|Romance</t>
  </si>
  <si>
    <t>Mrs. Doubtfire </t>
  </si>
  <si>
    <t>Rain Man </t>
  </si>
  <si>
    <t>Gran Torino </t>
  </si>
  <si>
    <t>W. </t>
  </si>
  <si>
    <t>Taken </t>
  </si>
  <si>
    <t>Michael Hoffman</t>
  </si>
  <si>
    <t>The Best of Me </t>
  </si>
  <si>
    <t>Action|Drama|Music|Romance</t>
  </si>
  <si>
    <t>The Bodyguard </t>
  </si>
  <si>
    <t>Schindler's List </t>
  </si>
  <si>
    <t>The Help </t>
  </si>
  <si>
    <t>The Fifth Estate </t>
  </si>
  <si>
    <t>Adventure|Comedy|Family|Fantasy|Horror|Mystery</t>
  </si>
  <si>
    <t>Scooby-Doo 2: Monsters Unleashed </t>
  </si>
  <si>
    <t>Freddy vs. Jason </t>
  </si>
  <si>
    <t>Jimmy Neutron: Boy Genius </t>
  </si>
  <si>
    <t>Cloverfield </t>
  </si>
  <si>
    <t>Michael Pressman</t>
  </si>
  <si>
    <t>Teenage Mutant Ninja Turtles II: The Secret of the Ooze </t>
  </si>
  <si>
    <t>The Untouchables </t>
  </si>
  <si>
    <t>No Country for Old Men </t>
  </si>
  <si>
    <t>Ride Along </t>
  </si>
  <si>
    <t>Sharon Maguire</t>
  </si>
  <si>
    <t>Bridget Jones's Diary </t>
  </si>
  <si>
    <t>Chocolat </t>
  </si>
  <si>
    <t>Charles Herman-Wurmfeld</t>
  </si>
  <si>
    <t>Legally Blonde 2: Red, White &amp; Blonde </t>
  </si>
  <si>
    <t>Parental Guidance </t>
  </si>
  <si>
    <t>No Strings Attached </t>
  </si>
  <si>
    <t>Action|Biography|Drama|History|Romance|Western</t>
  </si>
  <si>
    <t>Tombstone </t>
  </si>
  <si>
    <t>Romeo Must Die </t>
  </si>
  <si>
    <t>Final Destination 3 </t>
  </si>
  <si>
    <t>The Lucky One </t>
  </si>
  <si>
    <t>Gabor Csupo</t>
  </si>
  <si>
    <t>Bridge to Terabithia </t>
  </si>
  <si>
    <t>Biography|Drama|Family</t>
  </si>
  <si>
    <t>Finding Neverland </t>
  </si>
  <si>
    <t>Tyler Perry</t>
  </si>
  <si>
    <t>A Madea Christmas </t>
  </si>
  <si>
    <t>Joe Carnahan</t>
  </si>
  <si>
    <t>The Grey </t>
  </si>
  <si>
    <t>John Polson</t>
  </si>
  <si>
    <t>Hide and Seek </t>
  </si>
  <si>
    <t>Anchorman: The Legend of Ron Burgundy </t>
  </si>
  <si>
    <t>Goodfellas </t>
  </si>
  <si>
    <t>Action|Adventure|Comedy|Crime|Family|Romance|Thriller</t>
  </si>
  <si>
    <t>Agent Cody Banks </t>
  </si>
  <si>
    <t>Nanny McPhee </t>
  </si>
  <si>
    <t>Scarface </t>
  </si>
  <si>
    <t>Nothing to Lose </t>
  </si>
  <si>
    <t>Bernardo Bertolucci</t>
  </si>
  <si>
    <t>The Last Emperor </t>
  </si>
  <si>
    <t>Contraband </t>
  </si>
  <si>
    <t>Money Talks </t>
  </si>
  <si>
    <t>There Will Be Blood </t>
  </si>
  <si>
    <t>Cathy Malkasian</t>
  </si>
  <si>
    <t>The Wild Thornberrys Movie </t>
  </si>
  <si>
    <t>John Eng</t>
  </si>
  <si>
    <t>Rugrats Go Wild </t>
  </si>
  <si>
    <t>Undercover Brother </t>
  </si>
  <si>
    <t>The Sisterhood of the Traveling Pants </t>
  </si>
  <si>
    <t>Chris Nahon</t>
  </si>
  <si>
    <t>Kiss of the Dragon </t>
  </si>
  <si>
    <t>Fred Wolf</t>
  </si>
  <si>
    <t>The House Bunny </t>
  </si>
  <si>
    <t>Million Dollar Arm </t>
  </si>
  <si>
    <t>Drama|Romance|Sci-Fi</t>
  </si>
  <si>
    <t>The Giver </t>
  </si>
  <si>
    <t>What a Girl Wants </t>
  </si>
  <si>
    <t>Victor Salva</t>
  </si>
  <si>
    <t>Jeepers Creepers II </t>
  </si>
  <si>
    <t>Mark Helfrich</t>
  </si>
  <si>
    <t>Good Luck Chuck </t>
  </si>
  <si>
    <t>Cradle 2 the Grave </t>
  </si>
  <si>
    <t>The Hours </t>
  </si>
  <si>
    <t>She's the Man </t>
  </si>
  <si>
    <t>Steve Bendelack</t>
  </si>
  <si>
    <t>Mr. Bean's Holiday </t>
  </si>
  <si>
    <t>Dwight H. Little</t>
  </si>
  <si>
    <t>Anacondas: The Hunt for the Blood Orchid </t>
  </si>
  <si>
    <t>Guillaume Canet</t>
  </si>
  <si>
    <t>Blood Ties </t>
  </si>
  <si>
    <t>Kirsten Sheridan</t>
  </si>
  <si>
    <t>August Rush </t>
  </si>
  <si>
    <t>Elizabeth </t>
  </si>
  <si>
    <t>Comedy|Fantasy|Horror|Romance</t>
  </si>
  <si>
    <t>Bride of Chucky </t>
  </si>
  <si>
    <t>Richard Fleischer</t>
  </si>
  <si>
    <t>Tora! Tora! Tora! </t>
  </si>
  <si>
    <t>Bob Spiers</t>
  </si>
  <si>
    <t>Comedy|Family|Music</t>
  </si>
  <si>
    <t>Spice World </t>
  </si>
  <si>
    <t>Damien Dante Wayans</t>
  </si>
  <si>
    <t>Action|Comedy|Music</t>
  </si>
  <si>
    <t>Dance Flick </t>
  </si>
  <si>
    <t>The Shawshank Redemption </t>
  </si>
  <si>
    <t>Adventure|Comedy|Crime</t>
  </si>
  <si>
    <t>Crocodile Dundee in Los Angeles </t>
  </si>
  <si>
    <t>Kingpin </t>
  </si>
  <si>
    <t>The Gambler </t>
  </si>
  <si>
    <t>John Wells</t>
  </si>
  <si>
    <t>August: Osage County </t>
  </si>
  <si>
    <t>Nigel Cole</t>
  </si>
  <si>
    <t>A Lot Like Love </t>
  </si>
  <si>
    <t>Dexter Fletcher</t>
  </si>
  <si>
    <t>Biography|Comedy|Drama|Sport</t>
  </si>
  <si>
    <t>Eddie the Eagle </t>
  </si>
  <si>
    <t>He Got Game </t>
  </si>
  <si>
    <t>Jeremy Leven</t>
  </si>
  <si>
    <t>Don Juan DeMarco </t>
  </si>
  <si>
    <t>Dear John </t>
  </si>
  <si>
    <t>Sylvain White</t>
  </si>
  <si>
    <t>The Losers </t>
  </si>
  <si>
    <t>Troy Nixey</t>
  </si>
  <si>
    <t>Fantasy|Horror|Thriller</t>
  </si>
  <si>
    <t>Don't Be Afraid of the Dark </t>
  </si>
  <si>
    <t>Philip G. Atwell</t>
  </si>
  <si>
    <t>War </t>
  </si>
  <si>
    <t>Comedy|Drama|Romance|Thriller</t>
  </si>
  <si>
    <t>Punch-Drunk Love </t>
  </si>
  <si>
    <t>Jeff Schaffer</t>
  </si>
  <si>
    <t>EuroTrip </t>
  </si>
  <si>
    <t>Don Michael Paul</t>
  </si>
  <si>
    <t>Half Past Dead </t>
  </si>
  <si>
    <t>Adventure|Comedy|Family|Romance</t>
  </si>
  <si>
    <t>Unaccompanied Minors </t>
  </si>
  <si>
    <t>James Bridges</t>
  </si>
  <si>
    <t>Bright Lights, Big City </t>
  </si>
  <si>
    <t>Steve Barron</t>
  </si>
  <si>
    <t>Adventure|Family|Fantasy|Musical</t>
  </si>
  <si>
    <t>The Adventures of Pinocchio </t>
  </si>
  <si>
    <t>Italian</t>
  </si>
  <si>
    <t>Richard Kelly</t>
  </si>
  <si>
    <t>The Box </t>
  </si>
  <si>
    <t>Carter Smith</t>
  </si>
  <si>
    <t>The Ruins </t>
  </si>
  <si>
    <t>John Schlesinger</t>
  </si>
  <si>
    <t>The Next Best Thing </t>
  </si>
  <si>
    <t>My Soul to Take </t>
  </si>
  <si>
    <t>The Girl Next Door </t>
  </si>
  <si>
    <t>Ringo Lam</t>
  </si>
  <si>
    <t>Maximum Risk </t>
  </si>
  <si>
    <t>Bruce McCulloch</t>
  </si>
  <si>
    <t>Stealing Harvard </t>
  </si>
  <si>
    <t>Biography|Crime|Drama|History|Thriller</t>
  </si>
  <si>
    <t>Legend </t>
  </si>
  <si>
    <t>Shark Night 3D </t>
  </si>
  <si>
    <t>Angela's Ashes </t>
  </si>
  <si>
    <t>Draft Day </t>
  </si>
  <si>
    <t>Crime|Drama|History</t>
  </si>
  <si>
    <t>The Conspirator </t>
  </si>
  <si>
    <t>Lords of Dogtown </t>
  </si>
  <si>
    <t>Patricia Riggen</t>
  </si>
  <si>
    <t>The 33 </t>
  </si>
  <si>
    <t>Chile</t>
  </si>
  <si>
    <t>Big Trouble in Little China </t>
  </si>
  <si>
    <t>Warrior </t>
  </si>
  <si>
    <t>Biography|Drama|Thriller|War</t>
  </si>
  <si>
    <t>Michael Collins </t>
  </si>
  <si>
    <t>Gettysburg </t>
  </si>
  <si>
    <t>Stop-Loss </t>
  </si>
  <si>
    <t>Drama|Music|Mystery|Romance|Thriller</t>
  </si>
  <si>
    <t>Abandon </t>
  </si>
  <si>
    <t>Jonathan Kaplan</t>
  </si>
  <si>
    <t>Brokedown Palace </t>
  </si>
  <si>
    <t>Ole Bornedal</t>
  </si>
  <si>
    <t>The Possession </t>
  </si>
  <si>
    <t>Richard Benjamin</t>
  </si>
  <si>
    <t>Mrs. Winterbourne </t>
  </si>
  <si>
    <t>Straw Dogs </t>
  </si>
  <si>
    <t>The Hoax </t>
  </si>
  <si>
    <t>Craig R. Baxley</t>
  </si>
  <si>
    <t>Stone Cold </t>
  </si>
  <si>
    <t>John Hillcoat</t>
  </si>
  <si>
    <t>The Road </t>
  </si>
  <si>
    <t>Marcos Siega</t>
  </si>
  <si>
    <t>Underclassman </t>
  </si>
  <si>
    <t>Say It Isn't So </t>
  </si>
  <si>
    <t>The World's Fastest Indian </t>
  </si>
  <si>
    <t>Rachel Talalay</t>
  </si>
  <si>
    <t>Tank Girl </t>
  </si>
  <si>
    <t>Jeffrey W. Byrd</t>
  </si>
  <si>
    <t>King's Ransom </t>
  </si>
  <si>
    <t>Blindness </t>
  </si>
  <si>
    <t>Action|Adventure|Fantasy|Horror</t>
  </si>
  <si>
    <t>BloodRayne </t>
  </si>
  <si>
    <t>Atom Egoyan</t>
  </si>
  <si>
    <t>Where the Truth Lies </t>
  </si>
  <si>
    <t>Robert Towne</t>
  </si>
  <si>
    <t>Without Limits </t>
  </si>
  <si>
    <t>Me and Orson Welles </t>
  </si>
  <si>
    <t>Giuseppe Tornatore</t>
  </si>
  <si>
    <t>Crime|Drama|Mystery|Romance</t>
  </si>
  <si>
    <t>The Best Offer </t>
  </si>
  <si>
    <t>Werner Herzog</t>
  </si>
  <si>
    <t>Bad Lieutenant: Port of Call New Orleans </t>
  </si>
  <si>
    <t>Little White Lies </t>
  </si>
  <si>
    <t>Love Ranch </t>
  </si>
  <si>
    <t>The Counselor </t>
  </si>
  <si>
    <t>Teddy Chan</t>
  </si>
  <si>
    <t>Kung Fu Killer </t>
  </si>
  <si>
    <t>Dangerous Liaisons </t>
  </si>
  <si>
    <t>On the Road </t>
  </si>
  <si>
    <t>Leonard Nimoy</t>
  </si>
  <si>
    <t>Star Trek IV: The Voyage Home </t>
  </si>
  <si>
    <t>Rocky Balboa </t>
  </si>
  <si>
    <t>Scream 2 </t>
  </si>
  <si>
    <t>Action|Drama|Western</t>
  </si>
  <si>
    <t>Jane Got a Gun </t>
  </si>
  <si>
    <t>Think Like a Man Too </t>
  </si>
  <si>
    <t>The Whole Nine Yards </t>
  </si>
  <si>
    <t>Herbert Ross</t>
  </si>
  <si>
    <t>Footloose </t>
  </si>
  <si>
    <t>Old School </t>
  </si>
  <si>
    <t>The Fisher King </t>
  </si>
  <si>
    <t>I Still Know What You Did Last Summer </t>
  </si>
  <si>
    <t>Bonnie Hunt</t>
  </si>
  <si>
    <t>Return to Me </t>
  </si>
  <si>
    <t>Zack and Miri Make a Porno </t>
  </si>
  <si>
    <t>Neil LaBute</t>
  </si>
  <si>
    <t>Nurse Betty </t>
  </si>
  <si>
    <t>Grant Heslov</t>
  </si>
  <si>
    <t>Comedy|War</t>
  </si>
  <si>
    <t>The Men Who Stare at Goats </t>
  </si>
  <si>
    <t>George Gallo</t>
  </si>
  <si>
    <t>Double Take </t>
  </si>
  <si>
    <t>Girl, Interrupted </t>
  </si>
  <si>
    <t>Win a Date with Tad Hamilton! </t>
  </si>
  <si>
    <t>Adventure|Comedy|Family|Fantasy|Music|Sci-Fi</t>
  </si>
  <si>
    <t>Muppets from Space </t>
  </si>
  <si>
    <t>Sidney Lumet</t>
  </si>
  <si>
    <t>Adventure|Family|Fantasy|Music|Musical</t>
  </si>
  <si>
    <t>The Wiz </t>
  </si>
  <si>
    <t>Ready to Rumble </t>
  </si>
  <si>
    <t>Play It to the Bone </t>
  </si>
  <si>
    <t>Douglas McGrath</t>
  </si>
  <si>
    <t>I Don't Know How She Does It </t>
  </si>
  <si>
    <t>Piranha 3D </t>
  </si>
  <si>
    <t>Kevin Spacey</t>
  </si>
  <si>
    <t>Beyond the Sea </t>
  </si>
  <si>
    <t>Steve Boyum</t>
  </si>
  <si>
    <t>Meet the Deedles </t>
  </si>
  <si>
    <t>Richard Williams</t>
  </si>
  <si>
    <t>Action|Adventure|Animation|Comedy|Fantasy</t>
  </si>
  <si>
    <t>The Princess and the Cobbler </t>
  </si>
  <si>
    <t>Mary McGuckian</t>
  </si>
  <si>
    <t>The Bridge of San Luis Rey </t>
  </si>
  <si>
    <t>Faster </t>
  </si>
  <si>
    <t>Howl's Moving Castle </t>
  </si>
  <si>
    <t>Adventure|Comedy|Horror|Sci-Fi</t>
  </si>
  <si>
    <t>Zombieland </t>
  </si>
  <si>
    <t>The Waterboy </t>
  </si>
  <si>
    <t>Star Wars: Episode V - The Empire Strikes Back </t>
  </si>
  <si>
    <t>Bad Boys </t>
  </si>
  <si>
    <t>The Naked Gun 2½: The Smell of Fear </t>
  </si>
  <si>
    <t>Final Destination </t>
  </si>
  <si>
    <t>The Ides of March </t>
  </si>
  <si>
    <t>Horror|Sci-Fi</t>
  </si>
  <si>
    <t>Pitch Black </t>
  </si>
  <si>
    <t>Tony Goldwyn</t>
  </si>
  <si>
    <t>Someone Like You... </t>
  </si>
  <si>
    <t>Her </t>
  </si>
  <si>
    <t>Joy Ride </t>
  </si>
  <si>
    <t>Jonathan Newman</t>
  </si>
  <si>
    <t>The Adventurer: The Curse of the Midas Box </t>
  </si>
  <si>
    <t>Anywhere But Here </t>
  </si>
  <si>
    <t>Michael Dinner</t>
  </si>
  <si>
    <t>The Crew </t>
  </si>
  <si>
    <t>Haywire </t>
  </si>
  <si>
    <t>Joseph Sargent</t>
  </si>
  <si>
    <t>Jaws: The Revenge </t>
  </si>
  <si>
    <t>Jerry Zaks</t>
  </si>
  <si>
    <t>Marvin's Room </t>
  </si>
  <si>
    <t>Fred Durst</t>
  </si>
  <si>
    <t>Biography|Comedy|Drama|Family|Sport</t>
  </si>
  <si>
    <t>The Longshots </t>
  </si>
  <si>
    <t>The End of the Affair </t>
  </si>
  <si>
    <t>Action|Crime|Drama|Thriller|Western</t>
  </si>
  <si>
    <t>Harley Davidson and the Marlboro Man </t>
  </si>
  <si>
    <t>Anne Fontaine</t>
  </si>
  <si>
    <t>Coco Before Chanel </t>
  </si>
  <si>
    <t>Chéri </t>
  </si>
  <si>
    <t>Mira Nair</t>
  </si>
  <si>
    <t>Vanity Fair </t>
  </si>
  <si>
    <t>1408 </t>
  </si>
  <si>
    <t>Mel Brooks</t>
  </si>
  <si>
    <t>Spaceballs </t>
  </si>
  <si>
    <t>Russell Crowe</t>
  </si>
  <si>
    <t>The Water Diviner </t>
  </si>
  <si>
    <t>Drama|Fantasy|Romance|Thriller</t>
  </si>
  <si>
    <t>Ghost </t>
  </si>
  <si>
    <t>There's Something About Mary </t>
  </si>
  <si>
    <t>The Santa Clause </t>
  </si>
  <si>
    <t>The Rookie </t>
  </si>
  <si>
    <t>The Game Plan </t>
  </si>
  <si>
    <t>The Bridges of Madison County </t>
  </si>
  <si>
    <t>The Animal </t>
  </si>
  <si>
    <t>The Hundred-Foot Journey </t>
  </si>
  <si>
    <t>The Net </t>
  </si>
  <si>
    <t>Jessie Nelson</t>
  </si>
  <si>
    <t>I Am Sam </t>
  </si>
  <si>
    <t>Christopher Spencer</t>
  </si>
  <si>
    <t>Son of God </t>
  </si>
  <si>
    <t>Underworld </t>
  </si>
  <si>
    <t>Derailed </t>
  </si>
  <si>
    <t>The Informant! </t>
  </si>
  <si>
    <t>Shadowlands </t>
  </si>
  <si>
    <t>Mike Bigelow</t>
  </si>
  <si>
    <t>Deuce Bigalow: European Gigolo </t>
  </si>
  <si>
    <t>Delivery Man </t>
  </si>
  <si>
    <t>Saving Silverman </t>
  </si>
  <si>
    <t>Diary of a Wimpy Kid: Dog Days </t>
  </si>
  <si>
    <t>Summer of Sam </t>
  </si>
  <si>
    <t>Jay and Silent Bob Strike Back </t>
  </si>
  <si>
    <t>Daniel Sackheim</t>
  </si>
  <si>
    <t>The Glass House </t>
  </si>
  <si>
    <t>Comedy|Mystery</t>
  </si>
  <si>
    <t>Hail, Caesar! </t>
  </si>
  <si>
    <t>Harry Elfont</t>
  </si>
  <si>
    <t>Josie and the Pussycats </t>
  </si>
  <si>
    <t>Homefront </t>
  </si>
  <si>
    <t>Uli Edel</t>
  </si>
  <si>
    <t>The Little Vampire </t>
  </si>
  <si>
    <t>I Heart Huckabees </t>
  </si>
  <si>
    <t>Fred Dekker</t>
  </si>
  <si>
    <t>RoboCop 3 </t>
  </si>
  <si>
    <t>Brian Trenchard-Smith</t>
  </si>
  <si>
    <t>Megiddo: The Omega Code 2 </t>
  </si>
  <si>
    <t>Blake Edwards</t>
  </si>
  <si>
    <t>Comedy|Drama|Musical|Romance|War</t>
  </si>
  <si>
    <t>Darling Lili </t>
  </si>
  <si>
    <t>Dudley Do-Right </t>
  </si>
  <si>
    <t>The Transporter Refueled </t>
  </si>
  <si>
    <t>Black Book </t>
  </si>
  <si>
    <t>Dutch</t>
  </si>
  <si>
    <t>Netherlands</t>
  </si>
  <si>
    <t>Christian Carion</t>
  </si>
  <si>
    <t>Drama|History|Music|Romance|War</t>
  </si>
  <si>
    <t>Joyeux Noel </t>
  </si>
  <si>
    <t>David Palmer</t>
  </si>
  <si>
    <t>Hit and Run </t>
  </si>
  <si>
    <t>Mad Money </t>
  </si>
  <si>
    <t>Rowan Joffe</t>
  </si>
  <si>
    <t>Before I Go to Sleep </t>
  </si>
  <si>
    <t>John Curran</t>
  </si>
  <si>
    <t>Stone </t>
  </si>
  <si>
    <t>Laurent Tirard</t>
  </si>
  <si>
    <t>Comedy|History</t>
  </si>
  <si>
    <t>Molière </t>
  </si>
  <si>
    <t>Out of the Furnace </t>
  </si>
  <si>
    <t>Michael Clayton </t>
  </si>
  <si>
    <t>My Fellow Americans </t>
  </si>
  <si>
    <t>Arlington Road </t>
  </si>
  <si>
    <t>To Rome with Love </t>
  </si>
  <si>
    <t>Firefox </t>
  </si>
  <si>
    <t>Trey Parker</t>
  </si>
  <si>
    <t>Animation|Comedy|Fantasy|Musical</t>
  </si>
  <si>
    <t>South Park: Bigger Longer &amp; Uncut </t>
  </si>
  <si>
    <t>Death at a Funeral </t>
  </si>
  <si>
    <t>Stuart Gillard</t>
  </si>
  <si>
    <t>Teenage Mutant Ninja Turtles III </t>
  </si>
  <si>
    <t>Hardball </t>
  </si>
  <si>
    <t>Silver Linings Playbook </t>
  </si>
  <si>
    <t>Freedom Writers </t>
  </si>
  <si>
    <t>The Transporter </t>
  </si>
  <si>
    <t>Never Back Down </t>
  </si>
  <si>
    <t>Katt Shea</t>
  </si>
  <si>
    <t>The Rage: Carrie 2 </t>
  </si>
  <si>
    <t>Away We Go </t>
  </si>
  <si>
    <t>Joshua Michael Stern</t>
  </si>
  <si>
    <t>Swing Vote </t>
  </si>
  <si>
    <t>Moonlight Mile </t>
  </si>
  <si>
    <t>Tomas Alfredson</t>
  </si>
  <si>
    <t>Tinker Tailor Soldier Spy </t>
  </si>
  <si>
    <t>John Duigan</t>
  </si>
  <si>
    <t>Molly </t>
  </si>
  <si>
    <t>The Beaver </t>
  </si>
  <si>
    <t>Colin Higgins</t>
  </si>
  <si>
    <t>The Best Little Whorehouse in Texas </t>
  </si>
  <si>
    <t>eXistenZ </t>
  </si>
  <si>
    <t>Raiders of the Lost Ark </t>
  </si>
  <si>
    <t>Home Alone 2: Lost in New York </t>
  </si>
  <si>
    <t>Close Encounters of the Third Kind </t>
  </si>
  <si>
    <t>Jim Sonzero</t>
  </si>
  <si>
    <t>Pulse </t>
  </si>
  <si>
    <t>Beverly Hills Cop II </t>
  </si>
  <si>
    <t>Bringing Down the House </t>
  </si>
  <si>
    <t>The Silence of the Lambs </t>
  </si>
  <si>
    <t>Penelope Spheeris</t>
  </si>
  <si>
    <t>Wayne's World </t>
  </si>
  <si>
    <t>Jeff Tremaine</t>
  </si>
  <si>
    <t>Action|Comedy|Documentary</t>
  </si>
  <si>
    <t>Jackass 3D </t>
  </si>
  <si>
    <t>Jeannot Szwarc</t>
  </si>
  <si>
    <t>Jaws 2 </t>
  </si>
  <si>
    <t>Adventure|Comedy|Drama|Family|Romance</t>
  </si>
  <si>
    <t>Beverly Hills Chihuahua </t>
  </si>
  <si>
    <t>The Conjuring </t>
  </si>
  <si>
    <t>Are We There Yet? </t>
  </si>
  <si>
    <t>Tammy </t>
  </si>
  <si>
    <t>School of Rock </t>
  </si>
  <si>
    <t>Mortal Kombat </t>
  </si>
  <si>
    <t>White Chicks </t>
  </si>
  <si>
    <t>The Descendants </t>
  </si>
  <si>
    <t>Adventure|Comedy|Drama|Family|Mystery</t>
  </si>
  <si>
    <t>Holes </t>
  </si>
  <si>
    <t>Drama|Family|Music|Romance</t>
  </si>
  <si>
    <t>The Last Song </t>
  </si>
  <si>
    <t>Steve McQueen</t>
  </si>
  <si>
    <t>12 Years a Slave </t>
  </si>
  <si>
    <t>Drumline </t>
  </si>
  <si>
    <t>Why Did I Get Married Too? </t>
  </si>
  <si>
    <t>Fantasy|Romance</t>
  </si>
  <si>
    <t>Edward Scissorhands </t>
  </si>
  <si>
    <t>Thea Sharrock</t>
  </si>
  <si>
    <t>Me Before You </t>
  </si>
  <si>
    <t>Madea's Witness Protection </t>
  </si>
  <si>
    <t>Jon Lucas</t>
  </si>
  <si>
    <t>Bad Moms </t>
  </si>
  <si>
    <t>Aaron Seltzer</t>
  </si>
  <si>
    <t>Date Movie </t>
  </si>
  <si>
    <t>Robin Budd</t>
  </si>
  <si>
    <t>Return to Never Land </t>
  </si>
  <si>
    <t>Ava DuVernay</t>
  </si>
  <si>
    <t>Selma </t>
  </si>
  <si>
    <t>Steve Trenbirth</t>
  </si>
  <si>
    <t>Adventure|Animation|Family|Musical</t>
  </si>
  <si>
    <t>The Jungle Book 2 </t>
  </si>
  <si>
    <t>Boogeyman </t>
  </si>
  <si>
    <t>Mennan Yapo</t>
  </si>
  <si>
    <t>Premonition </t>
  </si>
  <si>
    <t>Jun Falkenstein</t>
  </si>
  <si>
    <t>Animation|Comedy|Drama|Family|Musical</t>
  </si>
  <si>
    <t>The Tigger Movie </t>
  </si>
  <si>
    <t>Max </t>
  </si>
  <si>
    <t>Epic Movie </t>
  </si>
  <si>
    <t>Tom McCarthy</t>
  </si>
  <si>
    <t>Biography|Crime|Drama|History</t>
  </si>
  <si>
    <t>Spotlight </t>
  </si>
  <si>
    <t>Lakeview Terrace </t>
  </si>
  <si>
    <t>Takashi Shimizu</t>
  </si>
  <si>
    <t>The Grudge 2 </t>
  </si>
  <si>
    <t>How Stella Got Her Groove Back </t>
  </si>
  <si>
    <t>Adventure|Comedy|Fantasy|Music|Sci-Fi</t>
  </si>
  <si>
    <t>Bill &amp; Ted's Bogus Journey </t>
  </si>
  <si>
    <t>Man of the Year </t>
  </si>
  <si>
    <t>Anton Corbijn</t>
  </si>
  <si>
    <t>The American </t>
  </si>
  <si>
    <t>Gregory Nava</t>
  </si>
  <si>
    <t>Selena </t>
  </si>
  <si>
    <t>Vampires Suck </t>
  </si>
  <si>
    <t>Babel </t>
  </si>
  <si>
    <t>This Is Where I Leave You </t>
  </si>
  <si>
    <t>John Patrick Shanley</t>
  </si>
  <si>
    <t>Doubt </t>
  </si>
  <si>
    <t>Team America: World Police </t>
  </si>
  <si>
    <t>Texas Chainsaw 3D </t>
  </si>
  <si>
    <t>Copycat </t>
  </si>
  <si>
    <t>Scary Movie 5 </t>
  </si>
  <si>
    <t>Milk </t>
  </si>
  <si>
    <t>Action|Adventure|Drama|Mystery</t>
  </si>
  <si>
    <t>Risen </t>
  </si>
  <si>
    <t>Steve Beck</t>
  </si>
  <si>
    <t>Ghost Ship </t>
  </si>
  <si>
    <t>Todd Strauss-Schulson</t>
  </si>
  <si>
    <t>A Very Harold &amp; Kumar 3D Christmas </t>
  </si>
  <si>
    <t>John McNaughton</t>
  </si>
  <si>
    <t>Wild Things </t>
  </si>
  <si>
    <t>The Debt </t>
  </si>
  <si>
    <t>High Fidelity </t>
  </si>
  <si>
    <t>Eric Valette</t>
  </si>
  <si>
    <t>One Missed Call </t>
  </si>
  <si>
    <t>Eye for an Eye </t>
  </si>
  <si>
    <t>The Bank Job </t>
  </si>
  <si>
    <t>Eternal Sunshine of the Spotless Mind </t>
  </si>
  <si>
    <t>You Again </t>
  </si>
  <si>
    <t>Street Kings </t>
  </si>
  <si>
    <t>The World's End </t>
  </si>
  <si>
    <t>Andrew Fleming</t>
  </si>
  <si>
    <t>Comedy|Crime|Family|Mystery|Romance|Thriller</t>
  </si>
  <si>
    <t>Nancy Drew </t>
  </si>
  <si>
    <t>Michael Spierig</t>
  </si>
  <si>
    <t>Daybreakers </t>
  </si>
  <si>
    <t>Jim Field Smith</t>
  </si>
  <si>
    <t>She's Out of My League </t>
  </si>
  <si>
    <t>Thomas Bezucha</t>
  </si>
  <si>
    <t>Monte Carlo </t>
  </si>
  <si>
    <t>Hungary</t>
  </si>
  <si>
    <t>William Brent Bell</t>
  </si>
  <si>
    <t>Stay Alive </t>
  </si>
  <si>
    <t>Action|Adventure|Drama|Romance|Western</t>
  </si>
  <si>
    <t>Quigley Down Under </t>
  </si>
  <si>
    <t>Anthony Bell</t>
  </si>
  <si>
    <t>Alpha and Omega </t>
  </si>
  <si>
    <t>The Covenant </t>
  </si>
  <si>
    <t>Shorts </t>
  </si>
  <si>
    <t>To Die For </t>
  </si>
  <si>
    <t>Henry Joost</t>
  </si>
  <si>
    <t>Adventure|Crime|Mystery|Sci-Fi|Thriller</t>
  </si>
  <si>
    <t>Nerve </t>
  </si>
  <si>
    <t>Vampires </t>
  </si>
  <si>
    <t>Alfred Hitchcock</t>
  </si>
  <si>
    <t>Psycho </t>
  </si>
  <si>
    <t>My Best Friend's Girl </t>
  </si>
  <si>
    <t>Shana Feste</t>
  </si>
  <si>
    <t>Endless Love </t>
  </si>
  <si>
    <t>Georgia Rule </t>
  </si>
  <si>
    <t>Steve Rash</t>
  </si>
  <si>
    <t>Under the Rainbow </t>
  </si>
  <si>
    <t>Simon Birch </t>
  </si>
  <si>
    <t>Mike Binder</t>
  </si>
  <si>
    <t>Reign Over Me </t>
  </si>
  <si>
    <t>Adventure|Biography|Drama</t>
  </si>
  <si>
    <t>Into the Wild </t>
  </si>
  <si>
    <t>School for Scoundrels </t>
  </si>
  <si>
    <t>Michael J. Bassett</t>
  </si>
  <si>
    <t>Adventure|Drama|Horror|Mystery|Thriller</t>
  </si>
  <si>
    <t>Silent Hill: Revelation 3D </t>
  </si>
  <si>
    <t>Crime|Fantasy|Horror</t>
  </si>
  <si>
    <t>From Dusk Till Dawn </t>
  </si>
  <si>
    <t>Frank Nissen</t>
  </si>
  <si>
    <t>Animation|Family|Fantasy|Mystery</t>
  </si>
  <si>
    <t>Pooh's Heffalump Movie </t>
  </si>
  <si>
    <t>Home for the Holidays </t>
  </si>
  <si>
    <t>Stephen Chow</t>
  </si>
  <si>
    <t>Action|Comedy|Crime|Fantasy</t>
  </si>
  <si>
    <t>Kung Fu Hustle </t>
  </si>
  <si>
    <t>Peter Hastings</t>
  </si>
  <si>
    <t>Comedy|Family|Music|Musical</t>
  </si>
  <si>
    <t>The Country Bears </t>
  </si>
  <si>
    <t>The Kite Runner </t>
  </si>
  <si>
    <t>Dari</t>
  </si>
  <si>
    <t>21 Grams </t>
  </si>
  <si>
    <t>Paul Abascal</t>
  </si>
  <si>
    <t>Paparazzi </t>
  </si>
  <si>
    <t>Chris Koch</t>
  </si>
  <si>
    <t>A Guy Thing </t>
  </si>
  <si>
    <t>Amy Heckerling</t>
  </si>
  <si>
    <t>Loser </t>
  </si>
  <si>
    <t>George Stevens</t>
  </si>
  <si>
    <t>The Greatest Story Ever Told </t>
  </si>
  <si>
    <t>Disaster Movie </t>
  </si>
  <si>
    <t>Armored </t>
  </si>
  <si>
    <t>The Man Who Knew Too Little </t>
  </si>
  <si>
    <t>Mark Mylod</t>
  </si>
  <si>
    <t>What's Your Number? </t>
  </si>
  <si>
    <t>James Mather</t>
  </si>
  <si>
    <t>Lockout </t>
  </si>
  <si>
    <t>Envy </t>
  </si>
  <si>
    <t>Crank: High Voltage </t>
  </si>
  <si>
    <t>Bullets Over Broadway </t>
  </si>
  <si>
    <t>Michael O. Sajbel</t>
  </si>
  <si>
    <t>One Night with the King </t>
  </si>
  <si>
    <t>Drama|Mystery|Romance|Thriller|War</t>
  </si>
  <si>
    <t>The Quiet American </t>
  </si>
  <si>
    <t>The Weather Man </t>
  </si>
  <si>
    <t>Action|Crime|Drama|Sport</t>
  </si>
  <si>
    <t>Undisputed </t>
  </si>
  <si>
    <t>Ghost Town </t>
  </si>
  <si>
    <t>12 Rounds </t>
  </si>
  <si>
    <t>Drama|Fantasy|Horror|Mystery</t>
  </si>
  <si>
    <t>Let Me In </t>
  </si>
  <si>
    <t>Charles T. Kanganis</t>
  </si>
  <si>
    <t>3 Ninjas Kick Back </t>
  </si>
  <si>
    <t>Be Kind Rewind </t>
  </si>
  <si>
    <t>Comedy|Drama|Music|War</t>
  </si>
  <si>
    <t>Mrs Henderson Presents </t>
  </si>
  <si>
    <t>Triple 9 </t>
  </si>
  <si>
    <t>Deconstructing Harry </t>
  </si>
  <si>
    <t>Damon Santostefano</t>
  </si>
  <si>
    <t>Three to Tango </t>
  </si>
  <si>
    <t>Burnt </t>
  </si>
  <si>
    <t>We're No Angels </t>
  </si>
  <si>
    <t>Comedy|Musical|Romance</t>
  </si>
  <si>
    <t>Everyone Says I Love You </t>
  </si>
  <si>
    <t>Death Sentence </t>
  </si>
  <si>
    <t>Everybody's Fine </t>
  </si>
  <si>
    <t>Bob Clark</t>
  </si>
  <si>
    <t>Superbabies: Baby Geniuses 2 </t>
  </si>
  <si>
    <t>The Man </t>
  </si>
  <si>
    <t>Code Name: The Cleaner </t>
  </si>
  <si>
    <t>Connie and Carla </t>
  </si>
  <si>
    <t>Comedy|Crime|Drama|Mystery|Romance</t>
  </si>
  <si>
    <t>Inherent Vice </t>
  </si>
  <si>
    <t>Dave Borthwick</t>
  </si>
  <si>
    <t>Doogal </t>
  </si>
  <si>
    <t>Benson Lee</t>
  </si>
  <si>
    <t>Battle of the Year </t>
  </si>
  <si>
    <t>An American Carol </t>
  </si>
  <si>
    <t>Machete Kills </t>
  </si>
  <si>
    <t>Russia</t>
  </si>
  <si>
    <t>Glen Morgan</t>
  </si>
  <si>
    <t>Willard </t>
  </si>
  <si>
    <t>Strange Wilderness </t>
  </si>
  <si>
    <t>Mike Leigh</t>
  </si>
  <si>
    <t>Biography|Comedy|Drama|History|Music|Musical</t>
  </si>
  <si>
    <t>Topsy-Turvy </t>
  </si>
  <si>
    <t>Alejandro Monteverde</t>
  </si>
  <si>
    <t>Little Boy </t>
  </si>
  <si>
    <t>Mexico</t>
  </si>
  <si>
    <t>A Dangerous Method </t>
  </si>
  <si>
    <t>Animation|Drama|Mystery|Sci-Fi|Thriller</t>
  </si>
  <si>
    <t>A Scanner Darkly </t>
  </si>
  <si>
    <t>Chasing Mavericks </t>
  </si>
  <si>
    <t>Alone in the Dark </t>
  </si>
  <si>
    <t>Bandslam </t>
  </si>
  <si>
    <t>Jonathan Glazer</t>
  </si>
  <si>
    <t>Birth </t>
  </si>
  <si>
    <t>J.C. Chandor</t>
  </si>
  <si>
    <t>A Most Violent Year </t>
  </si>
  <si>
    <t>Marc Abraham</t>
  </si>
  <si>
    <t>Flash of Genius </t>
  </si>
  <si>
    <t>Todd Haynes</t>
  </si>
  <si>
    <t>I'm Not There. </t>
  </si>
  <si>
    <t>Mabrouk El Mechri</t>
  </si>
  <si>
    <t>The Cold Light of Day </t>
  </si>
  <si>
    <t>Adventure|Comedy|Drama|Romance</t>
  </si>
  <si>
    <t>The Brothers Bloom </t>
  </si>
  <si>
    <t>Charlie Kaufman</t>
  </si>
  <si>
    <t>Synecdoche, New York </t>
  </si>
  <si>
    <t>Adventure|Animation|Fantasy</t>
  </si>
  <si>
    <t>Princess Mononoke </t>
  </si>
  <si>
    <t>Jean-Paul Rappeneau</t>
  </si>
  <si>
    <t>Comedy|Drama|Mystery|Romance|Thriller|War</t>
  </si>
  <si>
    <t>Bon voyage </t>
  </si>
  <si>
    <t>Nancy Walker</t>
  </si>
  <si>
    <t>Biography|Comedy|Musical</t>
  </si>
  <si>
    <t>Can't Stop the Music </t>
  </si>
  <si>
    <t>Crime|Drama|Western</t>
  </si>
  <si>
    <t>The Proposition </t>
  </si>
  <si>
    <t>Angelo Pizzo</t>
  </si>
  <si>
    <t>Courage </t>
  </si>
  <si>
    <t>Marci X </t>
  </si>
  <si>
    <t>Equilibrium </t>
  </si>
  <si>
    <t>The Children of Huang Shi </t>
  </si>
  <si>
    <t>The Yards </t>
  </si>
  <si>
    <t>Matthew Diamond</t>
  </si>
  <si>
    <t>The Oogieloves in the Big Balloon Adventure </t>
  </si>
  <si>
    <t>By the Sea </t>
  </si>
  <si>
    <t>Katsuhiro Ôtomo</t>
  </si>
  <si>
    <t>Action|Adventure|Animation|Family|Sci-Fi|Thriller</t>
  </si>
  <si>
    <t>Steamboy </t>
  </si>
  <si>
    <t>David Anspaugh</t>
  </si>
  <si>
    <t>The Game of Their Lives </t>
  </si>
  <si>
    <t>Rapa Nui </t>
  </si>
  <si>
    <t>Comedy|Family|Fantasy|Sci-Fi</t>
  </si>
  <si>
    <t>Les couloirs du temps: Les visiteurs II </t>
  </si>
  <si>
    <t>Action|Comedy|Crime|Fantasy|Horror|Mystery|Sci-Fi|Thriller</t>
  </si>
  <si>
    <t>Dylan Dog: Dead of Night </t>
  </si>
  <si>
    <t>Daniel Algrant</t>
  </si>
  <si>
    <t>Crime|Drama|Mystery</t>
  </si>
  <si>
    <t>People I Know </t>
  </si>
  <si>
    <t>The Tempest </t>
  </si>
  <si>
    <t>The Painted Veil </t>
  </si>
  <si>
    <t>The Baader Meinhof Complex </t>
  </si>
  <si>
    <t>German</t>
  </si>
  <si>
    <t>Dances with Wolves </t>
  </si>
  <si>
    <t>Bad Teacher </t>
  </si>
  <si>
    <t>Sea of Love </t>
  </si>
  <si>
    <t>Mark Rosman</t>
  </si>
  <si>
    <t>A Cinderella Story </t>
  </si>
  <si>
    <t>Scream </t>
  </si>
  <si>
    <t>Thir13en Ghosts </t>
  </si>
  <si>
    <t>Back to the Future </t>
  </si>
  <si>
    <t>House on Haunted Hill </t>
  </si>
  <si>
    <t>I Can Do Bad All by Myself </t>
  </si>
  <si>
    <t>The Switch </t>
  </si>
  <si>
    <t>Just Married </t>
  </si>
  <si>
    <t>The Devil's Double </t>
  </si>
  <si>
    <t>Britt Allcroft</t>
  </si>
  <si>
    <t>Thomas and the Magic Railroad </t>
  </si>
  <si>
    <t>The Crazies </t>
  </si>
  <si>
    <t>Spirited Away </t>
  </si>
  <si>
    <t>The Bounty </t>
  </si>
  <si>
    <t>Brian Percival</t>
  </si>
  <si>
    <t>The Book Thief </t>
  </si>
  <si>
    <t>Adventure|Comedy|Romance</t>
  </si>
  <si>
    <t>Sex Drive </t>
  </si>
  <si>
    <t>Anand Tucker</t>
  </si>
  <si>
    <t>Leap Year </t>
  </si>
  <si>
    <t>Michael Dowse</t>
  </si>
  <si>
    <t>Take Me Home Tonight </t>
  </si>
  <si>
    <t>Emile Ardolino</t>
  </si>
  <si>
    <t>Family|Fantasy|Music</t>
  </si>
  <si>
    <t>The Nutcracker </t>
  </si>
  <si>
    <t>Robert Altman</t>
  </si>
  <si>
    <t>Crime|Drama|Music|Thriller</t>
  </si>
  <si>
    <t>Kansas City </t>
  </si>
  <si>
    <t>Andrew Douglas</t>
  </si>
  <si>
    <t>The Amityville Horror </t>
  </si>
  <si>
    <t>Adaptation. </t>
  </si>
  <si>
    <t>George A. Romero</t>
  </si>
  <si>
    <t>Land of the Dead </t>
  </si>
  <si>
    <t>Fear and Loathing in Las Vegas </t>
  </si>
  <si>
    <t>Ricky Gervais</t>
  </si>
  <si>
    <t>The Invention of Lying </t>
  </si>
  <si>
    <t>Neighbors </t>
  </si>
  <si>
    <t>The Mask </t>
  </si>
  <si>
    <t>Big </t>
  </si>
  <si>
    <t>Borat: Cultural Learnings of America for Make Benefit Glorious Nation of Kazakhstan </t>
  </si>
  <si>
    <t>Legally Blonde </t>
  </si>
  <si>
    <t>Star Trek III: The Search for Spock </t>
  </si>
  <si>
    <t>The Exorcism of Emily Rose </t>
  </si>
  <si>
    <t>Deuce Bigalow: Male Gigolo </t>
  </si>
  <si>
    <t>Vic Armstrong</t>
  </si>
  <si>
    <t>Action|Drama|Fantasy|Mystery|Thriller</t>
  </si>
  <si>
    <t>Left Behind </t>
  </si>
  <si>
    <t>The Family Stone </t>
  </si>
  <si>
    <t>Barbershop 2: Back in Business </t>
  </si>
  <si>
    <t>Terry Zwigoff</t>
  </si>
  <si>
    <t>Bad Santa </t>
  </si>
  <si>
    <t>Austin Powers: International Man of Mystery </t>
  </si>
  <si>
    <t>My Big Fat Greek Wedding 2 </t>
  </si>
  <si>
    <t>Diary of a Wimpy Kid: Rodrick Rules </t>
  </si>
  <si>
    <t>Predator </t>
  </si>
  <si>
    <t>Biography|Drama|History|Music</t>
  </si>
  <si>
    <t>Amadeus </t>
  </si>
  <si>
    <t>Nelson McCormick</t>
  </si>
  <si>
    <t>Prom Night </t>
  </si>
  <si>
    <t>Mean Girls </t>
  </si>
  <si>
    <t>Audrey Wells</t>
  </si>
  <si>
    <t>Under the Tuscan Sun </t>
  </si>
  <si>
    <t>Gosford Park </t>
  </si>
  <si>
    <t>Peggy Sue Got Married </t>
  </si>
  <si>
    <t>Birdman or (The Unexpected Virtue of Ignorance) </t>
  </si>
  <si>
    <t>Blue Jasmine </t>
  </si>
  <si>
    <t>United 93 </t>
  </si>
  <si>
    <t>Bille Woodruff</t>
  </si>
  <si>
    <t>Honey </t>
  </si>
  <si>
    <t>Rick Friedberg</t>
  </si>
  <si>
    <t>Spy Hard </t>
  </si>
  <si>
    <t>The Fog </t>
  </si>
  <si>
    <t>Sean McNamara</t>
  </si>
  <si>
    <t>Biography|Drama|Family|Sport</t>
  </si>
  <si>
    <t>Soul Surfer </t>
  </si>
  <si>
    <t>Jody Hill</t>
  </si>
  <si>
    <t>Observe and Report </t>
  </si>
  <si>
    <t>Conan the Destroyer </t>
  </si>
  <si>
    <t>Raging Bull </t>
  </si>
  <si>
    <t>Brandon Camp</t>
  </si>
  <si>
    <t>Love Happens </t>
  </si>
  <si>
    <t>Adventure|Fantasy|Mystery|Thriller</t>
  </si>
  <si>
    <t>Young Sherlock Holmes </t>
  </si>
  <si>
    <t>Kevin Tancharoen</t>
  </si>
  <si>
    <t>Fame </t>
  </si>
  <si>
    <t>127 Hours </t>
  </si>
  <si>
    <t>Small Time Crooks </t>
  </si>
  <si>
    <t>Nicholas Hytner</t>
  </si>
  <si>
    <t>Center Stage </t>
  </si>
  <si>
    <t>Love the Coopers </t>
  </si>
  <si>
    <t>Bart Freundlich</t>
  </si>
  <si>
    <t>Catch That Kid </t>
  </si>
  <si>
    <t>Life as a House </t>
  </si>
  <si>
    <t>Steve Jobs </t>
  </si>
  <si>
    <t>I Love You, Beth Cooper </t>
  </si>
  <si>
    <t>Youth in Revolt </t>
  </si>
  <si>
    <t>William A. Fraker</t>
  </si>
  <si>
    <t>The Legend of the Lone Ranger </t>
  </si>
  <si>
    <t>John Boorman</t>
  </si>
  <si>
    <t>The Tailor of Panama </t>
  </si>
  <si>
    <t>Courtney Solomon</t>
  </si>
  <si>
    <t>Getaway </t>
  </si>
  <si>
    <t>The Ice Storm </t>
  </si>
  <si>
    <t>And So It Goes </t>
  </si>
  <si>
    <t>Jeff Kanew</t>
  </si>
  <si>
    <t>Troop Beverly Hills </t>
  </si>
  <si>
    <t>István Szabó</t>
  </si>
  <si>
    <t>Being Julia </t>
  </si>
  <si>
    <t>9½ Weeks </t>
  </si>
  <si>
    <t>Matthew Robbins</t>
  </si>
  <si>
    <t>Dragonslayer </t>
  </si>
  <si>
    <t>The Last Station </t>
  </si>
  <si>
    <t>Ed Wood </t>
  </si>
  <si>
    <t>Labor Day </t>
  </si>
  <si>
    <t>Mongol: The Rise of Genghis Khan </t>
  </si>
  <si>
    <t>Mongolian</t>
  </si>
  <si>
    <t>RocknRolla </t>
  </si>
  <si>
    <t>Hal Needham</t>
  </si>
  <si>
    <t>Megaforce </t>
  </si>
  <si>
    <t>Hamlet </t>
  </si>
  <si>
    <t>Jeff Nichols</t>
  </si>
  <si>
    <t>Midnight Special </t>
  </si>
  <si>
    <t>Greece</t>
  </si>
  <si>
    <t>Anything Else </t>
  </si>
  <si>
    <t>Jonathan Teplitzky</t>
  </si>
  <si>
    <t>Biography|Drama|Romance|War</t>
  </si>
  <si>
    <t>The Railway Man </t>
  </si>
  <si>
    <t>Michael Haneke</t>
  </si>
  <si>
    <t>The White Ribbon </t>
  </si>
  <si>
    <t>Mike Marvin</t>
  </si>
  <si>
    <t>Action|Horror|Romance|Sci-Fi|Thriller</t>
  </si>
  <si>
    <t>The Wraith </t>
  </si>
  <si>
    <t>The Salton Sea </t>
  </si>
  <si>
    <t>Lance Hool</t>
  </si>
  <si>
    <t>Action|Drama|History|Romance|War|Western</t>
  </si>
  <si>
    <t>One Man's Hero </t>
  </si>
  <si>
    <t>Christian Volckman</t>
  </si>
  <si>
    <t>Action|Animation|Sci-Fi|Thriller</t>
  </si>
  <si>
    <t>Renaissance </t>
  </si>
  <si>
    <t>Superbad </t>
  </si>
  <si>
    <t>Step Up 2: The Streets </t>
  </si>
  <si>
    <t>Cory Edwards</t>
  </si>
  <si>
    <t>Action|Animation|Comedy|Crime|Family</t>
  </si>
  <si>
    <t>Hoodwinked! </t>
  </si>
  <si>
    <t>Terry George</t>
  </si>
  <si>
    <t>Hotel Rwanda </t>
  </si>
  <si>
    <t>Xavier Gens</t>
  </si>
  <si>
    <t>Hitman </t>
  </si>
  <si>
    <t>Kasi Lemmons</t>
  </si>
  <si>
    <t>Drama|Family|Music|Musical</t>
  </si>
  <si>
    <t>Black Nativity </t>
  </si>
  <si>
    <t>Matt Dillon</t>
  </si>
  <si>
    <t>City of Ghosts </t>
  </si>
  <si>
    <t>The Others </t>
  </si>
  <si>
    <t>Aliens </t>
  </si>
  <si>
    <t>George Cukor</t>
  </si>
  <si>
    <t>Drama|Family|Musical|Romance</t>
  </si>
  <si>
    <t>My Fair Lady </t>
  </si>
  <si>
    <t>Jim Gillespie</t>
  </si>
  <si>
    <t>I Know What You Did Last Summer </t>
  </si>
  <si>
    <t>Let's Be Cops </t>
  </si>
  <si>
    <t>Sideways </t>
  </si>
  <si>
    <t>Beerfest </t>
  </si>
  <si>
    <t>Halloween </t>
  </si>
  <si>
    <t>John Hoffman</t>
  </si>
  <si>
    <t>Comedy|Drama|Family|Fantasy|Sci-Fi</t>
  </si>
  <si>
    <t>Good Boy! </t>
  </si>
  <si>
    <t>The Best Man Holiday </t>
  </si>
  <si>
    <t>Smokin' Aces </t>
  </si>
  <si>
    <t>Kevin Greutert</t>
  </si>
  <si>
    <t>Saw 3D: The Final Chapter </t>
  </si>
  <si>
    <t>40 Days and 40 Nights </t>
  </si>
  <si>
    <t>John Fortenberry</t>
  </si>
  <si>
    <t>Comedy|Music|Romance</t>
  </si>
  <si>
    <t>A Night at the Roxbury </t>
  </si>
  <si>
    <t>Daniel Barnz</t>
  </si>
  <si>
    <t>Beastly </t>
  </si>
  <si>
    <t>The Hills Have Eyes </t>
  </si>
  <si>
    <t>Dickie Roberts: Former Child Star </t>
  </si>
  <si>
    <t>McFarland, USA </t>
  </si>
  <si>
    <t>Jason Moore</t>
  </si>
  <si>
    <t>Pitch Perfect </t>
  </si>
  <si>
    <t>Summer Catch </t>
  </si>
  <si>
    <t>A Simple Plan </t>
  </si>
  <si>
    <t>Robert Harmon</t>
  </si>
  <si>
    <t>They </t>
  </si>
  <si>
    <t>Trent Cooper</t>
  </si>
  <si>
    <t>Larry the Cable Guy: Health Inspector </t>
  </si>
  <si>
    <t>Gary Halvorson</t>
  </si>
  <si>
    <t>Adventure|Comedy|Family|Fantasy|Musical</t>
  </si>
  <si>
    <t>The Adventures of Elmo in Grouchland </t>
  </si>
  <si>
    <t>Brooklyn's Finest </t>
  </si>
  <si>
    <t>Fede Alvarez</t>
  </si>
  <si>
    <t>Evil Dead </t>
  </si>
  <si>
    <t>My Life in Ruins </t>
  </si>
  <si>
    <t>American Dreamz </t>
  </si>
  <si>
    <t>Sidney J. Furie</t>
  </si>
  <si>
    <t>Superman IV: The Quest for Peace </t>
  </si>
  <si>
    <t>Wayne Kramer</t>
  </si>
  <si>
    <t>Running Scared </t>
  </si>
  <si>
    <t>Jim Goddard</t>
  </si>
  <si>
    <t>Adventure|Crime|Drama|Romance</t>
  </si>
  <si>
    <t>Shanghai Surprise </t>
  </si>
  <si>
    <t>The Illusionist </t>
  </si>
  <si>
    <t>Noel Marshall</t>
  </si>
  <si>
    <t>Roar </t>
  </si>
  <si>
    <t>Veronica Guerin </t>
  </si>
  <si>
    <t>Andrea Di Stefano</t>
  </si>
  <si>
    <t>Escobar: Paradise Lost </t>
  </si>
  <si>
    <t>Comedy|Mystery|Sci-Fi|Thriller</t>
  </si>
  <si>
    <t>Southland Tales </t>
  </si>
  <si>
    <t>Todd Lincoln</t>
  </si>
  <si>
    <t>The Apparition </t>
  </si>
  <si>
    <t>Howard Zieff</t>
  </si>
  <si>
    <t>My Girl </t>
  </si>
  <si>
    <t>Steven Shainberg</t>
  </si>
  <si>
    <t>Fur: An Imaginary Portrait of Diane Arbus </t>
  </si>
  <si>
    <t>Wall Street </t>
  </si>
  <si>
    <t>Sense and Sensibility </t>
  </si>
  <si>
    <t>Julian Jarrold</t>
  </si>
  <si>
    <t>Becoming Jane </t>
  </si>
  <si>
    <t>Joe Nussbaum</t>
  </si>
  <si>
    <t>Sydney White </t>
  </si>
  <si>
    <t>Vadim Perelman</t>
  </si>
  <si>
    <t>House of Sand and Fog </t>
  </si>
  <si>
    <t>Dead Poets Society </t>
  </si>
  <si>
    <t>Peter Farrelly</t>
  </si>
  <si>
    <t>Dumb &amp; Dumber </t>
  </si>
  <si>
    <t>When Harry Met Sally... </t>
  </si>
  <si>
    <t>The Verdict </t>
  </si>
  <si>
    <t>Road Trip </t>
  </si>
  <si>
    <t>Varsity Blues </t>
  </si>
  <si>
    <t>Michel Hazanavicius</t>
  </si>
  <si>
    <t>The Artist </t>
  </si>
  <si>
    <t>The Unborn </t>
  </si>
  <si>
    <t>Moonrise Kingdom </t>
  </si>
  <si>
    <t>The Texas Chainsaw Massacre: The Beginning </t>
  </si>
  <si>
    <t>Cyrus Nowrasteh</t>
  </si>
  <si>
    <t>The Young Messiah </t>
  </si>
  <si>
    <t>Perry Andelin Blake</t>
  </si>
  <si>
    <t>The Master of Disguise </t>
  </si>
  <si>
    <t>Drama|Fantasy|War</t>
  </si>
  <si>
    <t>Pan's Labyrinth </t>
  </si>
  <si>
    <t>Action|Comedy|Crime|Family</t>
  </si>
  <si>
    <t>See Spot Run </t>
  </si>
  <si>
    <t>Baby Boy </t>
  </si>
  <si>
    <t>Christian E. Christiansen</t>
  </si>
  <si>
    <t>The Roommate </t>
  </si>
  <si>
    <t>Joe Dirt </t>
  </si>
  <si>
    <t>Sheldon Lettich</t>
  </si>
  <si>
    <t>Double Impact </t>
  </si>
  <si>
    <t>Action|Comedy|Mystery</t>
  </si>
  <si>
    <t>Hot Fuzz </t>
  </si>
  <si>
    <t>Diane English</t>
  </si>
  <si>
    <t>The Women </t>
  </si>
  <si>
    <t>Vicky Cristina Barcelona </t>
  </si>
  <si>
    <t>Robert Iscove</t>
  </si>
  <si>
    <t>Boys and Girls </t>
  </si>
  <si>
    <t>Peter Kosminsky</t>
  </si>
  <si>
    <t>White Oleander </t>
  </si>
  <si>
    <t>Jennifer's Body </t>
  </si>
  <si>
    <t>Nick Gomez</t>
  </si>
  <si>
    <t>Comedy|Crime|Mystery</t>
  </si>
  <si>
    <t>Drowning Mona </t>
  </si>
  <si>
    <t>Radio Days </t>
  </si>
  <si>
    <t>Allen Coulter</t>
  </si>
  <si>
    <t>Remember Me </t>
  </si>
  <si>
    <t>Clare Kilner</t>
  </si>
  <si>
    <t>How to Deal </t>
  </si>
  <si>
    <t>My Stepmother Is an Alien </t>
  </si>
  <si>
    <t>Philadelphia </t>
  </si>
  <si>
    <t>Josef Rusnak</t>
  </si>
  <si>
    <t>The Thirteenth Floor </t>
  </si>
  <si>
    <t>Bruce Paltrow</t>
  </si>
  <si>
    <t>Duets </t>
  </si>
  <si>
    <t>Hollywood Ending </t>
  </si>
  <si>
    <t>Adam Rifkin</t>
  </si>
  <si>
    <t>Detroit Rock City </t>
  </si>
  <si>
    <t>Highlander </t>
  </si>
  <si>
    <t>Susanne Bier</t>
  </si>
  <si>
    <t>Things We Lost in the Fire </t>
  </si>
  <si>
    <t>Kenneth Johnson</t>
  </si>
  <si>
    <t>Action|Crime|Sci-Fi</t>
  </si>
  <si>
    <t>Steel </t>
  </si>
  <si>
    <t>The Immigrant </t>
  </si>
  <si>
    <t>James Ivory</t>
  </si>
  <si>
    <t>The White Countess </t>
  </si>
  <si>
    <t>Trance </t>
  </si>
  <si>
    <t>Jessy Terrero</t>
  </si>
  <si>
    <t>Soul Plane </t>
  </si>
  <si>
    <t>Vicente Amorim</t>
  </si>
  <si>
    <t>Good </t>
  </si>
  <si>
    <t>Gaspar Noé</t>
  </si>
  <si>
    <t>Enter the Void </t>
  </si>
  <si>
    <t>Vamps </t>
  </si>
  <si>
    <t>Tommy Lee Jones</t>
  </si>
  <si>
    <t>The Homesman </t>
  </si>
  <si>
    <t>Jesse Vaughan</t>
  </si>
  <si>
    <t>Juwanna Mann </t>
  </si>
  <si>
    <t>Wayne Beach</t>
  </si>
  <si>
    <t>Slow Burn </t>
  </si>
  <si>
    <t>Gérard Krawczyk</t>
  </si>
  <si>
    <t>Wasabi </t>
  </si>
  <si>
    <t>Comedy|Horror|Sci-Fi</t>
  </si>
  <si>
    <t>Slither </t>
  </si>
  <si>
    <t>Beverly Hills Cop </t>
  </si>
  <si>
    <t>Home Alone </t>
  </si>
  <si>
    <t>3 Men and a Baby </t>
  </si>
  <si>
    <t>Tootsie </t>
  </si>
  <si>
    <t>Top Gun </t>
  </si>
  <si>
    <t>Crouching Tiger, Hidden Dragon </t>
  </si>
  <si>
    <t>Taiwan</t>
  </si>
  <si>
    <t>American Beauty </t>
  </si>
  <si>
    <t>The King's Speech </t>
  </si>
  <si>
    <t>Twins </t>
  </si>
  <si>
    <t>Udayan Prasad</t>
  </si>
  <si>
    <t>The Yellow Handkerchief </t>
  </si>
  <si>
    <t>The Color Purple </t>
  </si>
  <si>
    <t>Morten Tyldum</t>
  </si>
  <si>
    <t>The Imitation Game </t>
  </si>
  <si>
    <t>Private Benjamin </t>
  </si>
  <si>
    <t>Diary of a Wimpy Kid </t>
  </si>
  <si>
    <t>Andrés Muschietti</t>
  </si>
  <si>
    <t>Mama </t>
  </si>
  <si>
    <t>National Lampoon's Vacation </t>
  </si>
  <si>
    <t>Bad Grandpa </t>
  </si>
  <si>
    <t>The Queen </t>
  </si>
  <si>
    <t>Beetlejuice </t>
  </si>
  <si>
    <t>Why Did I Get Married? </t>
  </si>
  <si>
    <t>Gillian Armstrong</t>
  </si>
  <si>
    <t>Drama|Family|Romance</t>
  </si>
  <si>
    <t>Little Women </t>
  </si>
  <si>
    <t>James Watkins</t>
  </si>
  <si>
    <t>The Woman in Black </t>
  </si>
  <si>
    <t>When a Stranger Calls </t>
  </si>
  <si>
    <t>Big Fat Liar </t>
  </si>
  <si>
    <t>Wag the Dog </t>
  </si>
  <si>
    <t>Jim Fall</t>
  </si>
  <si>
    <t>Adventure|Comedy|Family|Music|Romance</t>
  </si>
  <si>
    <t>The Lizzie McGuire Movie </t>
  </si>
  <si>
    <t>Ric Roman Waugh</t>
  </si>
  <si>
    <t>Snitch </t>
  </si>
  <si>
    <t>Michael Dougherty</t>
  </si>
  <si>
    <t>Krampus </t>
  </si>
  <si>
    <t>The Faculty </t>
  </si>
  <si>
    <t>Cop Land </t>
  </si>
  <si>
    <t>Joel Gallen</t>
  </si>
  <si>
    <t>Not Another Teen Movie </t>
  </si>
  <si>
    <t>End of Watch </t>
  </si>
  <si>
    <t>The Skulls </t>
  </si>
  <si>
    <t>James Marsh</t>
  </si>
  <si>
    <t>The Theory of Everything </t>
  </si>
  <si>
    <t>Malibu's Most Wanted </t>
  </si>
  <si>
    <t>Matt Williams</t>
  </si>
  <si>
    <t>Where the Heart Is </t>
  </si>
  <si>
    <t>Lawrence of Arabia </t>
  </si>
  <si>
    <t>Rob Zombie</t>
  </si>
  <si>
    <t>Halloween II </t>
  </si>
  <si>
    <t>Wild </t>
  </si>
  <si>
    <t>Dennis Iliadis</t>
  </si>
  <si>
    <t>The Last House on the Left </t>
  </si>
  <si>
    <t>The Wedding Date </t>
  </si>
  <si>
    <t>Rick Rosenthal</t>
  </si>
  <si>
    <t>Comedy|Horror|Thriller</t>
  </si>
  <si>
    <t>Halloween: Resurrection </t>
  </si>
  <si>
    <t>The Princess Bride </t>
  </si>
  <si>
    <t>Denzel Washington</t>
  </si>
  <si>
    <t>The Great Debaters </t>
  </si>
  <si>
    <t>Nicolas Winding Refn</t>
  </si>
  <si>
    <t>Drive </t>
  </si>
  <si>
    <t>Sara Sugarman</t>
  </si>
  <si>
    <t>Comedy|Family|Music|Romance</t>
  </si>
  <si>
    <t>Confessions of a Teenage Drama Queen </t>
  </si>
  <si>
    <t>The Object of My Affection </t>
  </si>
  <si>
    <t>Juan Carlos Fresnadillo</t>
  </si>
  <si>
    <t>28 Weeks Later </t>
  </si>
  <si>
    <t>When the Game Stands Tall </t>
  </si>
  <si>
    <t>Because of Winn-Dixie </t>
  </si>
  <si>
    <t>Gina Prince-Bythewood</t>
  </si>
  <si>
    <t>Love &amp; Basketball </t>
  </si>
  <si>
    <t>Grosse Pointe Blank </t>
  </si>
  <si>
    <t>Phil Traill</t>
  </si>
  <si>
    <t>All About Steve </t>
  </si>
  <si>
    <t>Joe Berlinger</t>
  </si>
  <si>
    <t>Adventure|Fantasy|Horror|Mystery|Thriller</t>
  </si>
  <si>
    <t>Book of Shadows: Blair Witch 2 </t>
  </si>
  <si>
    <t>The Craft </t>
  </si>
  <si>
    <t>Match Point </t>
  </si>
  <si>
    <t>Elizabeth Allen Rosenbaum</t>
  </si>
  <si>
    <t>Ramona and Beezus </t>
  </si>
  <si>
    <t>The Remains of the Day </t>
  </si>
  <si>
    <t>Boogie Nights </t>
  </si>
  <si>
    <t>Nowhere to Run </t>
  </si>
  <si>
    <t>Michael Mayer</t>
  </si>
  <si>
    <t>Flicka </t>
  </si>
  <si>
    <t>Martin Weisz</t>
  </si>
  <si>
    <t>The Hills Have Eyes II </t>
  </si>
  <si>
    <t>John Ottman</t>
  </si>
  <si>
    <t>Urban Legends: Final Cut </t>
  </si>
  <si>
    <t>Tuck Everlasting </t>
  </si>
  <si>
    <t>John Bonito</t>
  </si>
  <si>
    <t>The Marine </t>
  </si>
  <si>
    <t>Peter Atencio</t>
  </si>
  <si>
    <t>Keanu </t>
  </si>
  <si>
    <t>Country Strong </t>
  </si>
  <si>
    <t>Official site</t>
  </si>
  <si>
    <t>David Nutter</t>
  </si>
  <si>
    <t>Disturbing Behavior </t>
  </si>
  <si>
    <t>Derek Cianfrance</t>
  </si>
  <si>
    <t>The Place Beyond the Pines </t>
  </si>
  <si>
    <t>The November Man </t>
  </si>
  <si>
    <t>Stephan Elliott</t>
  </si>
  <si>
    <t>Eye of the Beholder </t>
  </si>
  <si>
    <t>The Hurt Locker </t>
  </si>
  <si>
    <t>Mark L. Lester</t>
  </si>
  <si>
    <t>Firestarter </t>
  </si>
  <si>
    <t>Killing Them Softly </t>
  </si>
  <si>
    <t>A Most Wanted Man </t>
  </si>
  <si>
    <t>Tom Green</t>
  </si>
  <si>
    <t>Freddy Got Fingered </t>
  </si>
  <si>
    <t>Mike Nawrocki</t>
  </si>
  <si>
    <t>The Pirates Who Don't Do Anything: A VeggieTales Movie </t>
  </si>
  <si>
    <t>Douglas Aarniokoski</t>
  </si>
  <si>
    <t>Highlander: Endgame </t>
  </si>
  <si>
    <t>Bryan Barber</t>
  </si>
  <si>
    <t>Crime|Drama|Musical|Romance</t>
  </si>
  <si>
    <t>Idlewild </t>
  </si>
  <si>
    <t>Lone Scherfig</t>
  </si>
  <si>
    <t>One Day </t>
  </si>
  <si>
    <t>Drew Barrymore</t>
  </si>
  <si>
    <t>Whip It </t>
  </si>
  <si>
    <t>James Foley</t>
  </si>
  <si>
    <t>Confidence </t>
  </si>
  <si>
    <t>Albert Brooks</t>
  </si>
  <si>
    <t>The Muse </t>
  </si>
  <si>
    <t>De-Lovely </t>
  </si>
  <si>
    <t>New York Stories </t>
  </si>
  <si>
    <t>Steve Gomer</t>
  </si>
  <si>
    <t>Barney's Great Adventure </t>
  </si>
  <si>
    <t>RZA</t>
  </si>
  <si>
    <t>The Man with the Iron Fists </t>
  </si>
  <si>
    <t>Home Fries </t>
  </si>
  <si>
    <t>Mark Piznarski</t>
  </si>
  <si>
    <t>Here on Earth </t>
  </si>
  <si>
    <t>Brazil </t>
  </si>
  <si>
    <t>Family|Music|Romance</t>
  </si>
  <si>
    <t>Raise Your Voice </t>
  </si>
  <si>
    <t>The Big Lebowski </t>
  </si>
  <si>
    <t>Craig Brewer</t>
  </si>
  <si>
    <t>Black Snake Moan </t>
  </si>
  <si>
    <t>Dark Blue </t>
  </si>
  <si>
    <t>Michael Winterbottom</t>
  </si>
  <si>
    <t>Biography|Drama|History|Thriller|War</t>
  </si>
  <si>
    <t>A Mighty Heart </t>
  </si>
  <si>
    <t>David Raynr</t>
  </si>
  <si>
    <t>Whatever It Takes </t>
  </si>
  <si>
    <t>Mort Nathan</t>
  </si>
  <si>
    <t>Boat Trip </t>
  </si>
  <si>
    <t>The Importance of Being Earnest </t>
  </si>
  <si>
    <t>Wil Shriner</t>
  </si>
  <si>
    <t>Hoot </t>
  </si>
  <si>
    <t>Martin McDonagh</t>
  </si>
  <si>
    <t>In Bruges </t>
  </si>
  <si>
    <t>Tina Gordon Chism</t>
  </si>
  <si>
    <t>Peeples </t>
  </si>
  <si>
    <t>Peter Cattaneo</t>
  </si>
  <si>
    <t>The Rocker </t>
  </si>
  <si>
    <t>Vicky Jenson</t>
  </si>
  <si>
    <t>Post Grad </t>
  </si>
  <si>
    <t>Promised Land </t>
  </si>
  <si>
    <t>Whatever Works </t>
  </si>
  <si>
    <t>Mary Lambert</t>
  </si>
  <si>
    <t>The In Crowd </t>
  </si>
  <si>
    <t>Adventure|Crime|Drama|Mystery|Western</t>
  </si>
  <si>
    <t>Three Burials </t>
  </si>
  <si>
    <t>Peter Kassovitz</t>
  </si>
  <si>
    <t>Jakob the Liar </t>
  </si>
  <si>
    <t>Kiss Kiss Bang Bang </t>
  </si>
  <si>
    <t>Rodman Flender</t>
  </si>
  <si>
    <t>Idle Hands </t>
  </si>
  <si>
    <t>Mulholland Drive </t>
  </si>
  <si>
    <t>You Will Meet a Tall Dark Stranger </t>
  </si>
  <si>
    <t>Mark Romanek</t>
  </si>
  <si>
    <t>Never Let Me Go </t>
  </si>
  <si>
    <t>Brad Anderson</t>
  </si>
  <si>
    <t>Transsiberian </t>
  </si>
  <si>
    <t>Michael Chapman</t>
  </si>
  <si>
    <t>The Clan of the Cave Bear </t>
  </si>
  <si>
    <t>Antonio Banderas</t>
  </si>
  <si>
    <t>Crazy in Alabama </t>
  </si>
  <si>
    <t>Funny Games </t>
  </si>
  <si>
    <t>Fritz Lang</t>
  </si>
  <si>
    <t>Metropolis </t>
  </si>
  <si>
    <t>District B13 </t>
  </si>
  <si>
    <t>Things to Do in Denver When You're Dead </t>
  </si>
  <si>
    <t>Hsiao-Hsien Hou</t>
  </si>
  <si>
    <t>The Assassin </t>
  </si>
  <si>
    <t>Gregor Jordan</t>
  </si>
  <si>
    <t>Comedy|Crime|Drama|Thriller|War</t>
  </si>
  <si>
    <t>Buffalo Soldiers </t>
  </si>
  <si>
    <t>Tony Jaa</t>
  </si>
  <si>
    <t>Ong-bak 2 </t>
  </si>
  <si>
    <t>Thai</t>
  </si>
  <si>
    <t>Thailand</t>
  </si>
  <si>
    <t>Ryûhei Kitamura</t>
  </si>
  <si>
    <t>Fantasy|Horror|Mystery</t>
  </si>
  <si>
    <t>The Midnight Meat Train </t>
  </si>
  <si>
    <t>Dito Montiel</t>
  </si>
  <si>
    <t>The Son of No One </t>
  </si>
  <si>
    <t>Stefan Ruzowitzky</t>
  </si>
  <si>
    <t>Action|Comedy|Drama|War</t>
  </si>
  <si>
    <t>All the Queen's Men </t>
  </si>
  <si>
    <t>Jake Paltrow</t>
  </si>
  <si>
    <t>Comedy|Drama|Fantasy|Music|Romance</t>
  </si>
  <si>
    <t>The Good Night </t>
  </si>
  <si>
    <t>Groundhog Day </t>
  </si>
  <si>
    <t>Gregory Jacobs</t>
  </si>
  <si>
    <t>Magic Mike XXL </t>
  </si>
  <si>
    <t>Romeo + Juliet </t>
  </si>
  <si>
    <t>Gilles Paquet-Brenner</t>
  </si>
  <si>
    <t>Sarah's Key </t>
  </si>
  <si>
    <t>Unforgiven </t>
  </si>
  <si>
    <t>Lars von Trier</t>
  </si>
  <si>
    <t>Manderlay </t>
  </si>
  <si>
    <t>Slumdog Millionaire </t>
  </si>
  <si>
    <t>Fatal Attraction </t>
  </si>
  <si>
    <t>Pretty Woman </t>
  </si>
  <si>
    <t>John Cornell</t>
  </si>
  <si>
    <t>Crocodile Dundee II </t>
  </si>
  <si>
    <t>Born on the Fourth of July </t>
  </si>
  <si>
    <t>Cool Runnings </t>
  </si>
  <si>
    <t>My Bloody Valentine </t>
  </si>
  <si>
    <t>Stomp the Yard </t>
  </si>
  <si>
    <t>The Spy Who Loved Me </t>
  </si>
  <si>
    <t>Jamie Blanks</t>
  </si>
  <si>
    <t>Urban Legend </t>
  </si>
  <si>
    <t>Randal Kleiser</t>
  </si>
  <si>
    <t>White Fang </t>
  </si>
  <si>
    <t>Superstar </t>
  </si>
  <si>
    <t>The Iron Lady </t>
  </si>
  <si>
    <t>Jonah: A VeggieTales Movie </t>
  </si>
  <si>
    <t>Poetic Justice </t>
  </si>
  <si>
    <t>All About the Benjamins </t>
  </si>
  <si>
    <t>Vampire in Brooklyn </t>
  </si>
  <si>
    <t>An American Haunting </t>
  </si>
  <si>
    <t>My Boss's Daughter </t>
  </si>
  <si>
    <t>Adventure|Mystery|Thriller</t>
  </si>
  <si>
    <t>A Perfect Getaway </t>
  </si>
  <si>
    <t>Rick Famuyiwa</t>
  </si>
  <si>
    <t>Our Family Wedding </t>
  </si>
  <si>
    <t>Alan Cohn</t>
  </si>
  <si>
    <t>Dead Man on Campus </t>
  </si>
  <si>
    <t>Franco Zeffirelli</t>
  </si>
  <si>
    <t>Comedy|Drama|War</t>
  </si>
  <si>
    <t>Tea with Mussolini </t>
  </si>
  <si>
    <t>Tom Holland</t>
  </si>
  <si>
    <t>Thinner </t>
  </si>
  <si>
    <t>Crooklyn </t>
  </si>
  <si>
    <t>James Isaac</t>
  </si>
  <si>
    <t>Jason X </t>
  </si>
  <si>
    <t>Emilio Estevez</t>
  </si>
  <si>
    <t>Bobby </t>
  </si>
  <si>
    <t>Comedy|Mystery|Romance</t>
  </si>
  <si>
    <t>Head Over Heels </t>
  </si>
  <si>
    <t>Josh Schwartz</t>
  </si>
  <si>
    <t>Fun Size </t>
  </si>
  <si>
    <t>Todd Field</t>
  </si>
  <si>
    <t>Little Children </t>
  </si>
  <si>
    <t>Davis Guggenheim</t>
  </si>
  <si>
    <t>Gossip </t>
  </si>
  <si>
    <t>A Walk on the Moon </t>
  </si>
  <si>
    <t>Catch a Fire </t>
  </si>
  <si>
    <t>Stephen Carpenter</t>
  </si>
  <si>
    <t>Soul Survivors </t>
  </si>
  <si>
    <t>Jefferson in Paris </t>
  </si>
  <si>
    <t>James Fargo</t>
  </si>
  <si>
    <t>Caravans </t>
  </si>
  <si>
    <t>Iran</t>
  </si>
  <si>
    <t>Mr. Turner </t>
  </si>
  <si>
    <t>Biography|Crime|Drama|War</t>
  </si>
  <si>
    <t>Amen. </t>
  </si>
  <si>
    <t>The Lucky Ones </t>
  </si>
  <si>
    <t>Kenneth Lonergan</t>
  </si>
  <si>
    <t>Margaret </t>
  </si>
  <si>
    <t>Flipped </t>
  </si>
  <si>
    <t>Brokeback Mountain </t>
  </si>
  <si>
    <t>Clueless </t>
  </si>
  <si>
    <t>Far from Heaven </t>
  </si>
  <si>
    <t>Hot Tub Time Machine 2 </t>
  </si>
  <si>
    <t>Quills </t>
  </si>
  <si>
    <t>Seven Psychopaths </t>
  </si>
  <si>
    <t>Downfall </t>
  </si>
  <si>
    <t>The Sea Inside </t>
  </si>
  <si>
    <t>Biography|Comedy|Drama|War</t>
  </si>
  <si>
    <t>Good Morning, Vietnam </t>
  </si>
  <si>
    <t>The Last Godfather </t>
  </si>
  <si>
    <t>Justin Bieber: Never Say Never </t>
  </si>
  <si>
    <t>Black Swan </t>
  </si>
  <si>
    <t>The Godfather: Part II </t>
  </si>
  <si>
    <t>Save the Last Dance </t>
  </si>
  <si>
    <t>A Nightmare on Elm Street 4: The Dream Master </t>
  </si>
  <si>
    <t>Miracles from Heaven </t>
  </si>
  <si>
    <t>Danny Leiner</t>
  </si>
  <si>
    <t>Dude, Where's My Car? </t>
  </si>
  <si>
    <t>Christopher Cain</t>
  </si>
  <si>
    <t>Young Guns </t>
  </si>
  <si>
    <t>Theodore Melfi</t>
  </si>
  <si>
    <t>St. Vincent </t>
  </si>
  <si>
    <t>About Last Night </t>
  </si>
  <si>
    <t>10 Things I Hate About You </t>
  </si>
  <si>
    <t>Ed Decter</t>
  </si>
  <si>
    <t>The New Guy </t>
  </si>
  <si>
    <t>Gene Quintano</t>
  </si>
  <si>
    <t>Loaded Weapon 1 </t>
  </si>
  <si>
    <t>The Shallows </t>
  </si>
  <si>
    <t>Eric Bress</t>
  </si>
  <si>
    <t>The Butterfly Effect </t>
  </si>
  <si>
    <t>Snow Day </t>
  </si>
  <si>
    <t>Preston A. Whitmore II</t>
  </si>
  <si>
    <t>This Christmas </t>
  </si>
  <si>
    <t>Comedy|Crime|Family|Sci-Fi</t>
  </si>
  <si>
    <t>Baby Geniuses </t>
  </si>
  <si>
    <t>Kirk Wong</t>
  </si>
  <si>
    <t>The Big Hit </t>
  </si>
  <si>
    <t>Bronwen Hughes</t>
  </si>
  <si>
    <t>Harriet the Spy </t>
  </si>
  <si>
    <t>John Lafia</t>
  </si>
  <si>
    <t>Child's Play 2 </t>
  </si>
  <si>
    <t>Sam Miller</t>
  </si>
  <si>
    <t>No Good Deed </t>
  </si>
  <si>
    <t>The Mist </t>
  </si>
  <si>
    <t>Alex Garland</t>
  </si>
  <si>
    <t>Ex Machina </t>
  </si>
  <si>
    <t>Being John Malkovich </t>
  </si>
  <si>
    <t>Mark Brown</t>
  </si>
  <si>
    <t>Two Can Play That Game </t>
  </si>
  <si>
    <t>Adventure|Family|Sci-Fi</t>
  </si>
  <si>
    <t>Earth to Echo </t>
  </si>
  <si>
    <t>Crazy/Beautiful </t>
  </si>
  <si>
    <t>Letters from Iwo Jima </t>
  </si>
  <si>
    <t>Michael Polish</t>
  </si>
  <si>
    <t>The Astronaut Farmer </t>
  </si>
  <si>
    <t>Daisy von Scherler Mayer</t>
  </si>
  <si>
    <t>Woo </t>
  </si>
  <si>
    <t>Lenny Abrahamson</t>
  </si>
  <si>
    <t>Room </t>
  </si>
  <si>
    <t>Bob Saget</t>
  </si>
  <si>
    <t>Dirty Work </t>
  </si>
  <si>
    <t>John Waters</t>
  </si>
  <si>
    <t>Serial Mom </t>
  </si>
  <si>
    <t>Dick </t>
  </si>
  <si>
    <t>Craig Bolotin</t>
  </si>
  <si>
    <t>Light It Up </t>
  </si>
  <si>
    <t>Mark Christopher</t>
  </si>
  <si>
    <t>54 </t>
  </si>
  <si>
    <t>Blair Hayes</t>
  </si>
  <si>
    <t>Adventure|Comedy|Romance|Sci-Fi</t>
  </si>
  <si>
    <t>Bubble Boy </t>
  </si>
  <si>
    <t>Jez Butterworth</t>
  </si>
  <si>
    <t>Birthday Girl </t>
  </si>
  <si>
    <t>21 &amp; Over </t>
  </si>
  <si>
    <t>Olivier Assayas</t>
  </si>
  <si>
    <t>Paris, je t'aime </t>
  </si>
  <si>
    <t>Resurrecting the Champ </t>
  </si>
  <si>
    <t>Admission </t>
  </si>
  <si>
    <t>Patrice Leconte</t>
  </si>
  <si>
    <t>The Widow of Saint-Pierre </t>
  </si>
  <si>
    <t>Chloe </t>
  </si>
  <si>
    <t>Paul Mazursky</t>
  </si>
  <si>
    <t>Faithful </t>
  </si>
  <si>
    <t>Find Me Guilty </t>
  </si>
  <si>
    <t>Stephen Chbosky</t>
  </si>
  <si>
    <t>The Perks of Being a Wallflower </t>
  </si>
  <si>
    <t>Jon Hess</t>
  </si>
  <si>
    <t>Excessive Force </t>
  </si>
  <si>
    <t>Infamous </t>
  </si>
  <si>
    <t>The Claim </t>
  </si>
  <si>
    <t>The Vatican Tapes </t>
  </si>
  <si>
    <t>Joe Cornish</t>
  </si>
  <si>
    <t>Attack the Block </t>
  </si>
  <si>
    <t>In the Land of Blood and Honey </t>
  </si>
  <si>
    <t>Bosnian</t>
  </si>
  <si>
    <t>The Call </t>
  </si>
  <si>
    <t>John H. Lee</t>
  </si>
  <si>
    <t>Operation Chromite </t>
  </si>
  <si>
    <t>John Stainton</t>
  </si>
  <si>
    <t>Action|Adventure|Comedy|Family</t>
  </si>
  <si>
    <t>The Crocodile Hunter: Collision Course </t>
  </si>
  <si>
    <t>Biography|Comedy|Crime|Drama|Romance</t>
  </si>
  <si>
    <t>I Love You Phillip Morris </t>
  </si>
  <si>
    <t>Antwone Fisher </t>
  </si>
  <si>
    <t>The Emperor's Club </t>
  </si>
  <si>
    <t>True Romance </t>
  </si>
  <si>
    <t>Glengarry Glen Ross </t>
  </si>
  <si>
    <t>The Killer Inside Me </t>
  </si>
  <si>
    <t>Stewart Hendler</t>
  </si>
  <si>
    <t>Sorority Row </t>
  </si>
  <si>
    <t>Lars and the Real Girl </t>
  </si>
  <si>
    <t>Mark Herman</t>
  </si>
  <si>
    <t>The Boy in the Striped Pajamas </t>
  </si>
  <si>
    <t>Crime|Drama|Musical</t>
  </si>
  <si>
    <t>Dancer in the Dark </t>
  </si>
  <si>
    <t>Oscar and Lucinda </t>
  </si>
  <si>
    <t>Abel Ferrara</t>
  </si>
  <si>
    <t>The Funeral </t>
  </si>
  <si>
    <t>Brian Koppelman</t>
  </si>
  <si>
    <t>Solitary Man </t>
  </si>
  <si>
    <t>Ethan Maniquis</t>
  </si>
  <si>
    <t>Machete </t>
  </si>
  <si>
    <t>George Hickenlooper</t>
  </si>
  <si>
    <t>Casino Jack </t>
  </si>
  <si>
    <t>The Land Before Time </t>
  </si>
  <si>
    <t>Je-kyu Kang</t>
  </si>
  <si>
    <t>Tae Guk Gi: The Brotherhood of War </t>
  </si>
  <si>
    <t>Korean</t>
  </si>
  <si>
    <t>William Dear</t>
  </si>
  <si>
    <t>Comedy|Drama|Family|Sport</t>
  </si>
  <si>
    <t>The Perfect Game </t>
  </si>
  <si>
    <t>The Exorcist </t>
  </si>
  <si>
    <t>Jaws </t>
  </si>
  <si>
    <t>American Pie </t>
  </si>
  <si>
    <t>Stéphane Aubier</t>
  </si>
  <si>
    <t>Animation|Comedy|Crime|Drama|Family</t>
  </si>
  <si>
    <t>Ernest &amp; Celestine </t>
  </si>
  <si>
    <t>Action|Adventure|Comedy|Fantasy|Mystery</t>
  </si>
  <si>
    <t>The Golden Child </t>
  </si>
  <si>
    <t>Think Like a Man </t>
  </si>
  <si>
    <t>Barbershop </t>
  </si>
  <si>
    <t>Star Trek II: The Wrath of Khan </t>
  </si>
  <si>
    <t>Ace Ventura: Pet Detective </t>
  </si>
  <si>
    <t>John Badham</t>
  </si>
  <si>
    <t>WarGames </t>
  </si>
  <si>
    <t>Witness </t>
  </si>
  <si>
    <t>Mike McCoy</t>
  </si>
  <si>
    <t>Action|Adventure|Drama|Thriller|War</t>
  </si>
  <si>
    <t>Act of Valor </t>
  </si>
  <si>
    <t>Crime|Drama|Music|Romance</t>
  </si>
  <si>
    <t>Step Up </t>
  </si>
  <si>
    <t>Mike Judge</t>
  </si>
  <si>
    <t>Adventure|Animation|Comedy|Crime</t>
  </si>
  <si>
    <t>Beavis and Butt-Head Do America </t>
  </si>
  <si>
    <t>Jackie Brown </t>
  </si>
  <si>
    <t>Harold &amp; Kumar Escape from Guantanamo Bay </t>
  </si>
  <si>
    <t>Chronicle </t>
  </si>
  <si>
    <t>Yentl </t>
  </si>
  <si>
    <t>Adventure|Comedy|Fantasy|Sci-Fi</t>
  </si>
  <si>
    <t>Time Bandits </t>
  </si>
  <si>
    <t>Tamra Davis</t>
  </si>
  <si>
    <t>Crossroads </t>
  </si>
  <si>
    <t>Nima Nourizadeh</t>
  </si>
  <si>
    <t>Project X </t>
  </si>
  <si>
    <t>One Hour Photo </t>
  </si>
  <si>
    <t>John Erick Dowdle</t>
  </si>
  <si>
    <t>Quarantine </t>
  </si>
  <si>
    <t>David Moreau</t>
  </si>
  <si>
    <t>The Eye </t>
  </si>
  <si>
    <t>Christopher Erskin</t>
  </si>
  <si>
    <t>Johnson Family Vacation </t>
  </si>
  <si>
    <t>How High </t>
  </si>
  <si>
    <t>Brian Henson</t>
  </si>
  <si>
    <t>Comedy|Drama|Family|Fantasy|Musical</t>
  </si>
  <si>
    <t>The Muppet Christmas Carol </t>
  </si>
  <si>
    <t>Frida </t>
  </si>
  <si>
    <t>Dan Cutforth</t>
  </si>
  <si>
    <t>Katy Perry: Part of Me </t>
  </si>
  <si>
    <t>Josh Boone</t>
  </si>
  <si>
    <t>The Fault in Our Stars </t>
  </si>
  <si>
    <t>Rounders </t>
  </si>
  <si>
    <t>Top Five </t>
  </si>
  <si>
    <t>Stir of Echoes </t>
  </si>
  <si>
    <t>Philomena </t>
  </si>
  <si>
    <t>The Upside of Anger </t>
  </si>
  <si>
    <t>Aquamarine </t>
  </si>
  <si>
    <t>Jake Schreier</t>
  </si>
  <si>
    <t>Paper Towns </t>
  </si>
  <si>
    <t>Nebraska </t>
  </si>
  <si>
    <t>Ernest R. Dickerson</t>
  </si>
  <si>
    <t>Tales from the Crypt: Demon Knight </t>
  </si>
  <si>
    <t>Comedy|Crime|Family</t>
  </si>
  <si>
    <t>Max Keeble's Big Move </t>
  </si>
  <si>
    <t>Young Adult </t>
  </si>
  <si>
    <t>Crank </t>
  </si>
  <si>
    <t>Living Out Loud </t>
  </si>
  <si>
    <t>Adventure|Drama|Thriller|War</t>
  </si>
  <si>
    <t>Das Boot </t>
  </si>
  <si>
    <t>West Germany</t>
  </si>
  <si>
    <t>Wallace Wolodarsky</t>
  </si>
  <si>
    <t>Sorority Boys </t>
  </si>
  <si>
    <t>About Time </t>
  </si>
  <si>
    <t>House of Flying Daggers </t>
  </si>
  <si>
    <t>Nicholas Jarecki</t>
  </si>
  <si>
    <t>Arbitrage </t>
  </si>
  <si>
    <t>Dean Israelite</t>
  </si>
  <si>
    <t>Project Almanac </t>
  </si>
  <si>
    <t>Darnell Martin</t>
  </si>
  <si>
    <t>Cadillac Records </t>
  </si>
  <si>
    <t>Scott Alexander</t>
  </si>
  <si>
    <t>Screwed </t>
  </si>
  <si>
    <t>Stuart Gordon</t>
  </si>
  <si>
    <t>Fortress </t>
  </si>
  <si>
    <t>Christopher Guest</t>
  </si>
  <si>
    <t>For Your Consideration </t>
  </si>
  <si>
    <t>Celebrity </t>
  </si>
  <si>
    <t>Running with Scissors </t>
  </si>
  <si>
    <t>From Justin to Kelly </t>
  </si>
  <si>
    <t>Girl 6 </t>
  </si>
  <si>
    <t>Jane Campion</t>
  </si>
  <si>
    <t>In the Cut </t>
  </si>
  <si>
    <t>Two Lovers </t>
  </si>
  <si>
    <t>Fred Schepisi</t>
  </si>
  <si>
    <t>Last Orders </t>
  </si>
  <si>
    <t>Comedy|Drama|Horror|Sci-Fi</t>
  </si>
  <si>
    <t>Antonia Bird</t>
  </si>
  <si>
    <t>Ravenous </t>
  </si>
  <si>
    <t>Jon Poll</t>
  </si>
  <si>
    <t>Charlie Bartlett </t>
  </si>
  <si>
    <t>Paolo Sorrentino</t>
  </si>
  <si>
    <t>The Great Beauty </t>
  </si>
  <si>
    <t>Peter Care</t>
  </si>
  <si>
    <t>The Dangerous Lives of Altar Boys </t>
  </si>
  <si>
    <t>Chan-wook Park</t>
  </si>
  <si>
    <t>Stoker </t>
  </si>
  <si>
    <t>2046 </t>
  </si>
  <si>
    <t>Ira Sachs</t>
  </si>
  <si>
    <t>Crime|Drama|Romance</t>
  </si>
  <si>
    <t>Married Life </t>
  </si>
  <si>
    <t>Carroll Ballard</t>
  </si>
  <si>
    <t>Duma </t>
  </si>
  <si>
    <t>Ondine </t>
  </si>
  <si>
    <t>Takeshi Kitano</t>
  </si>
  <si>
    <t>Brother </t>
  </si>
  <si>
    <t>Welcome to Collinwood </t>
  </si>
  <si>
    <t>Critical Care </t>
  </si>
  <si>
    <t>The Life Before Her Eyes </t>
  </si>
  <si>
    <t>Marco Kreuzpaintner</t>
  </si>
  <si>
    <t>Trade </t>
  </si>
  <si>
    <t>Lajos Koltai</t>
  </si>
  <si>
    <t>Fateless </t>
  </si>
  <si>
    <t>Hungarian</t>
  </si>
  <si>
    <t>Alan Rudolph</t>
  </si>
  <si>
    <t>Breakfast of Champions </t>
  </si>
  <si>
    <t>Chuan Lu</t>
  </si>
  <si>
    <t>City of Life and Death </t>
  </si>
  <si>
    <t>5 Days of War </t>
  </si>
  <si>
    <t>Georgia</t>
  </si>
  <si>
    <t>Timothy Hines</t>
  </si>
  <si>
    <t>10 Days in a Madhouse </t>
  </si>
  <si>
    <t>Heaven Is for Real </t>
  </si>
  <si>
    <t>Snatch </t>
  </si>
  <si>
    <t>Pet Sematary </t>
  </si>
  <si>
    <t>Akira Kurosawa</t>
  </si>
  <si>
    <t>Madadayo </t>
  </si>
  <si>
    <t>Gremlins </t>
  </si>
  <si>
    <t>Star Wars: Episode IV - A New Hope </t>
  </si>
  <si>
    <t>Dan Mazer</t>
  </si>
  <si>
    <t>Dirty Grandpa </t>
  </si>
  <si>
    <t>Doctor Zhivago </t>
  </si>
  <si>
    <t>High School Musical 3: Senior Year </t>
  </si>
  <si>
    <t>The Fighter </t>
  </si>
  <si>
    <t>My Cousin Vinny </t>
  </si>
  <si>
    <t>R.J. Cutler</t>
  </si>
  <si>
    <t>Drama|Fantasy|Music|Romance</t>
  </si>
  <si>
    <t>If I Stay </t>
  </si>
  <si>
    <t>David S. Ward</t>
  </si>
  <si>
    <t>Major League </t>
  </si>
  <si>
    <t>Phone Booth </t>
  </si>
  <si>
    <t>A Walk to Remember </t>
  </si>
  <si>
    <t>Dead Man Walking </t>
  </si>
  <si>
    <t>Cruel Intentions </t>
  </si>
  <si>
    <t>Saw VI </t>
  </si>
  <si>
    <t>The Secret Life of Bees </t>
  </si>
  <si>
    <t>Rob Pritts</t>
  </si>
  <si>
    <t>Corky Romano </t>
  </si>
  <si>
    <t>Raising Cain </t>
  </si>
  <si>
    <t>Invaders from Mars </t>
  </si>
  <si>
    <t>John Crowley</t>
  </si>
  <si>
    <t>Brooklyn </t>
  </si>
  <si>
    <t>Brendan Malloy</t>
  </si>
  <si>
    <t>Out Cold </t>
  </si>
  <si>
    <t>The Ladies Man </t>
  </si>
  <si>
    <t>Dustin Hoffman</t>
  </si>
  <si>
    <t>Quartet </t>
  </si>
  <si>
    <t>Gregory Poirier</t>
  </si>
  <si>
    <t>Tomcats </t>
  </si>
  <si>
    <t>Bill Paxton</t>
  </si>
  <si>
    <t>Frailty </t>
  </si>
  <si>
    <t>Simon Curtis</t>
  </si>
  <si>
    <t>Woman in Gold </t>
  </si>
  <si>
    <t>Kinsey </t>
  </si>
  <si>
    <t>Army of Darkness </t>
  </si>
  <si>
    <t>Dewey Nicks</t>
  </si>
  <si>
    <t>Slackers </t>
  </si>
  <si>
    <t>What's Eating Gilbert Grape </t>
  </si>
  <si>
    <t>Philip Saville</t>
  </si>
  <si>
    <t>The Visual Bible: The Gospel of John </t>
  </si>
  <si>
    <t>Vera Drake </t>
  </si>
  <si>
    <t>The Guru </t>
  </si>
  <si>
    <t>The Perez Family </t>
  </si>
  <si>
    <t>Inside Llewyn Davis </t>
  </si>
  <si>
    <t>Tim Blake Nelson</t>
  </si>
  <si>
    <t>O </t>
  </si>
  <si>
    <t>William A. Graham</t>
  </si>
  <si>
    <t>Return to the Blue Lagoon </t>
  </si>
  <si>
    <t>Agnieszka Holland</t>
  </si>
  <si>
    <t>Copying Beethoven </t>
  </si>
  <si>
    <t>David Hackl</t>
  </si>
  <si>
    <t>Saw V </t>
  </si>
  <si>
    <t>Ray Lawrence</t>
  </si>
  <si>
    <t>Jindabyne </t>
  </si>
  <si>
    <t>Karan Johar</t>
  </si>
  <si>
    <t>Kabhi Alvida Naa Kehna </t>
  </si>
  <si>
    <t>Hindi</t>
  </si>
  <si>
    <t>An Ideal Husband </t>
  </si>
  <si>
    <t>Ruairi Robinson</t>
  </si>
  <si>
    <t>The Last Days on Mars </t>
  </si>
  <si>
    <t>Jaume Balagueró</t>
  </si>
  <si>
    <t>Darkness </t>
  </si>
  <si>
    <t>2001: A Space Odyssey </t>
  </si>
  <si>
    <t>Family|Sci-Fi</t>
  </si>
  <si>
    <t>E.T. the Extra-Terrestrial </t>
  </si>
  <si>
    <t>Jon Kasdan</t>
  </si>
  <si>
    <t>In the Land of Women </t>
  </si>
  <si>
    <t>Floyd Mutrux</t>
  </si>
  <si>
    <t>There Goes My Baby </t>
  </si>
  <si>
    <t>Dean Wright</t>
  </si>
  <si>
    <t>For Greater Glory: The True Story of Cristiada </t>
  </si>
  <si>
    <t>Good Will Hunting </t>
  </si>
  <si>
    <t>Darren Lynn Bousman</t>
  </si>
  <si>
    <t>Saw III </t>
  </si>
  <si>
    <t>Action|Comedy|War</t>
  </si>
  <si>
    <t>Stripes </t>
  </si>
  <si>
    <t>Bring It On </t>
  </si>
  <si>
    <t>James DeMonaco</t>
  </si>
  <si>
    <t>The Purge: Election Year </t>
  </si>
  <si>
    <t>She's All That </t>
  </si>
  <si>
    <t>Saw IV </t>
  </si>
  <si>
    <t>White Noise </t>
  </si>
  <si>
    <t>Madea's Family Reunion </t>
  </si>
  <si>
    <t>The Color of Money </t>
  </si>
  <si>
    <t>The Mighty Ducks </t>
  </si>
  <si>
    <t>The Grudge </t>
  </si>
  <si>
    <t>Happy Gilmore </t>
  </si>
  <si>
    <t>Jeepers Creepers </t>
  </si>
  <si>
    <t>Adventure|Comedy|Music|Sci-Fi</t>
  </si>
  <si>
    <t>Bill &amp; Ted's Excellent Adventure </t>
  </si>
  <si>
    <t>Carol Reed</t>
  </si>
  <si>
    <t>Drama|Family|Musical</t>
  </si>
  <si>
    <t>Oliver! </t>
  </si>
  <si>
    <t>The Best Exotic Marigold Hotel </t>
  </si>
  <si>
    <t>Chuck Sheetz</t>
  </si>
  <si>
    <t>Recess: School's Out </t>
  </si>
  <si>
    <t>Mad Max Beyond Thunderdome </t>
  </si>
  <si>
    <t>The Boy </t>
  </si>
  <si>
    <t>Devil </t>
  </si>
  <si>
    <t>Marcus Raboy</t>
  </si>
  <si>
    <t>Friday After Next </t>
  </si>
  <si>
    <t>Leigh Whannell</t>
  </si>
  <si>
    <t>Insidious: Chapter 3 </t>
  </si>
  <si>
    <t>Michael Schultz</t>
  </si>
  <si>
    <t>Action|Comedy|Drama|Music</t>
  </si>
  <si>
    <t>The Last Dragon </t>
  </si>
  <si>
    <t>The Lawnmower Man </t>
  </si>
  <si>
    <t>Peter Sollett</t>
  </si>
  <si>
    <t>Nick and Norah's Infinite Playlist </t>
  </si>
  <si>
    <t>Adventure|Comedy|Drama|Fantasy</t>
  </si>
  <si>
    <t>Dogma </t>
  </si>
  <si>
    <t>Bob Dolman</t>
  </si>
  <si>
    <t>The Banger Sisters </t>
  </si>
  <si>
    <t>Fantasy|Horror|Sci-Fi</t>
  </si>
  <si>
    <t>Twilight Zone: The Movie </t>
  </si>
  <si>
    <t>Rowdy Herrington</t>
  </si>
  <si>
    <t>Road House </t>
  </si>
  <si>
    <t>A Low Down Dirty Shame </t>
  </si>
  <si>
    <t>Swimfan </t>
  </si>
  <si>
    <t>Greg Coolidge</t>
  </si>
  <si>
    <t>Employee of the Month </t>
  </si>
  <si>
    <t>Can't Hardly Wait </t>
  </si>
  <si>
    <t>The Outsiders </t>
  </si>
  <si>
    <t>Ciarán Foy</t>
  </si>
  <si>
    <t>Sinister 2 </t>
  </si>
  <si>
    <t>Salim Akil</t>
  </si>
  <si>
    <t>Sparkle </t>
  </si>
  <si>
    <t>Valentine </t>
  </si>
  <si>
    <t>Olatunde Osunsanmi</t>
  </si>
  <si>
    <t>The Fourth Kind </t>
  </si>
  <si>
    <t>A Prairie Home Companion </t>
  </si>
  <si>
    <t>Leon Ichaso</t>
  </si>
  <si>
    <t>Sugar Hill </t>
  </si>
  <si>
    <t>Rushmore </t>
  </si>
  <si>
    <t>Skyline </t>
  </si>
  <si>
    <t>The Second Best Exotic Marigold Hotel </t>
  </si>
  <si>
    <t>Patricia Rozema</t>
  </si>
  <si>
    <t>Kit Kittredge: An American Girl </t>
  </si>
  <si>
    <t>The Perfect Man </t>
  </si>
  <si>
    <t>Mo' Better Blues </t>
  </si>
  <si>
    <t>Kung Pow: Enter the Fist </t>
  </si>
  <si>
    <t>Tremors </t>
  </si>
  <si>
    <t>Rob Schmidt</t>
  </si>
  <si>
    <t>Wrong Turn </t>
  </si>
  <si>
    <t>The Corruptor </t>
  </si>
  <si>
    <t>Mud </t>
  </si>
  <si>
    <t>Robert Ben Garant</t>
  </si>
  <si>
    <t>Reno 911!: Miami </t>
  </si>
  <si>
    <t>Morgan Spurlock</t>
  </si>
  <si>
    <t>One Direction: This Is Us </t>
  </si>
  <si>
    <t>Tuck Tucker</t>
  </si>
  <si>
    <t>Hey Arnold! The Movie </t>
  </si>
  <si>
    <t>My Week with Marilyn </t>
  </si>
  <si>
    <t>The Matador </t>
  </si>
  <si>
    <t>Theodore Witcher</t>
  </si>
  <si>
    <t>Love Jones </t>
  </si>
  <si>
    <t>Joel Edgerton</t>
  </si>
  <si>
    <t>The Gift </t>
  </si>
  <si>
    <t>Jim Hanon</t>
  </si>
  <si>
    <t>End of the Spear </t>
  </si>
  <si>
    <t>Get Over It </t>
  </si>
  <si>
    <t>Office Space </t>
  </si>
  <si>
    <t>Michael Patrick Jann</t>
  </si>
  <si>
    <t>Comedy|Romance|Thriller</t>
  </si>
  <si>
    <t>Drop Dead Gorgeous </t>
  </si>
  <si>
    <t>Biography|Crime|Drama|Romance</t>
  </si>
  <si>
    <t>Big Eyes </t>
  </si>
  <si>
    <t>Very Bad Things </t>
  </si>
  <si>
    <t>Sleepover </t>
  </si>
  <si>
    <t>Jorma Taccone</t>
  </si>
  <si>
    <t>MacGruber </t>
  </si>
  <si>
    <t>Dirty Pretty Things </t>
  </si>
  <si>
    <t>Movie 43 </t>
  </si>
  <si>
    <t>Jeff Lowell</t>
  </si>
  <si>
    <t>Over Her Dead Body </t>
  </si>
  <si>
    <t>Lorene Scafaria</t>
  </si>
  <si>
    <t>Adventure|Comedy|Drama|Romance|Sci-Fi</t>
  </si>
  <si>
    <t>Seeking a Friend for the End of the World </t>
  </si>
  <si>
    <t>Tony Kaye</t>
  </si>
  <si>
    <t>American History X </t>
  </si>
  <si>
    <t>Marcus Dunstan</t>
  </si>
  <si>
    <t>The Collection </t>
  </si>
  <si>
    <t>Timothy Björklund</t>
  </si>
  <si>
    <t>Teacher's Pet </t>
  </si>
  <si>
    <t>François Girard</t>
  </si>
  <si>
    <t>Drama|Music|Mystery|Romance</t>
  </si>
  <si>
    <t>The Red Violin </t>
  </si>
  <si>
    <t>The Straight Story </t>
  </si>
  <si>
    <t>Scott Kalvert</t>
  </si>
  <si>
    <t>Action|Crime|Drama</t>
  </si>
  <si>
    <t>Deuces Wild </t>
  </si>
  <si>
    <t>Jason Bateman</t>
  </si>
  <si>
    <t>Bad Words </t>
  </si>
  <si>
    <t>Black or White </t>
  </si>
  <si>
    <t>Eric Bross</t>
  </si>
  <si>
    <t>On the Line </t>
  </si>
  <si>
    <t>Adventure|Biography|Drama|War</t>
  </si>
  <si>
    <t>Rescue Dawn </t>
  </si>
  <si>
    <t>Dan Fogelman</t>
  </si>
  <si>
    <t>Danny Collins </t>
  </si>
  <si>
    <t>Jay Duplass</t>
  </si>
  <si>
    <t>Jeff, Who Lives at Home </t>
  </si>
  <si>
    <t>Luca Guadagnino</t>
  </si>
  <si>
    <t>I Am Love </t>
  </si>
  <si>
    <t>John Putch</t>
  </si>
  <si>
    <t>Atlas Shrugged II: The Strike </t>
  </si>
  <si>
    <t>Peter Medak</t>
  </si>
  <si>
    <t>Romeo Is Bleeding </t>
  </si>
  <si>
    <t>The Limey </t>
  </si>
  <si>
    <t>Crash </t>
  </si>
  <si>
    <t>Terence Davies</t>
  </si>
  <si>
    <t>The House of Mirth </t>
  </si>
  <si>
    <t>Harley Cokeliss</t>
  </si>
  <si>
    <t>Malone </t>
  </si>
  <si>
    <t>Peaceful Warrior </t>
  </si>
  <si>
    <t>Tom Brady</t>
  </si>
  <si>
    <t>Bucky Larson: Born to Be a Star </t>
  </si>
  <si>
    <t>Bamboozled </t>
  </si>
  <si>
    <t>Jason Zada</t>
  </si>
  <si>
    <t>The Forest </t>
  </si>
  <si>
    <t>Franklin J. Schaffner</t>
  </si>
  <si>
    <t>Sphinx </t>
  </si>
  <si>
    <t>Noah Baumbach</t>
  </si>
  <si>
    <t>While We're Young </t>
  </si>
  <si>
    <t>A Better Life </t>
  </si>
  <si>
    <t>Spider </t>
  </si>
  <si>
    <t>Eric Blakeney</t>
  </si>
  <si>
    <t>Gun Shy </t>
  </si>
  <si>
    <t>Nicholas Nickleby </t>
  </si>
  <si>
    <t>The Iceman </t>
  </si>
  <si>
    <t>Cecil B. DeMented </t>
  </si>
  <si>
    <t>Killer Joe </t>
  </si>
  <si>
    <t>Derrick Borte</t>
  </si>
  <si>
    <t>The Joneses </t>
  </si>
  <si>
    <t>Richard Kwietniowski</t>
  </si>
  <si>
    <t>Owning Mahowny </t>
  </si>
  <si>
    <t>Bob Odenkirk</t>
  </si>
  <si>
    <t>The Brothers Solomon </t>
  </si>
  <si>
    <t>My Blueberry Nights </t>
  </si>
  <si>
    <t>Swept Away </t>
  </si>
  <si>
    <t>Joshua Seftel</t>
  </si>
  <si>
    <t>War, Inc. </t>
  </si>
  <si>
    <t>Shaolin Soccer </t>
  </si>
  <si>
    <t>Vincent Gallo</t>
  </si>
  <si>
    <t>The Brown Bunny </t>
  </si>
  <si>
    <t>Claude Chabrol</t>
  </si>
  <si>
    <t>The Swindle </t>
  </si>
  <si>
    <t>Jon Stewart</t>
  </si>
  <si>
    <t>Rosewater </t>
  </si>
  <si>
    <t>Dan Harris</t>
  </si>
  <si>
    <t>Imaginary Heroes </t>
  </si>
  <si>
    <t>Mel Smith</t>
  </si>
  <si>
    <t>Action|Comedy|Drama</t>
  </si>
  <si>
    <t>High Heels and Low Lifes </t>
  </si>
  <si>
    <t>Christopher Smith</t>
  </si>
  <si>
    <t>Severance </t>
  </si>
  <si>
    <t>Edmond </t>
  </si>
  <si>
    <t>Alan Metter</t>
  </si>
  <si>
    <t>Police Academy: Mission to Moscow </t>
  </si>
  <si>
    <t>Rafa Lara</t>
  </si>
  <si>
    <t>Cinco de Mayo, La Batalla </t>
  </si>
  <si>
    <t>Arthur Hiller</t>
  </si>
  <si>
    <t>An Alan Smithee Film: Burn Hollywood Burn </t>
  </si>
  <si>
    <t>Michael Meredith</t>
  </si>
  <si>
    <t>The Open Road </t>
  </si>
  <si>
    <t>Julio DePietro</t>
  </si>
  <si>
    <t>The Good Guy </t>
  </si>
  <si>
    <t>Katherine Dieckmann</t>
  </si>
  <si>
    <t>Motherhood </t>
  </si>
  <si>
    <t>Scott Marshall</t>
  </si>
  <si>
    <t>Blonde Ambition </t>
  </si>
  <si>
    <t>Álex de la Iglesia</t>
  </si>
  <si>
    <t>The Oxford Murders </t>
  </si>
  <si>
    <t>Michael Clancy</t>
  </si>
  <si>
    <t>Eulogy </t>
  </si>
  <si>
    <t>Benedikt Erlingsson</t>
  </si>
  <si>
    <t>Of Horses and Men </t>
  </si>
  <si>
    <t>Icelandic</t>
  </si>
  <si>
    <t>Iceland</t>
  </si>
  <si>
    <t>The Good, the Bad, the Weird </t>
  </si>
  <si>
    <t>Andy Garcia</t>
  </si>
  <si>
    <t>The Lost City </t>
  </si>
  <si>
    <t>Next Friday </t>
  </si>
  <si>
    <t>You Only Live Twice </t>
  </si>
  <si>
    <t>Amour </t>
  </si>
  <si>
    <t>Gary Sherman</t>
  </si>
  <si>
    <t>Poltergeist III </t>
  </si>
  <si>
    <t>Stanley Kramer</t>
  </si>
  <si>
    <t>It's a Mad, Mad, Mad, Mad World </t>
  </si>
  <si>
    <t>Richard III </t>
  </si>
  <si>
    <t>Anurag Basu</t>
  </si>
  <si>
    <t>Action|Drama|Romance|Thriller</t>
  </si>
  <si>
    <t>Kites </t>
  </si>
  <si>
    <t>Melancholia </t>
  </si>
  <si>
    <t>Yash Chopra</t>
  </si>
  <si>
    <t>Jab Tak Hai Jaan </t>
  </si>
  <si>
    <t>Alien </t>
  </si>
  <si>
    <t>The Texas Chain Saw Massacre </t>
  </si>
  <si>
    <t>Floria Sigismondi</t>
  </si>
  <si>
    <t>The Runaways </t>
  </si>
  <si>
    <t>Fiddler on the Roof </t>
  </si>
  <si>
    <t>Terence Young</t>
  </si>
  <si>
    <t>Thunderball </t>
  </si>
  <si>
    <t>Set It Off </t>
  </si>
  <si>
    <t>The Best Man </t>
  </si>
  <si>
    <t>Child's Play </t>
  </si>
  <si>
    <t>Michael Moore</t>
  </si>
  <si>
    <t>Sicko </t>
  </si>
  <si>
    <t>The Purge: Anarchy </t>
  </si>
  <si>
    <t>Kris Isacsson</t>
  </si>
  <si>
    <t>Down to You </t>
  </si>
  <si>
    <t>Harold &amp; Kumar Go to White Castle </t>
  </si>
  <si>
    <t>The Contender </t>
  </si>
  <si>
    <t>Ben Younger</t>
  </si>
  <si>
    <t>Boiler Room </t>
  </si>
  <si>
    <t>Black Christmas </t>
  </si>
  <si>
    <t>Action|Biography|Drama|History|Romance|War</t>
  </si>
  <si>
    <t>Henry V </t>
  </si>
  <si>
    <t>The Way of the Gun </t>
  </si>
  <si>
    <t>Igby Goes Down </t>
  </si>
  <si>
    <t>Hart Bochner</t>
  </si>
  <si>
    <t>PCU </t>
  </si>
  <si>
    <t>Gracie </t>
  </si>
  <si>
    <t>Trust the Man </t>
  </si>
  <si>
    <t>Hamlet 2 </t>
  </si>
  <si>
    <t>Glee: The 3D Concert Movie </t>
  </si>
  <si>
    <t>Chatrichalerm Yukol</t>
  </si>
  <si>
    <t>The Legend of Suriyothai </t>
  </si>
  <si>
    <t>Dario Argento</t>
  </si>
  <si>
    <t>Two Evil Eyes </t>
  </si>
  <si>
    <t>All or Nothing </t>
  </si>
  <si>
    <t>Marc Forby</t>
  </si>
  <si>
    <t>Princess Kaiulani </t>
  </si>
  <si>
    <t>Opal Dream </t>
  </si>
  <si>
    <t>Ole Christian Madsen</t>
  </si>
  <si>
    <t>Flame and Citron </t>
  </si>
  <si>
    <t>Danish</t>
  </si>
  <si>
    <t>Meiert Avis</t>
  </si>
  <si>
    <t>Undiscovered </t>
  </si>
  <si>
    <t>Peter Faiman</t>
  </si>
  <si>
    <t>Crocodile Dundee </t>
  </si>
  <si>
    <t>Joby Harold</t>
  </si>
  <si>
    <t>Awake </t>
  </si>
  <si>
    <t>Ekachai Uekrongtham</t>
  </si>
  <si>
    <t>Skin Trade </t>
  </si>
  <si>
    <t>Crazy Heart </t>
  </si>
  <si>
    <t>Mark Rydell</t>
  </si>
  <si>
    <t>The Rose </t>
  </si>
  <si>
    <t>David E. Talbert</t>
  </si>
  <si>
    <t>Baggage Claim </t>
  </si>
  <si>
    <t>Election </t>
  </si>
  <si>
    <t>Ari Sandel</t>
  </si>
  <si>
    <t>The DUFF </t>
  </si>
  <si>
    <t>Vondie Curtis-Hall</t>
  </si>
  <si>
    <t>Glitter </t>
  </si>
  <si>
    <t>Bright Star </t>
  </si>
  <si>
    <t>My Name Is Khan </t>
  </si>
  <si>
    <t>All Is Lost </t>
  </si>
  <si>
    <t>John Sayles</t>
  </si>
  <si>
    <t>Limbo </t>
  </si>
  <si>
    <t>Horror|Musical|Sci-Fi</t>
  </si>
  <si>
    <t>Repo! The Genetic Opera </t>
  </si>
  <si>
    <t>Pulp Fiction </t>
  </si>
  <si>
    <t>Dan Gilroy</t>
  </si>
  <si>
    <t>Nightcrawler </t>
  </si>
  <si>
    <t>Club Dread </t>
  </si>
  <si>
    <t>Biography|Drama|Family|Musical|Romance</t>
  </si>
  <si>
    <t>The Sound of Music </t>
  </si>
  <si>
    <t>Splash </t>
  </si>
  <si>
    <t>Jonathan Dayton</t>
  </si>
  <si>
    <t>Little Miss Sunshine </t>
  </si>
  <si>
    <t>Stand by Me </t>
  </si>
  <si>
    <t>28 Days Later... </t>
  </si>
  <si>
    <t>Chris Stokes</t>
  </si>
  <si>
    <t>You Got Served </t>
  </si>
  <si>
    <t>Don Siegel</t>
  </si>
  <si>
    <t>Escape from Alcatraz </t>
  </si>
  <si>
    <t>Brown Sugar </t>
  </si>
  <si>
    <t>Martin Lawrence</t>
  </si>
  <si>
    <t>Comedy|Crime|Drama|Romance|Thriller</t>
  </si>
  <si>
    <t>A Thin Line Between Love and Hate </t>
  </si>
  <si>
    <t>50/50 </t>
  </si>
  <si>
    <t>Masayuki Ochiai</t>
  </si>
  <si>
    <t>Shutter </t>
  </si>
  <si>
    <t>Tom Gormican</t>
  </si>
  <si>
    <t>That Awkward Moment </t>
  </si>
  <si>
    <t>Much Ado About Nothing </t>
  </si>
  <si>
    <t>Peter R. Hunt</t>
  </si>
  <si>
    <t>On Her Majesty's Secret Service </t>
  </si>
  <si>
    <t>New Nightmare </t>
  </si>
  <si>
    <t>Drive Me Crazy </t>
  </si>
  <si>
    <t>Half Baked </t>
  </si>
  <si>
    <t>Jonas Elmer</t>
  </si>
  <si>
    <t>New in Town </t>
  </si>
  <si>
    <t>Mary Harron</t>
  </si>
  <si>
    <t>American Psycho </t>
  </si>
  <si>
    <t>The Good Girl </t>
  </si>
  <si>
    <t>Troy Duffy</t>
  </si>
  <si>
    <t>The Boondock Saints II: All Saints Day </t>
  </si>
  <si>
    <t>Nicole Holofcener</t>
  </si>
  <si>
    <t>Enough Said </t>
  </si>
  <si>
    <t>Easy A </t>
  </si>
  <si>
    <t>Drama|Horror</t>
  </si>
  <si>
    <t>Shadow of the Vampire </t>
  </si>
  <si>
    <t>Prom </t>
  </si>
  <si>
    <t>Held Up </t>
  </si>
  <si>
    <t>Fina Torres</t>
  </si>
  <si>
    <t>Woman on Top </t>
  </si>
  <si>
    <t>Duke Johnson</t>
  </si>
  <si>
    <t>Animation|Comedy|Drama|Romance</t>
  </si>
  <si>
    <t>Anomalisa </t>
  </si>
  <si>
    <t>Another Year </t>
  </si>
  <si>
    <t>François Ozon</t>
  </si>
  <si>
    <t>Comedy|Crime|Musical|Romance</t>
  </si>
  <si>
    <t>8 Women </t>
  </si>
  <si>
    <t>Showdown in Little Tokyo </t>
  </si>
  <si>
    <t>Clay Pigeons </t>
  </si>
  <si>
    <t>Anna Boden</t>
  </si>
  <si>
    <t>It's Kind of a Funny Story </t>
  </si>
  <si>
    <t>Made in Dagenham </t>
  </si>
  <si>
    <t>When Did You Last See Your Father? </t>
  </si>
  <si>
    <t>Steve James</t>
  </si>
  <si>
    <t>Prefontaine </t>
  </si>
  <si>
    <t>Tomm Moore</t>
  </si>
  <si>
    <t>The Secret of Kells </t>
  </si>
  <si>
    <t>John Carney</t>
  </si>
  <si>
    <t>Begin Again </t>
  </si>
  <si>
    <t>David Jacobson</t>
  </si>
  <si>
    <t>Down in the Valley </t>
  </si>
  <si>
    <t>Michael Corrente</t>
  </si>
  <si>
    <t>Brooklyn Rules </t>
  </si>
  <si>
    <t>Keith Gordon</t>
  </si>
  <si>
    <t>Comedy|Crime|Musical|Mystery</t>
  </si>
  <si>
    <t>The Singing Detective </t>
  </si>
  <si>
    <t>Andrew Currie</t>
  </si>
  <si>
    <t>Fido </t>
  </si>
  <si>
    <t>Andrew Wilson</t>
  </si>
  <si>
    <t>The Wendell Baker Story </t>
  </si>
  <si>
    <t>Wild Target </t>
  </si>
  <si>
    <t>Marc Schölermann</t>
  </si>
  <si>
    <t>Pathology </t>
  </si>
  <si>
    <t>Robert Moresco</t>
  </si>
  <si>
    <t>10th &amp; Wolf </t>
  </si>
  <si>
    <t>Thomas Vinterberg</t>
  </si>
  <si>
    <t>Dear Wendy </t>
  </si>
  <si>
    <t>Claudia Llosa</t>
  </si>
  <si>
    <t>Aloft </t>
  </si>
  <si>
    <t>Action|Animation|Sci-Fi</t>
  </si>
  <si>
    <t>Akira </t>
  </si>
  <si>
    <t>Ol Parker</t>
  </si>
  <si>
    <t>Imagine Me &amp; You </t>
  </si>
  <si>
    <t>David Webb Peoples</t>
  </si>
  <si>
    <t>The Blood of Heroes </t>
  </si>
  <si>
    <t>Driving Miss Daisy </t>
  </si>
  <si>
    <t>Soul Food </t>
  </si>
  <si>
    <t>Stanley Tong</t>
  </si>
  <si>
    <t>Rumble in the Bronx </t>
  </si>
  <si>
    <t>Thank You for Smoking </t>
  </si>
  <si>
    <t>Eli Roth</t>
  </si>
  <si>
    <t>Hostel: Part II </t>
  </si>
  <si>
    <t>An Education </t>
  </si>
  <si>
    <t>Tony Richardson</t>
  </si>
  <si>
    <t>The Hotel New Hampshire </t>
  </si>
  <si>
    <t>Narc </t>
  </si>
  <si>
    <t>Paul Gross</t>
  </si>
  <si>
    <t>Men with Brooms </t>
  </si>
  <si>
    <t>Charles Robert Carner</t>
  </si>
  <si>
    <t>Witless Protection </t>
  </si>
  <si>
    <t>Russell Holt</t>
  </si>
  <si>
    <t>The Work and the Glory </t>
  </si>
  <si>
    <t>Extract </t>
  </si>
  <si>
    <t>Claude Miller</t>
  </si>
  <si>
    <t>Alias Betty </t>
  </si>
  <si>
    <t>Drama|Romance|Sci-Fi|Thriller</t>
  </si>
  <si>
    <t>Code 46 </t>
  </si>
  <si>
    <t>Rodrigo García</t>
  </si>
  <si>
    <t>Albert Nobbs </t>
  </si>
  <si>
    <t>Siddharth Anand</t>
  </si>
  <si>
    <t>Ta Ra Rum Pum </t>
  </si>
  <si>
    <t>Vincent Paronnaud</t>
  </si>
  <si>
    <t>Animation|Biography|Drama|War</t>
  </si>
  <si>
    <t>Persepolis </t>
  </si>
  <si>
    <t>The Neon Demon </t>
  </si>
  <si>
    <t>Daniel Barber</t>
  </si>
  <si>
    <t>Harry Brown </t>
  </si>
  <si>
    <t>Robert Marcarelli</t>
  </si>
  <si>
    <t>The Omega Code </t>
  </si>
  <si>
    <t>Juno </t>
  </si>
  <si>
    <t>Guy Hamilton</t>
  </si>
  <si>
    <t>Diamonds Are Forever </t>
  </si>
  <si>
    <t>The Godfather </t>
  </si>
  <si>
    <t>Flashdance </t>
  </si>
  <si>
    <t>500 Days of Summer </t>
  </si>
  <si>
    <t>The Piano </t>
  </si>
  <si>
    <t>Magic Mike </t>
  </si>
  <si>
    <t>Darkness Falls </t>
  </si>
  <si>
    <t>Live and Let Die </t>
  </si>
  <si>
    <t>My Dog Skip </t>
  </si>
  <si>
    <t>Jumping the Broom </t>
  </si>
  <si>
    <t>Good Night, and Good Luck. </t>
  </si>
  <si>
    <t>Capote </t>
  </si>
  <si>
    <t>Desperado </t>
  </si>
  <si>
    <t>Michael Anderson</t>
  </si>
  <si>
    <t>Logan's Run </t>
  </si>
  <si>
    <t>The Man with the Golden Gun </t>
  </si>
  <si>
    <t>Action Jackson </t>
  </si>
  <si>
    <t>The Descent </t>
  </si>
  <si>
    <t>Matt Bettinelli-Olpin</t>
  </si>
  <si>
    <t>Devil's Due </t>
  </si>
  <si>
    <t>Flirting with Disaster </t>
  </si>
  <si>
    <t>Crime|Horror</t>
  </si>
  <si>
    <t>The Devil's Rejects </t>
  </si>
  <si>
    <t>Dope </t>
  </si>
  <si>
    <t>In Too Deep </t>
  </si>
  <si>
    <t>House of 1000 Corpses </t>
  </si>
  <si>
    <t>A Serious Man </t>
  </si>
  <si>
    <t>Aaron Schneider</t>
  </si>
  <si>
    <t>Get Low </t>
  </si>
  <si>
    <t>Warlock </t>
  </si>
  <si>
    <t>Beyond the Lights </t>
  </si>
  <si>
    <t>Tom Ford</t>
  </si>
  <si>
    <t>A Single Man </t>
  </si>
  <si>
    <t>The Last Temptation of Christ </t>
  </si>
  <si>
    <t>Outside Providence </t>
  </si>
  <si>
    <t>Gurinder Chadha</t>
  </si>
  <si>
    <t>Bride &amp; Prejudice </t>
  </si>
  <si>
    <t>Adventure|Biography|Drama|History</t>
  </si>
  <si>
    <t>Rabbit-Proof Fence </t>
  </si>
  <si>
    <t>Who's Your Caddy? </t>
  </si>
  <si>
    <t>Tony Maylam</t>
  </si>
  <si>
    <t>Action|Crime|Horror|Sci-Fi|Thriller</t>
  </si>
  <si>
    <t>Split Second </t>
  </si>
  <si>
    <t>Mitch Davis</t>
  </si>
  <si>
    <t>The Other Side of Heaven </t>
  </si>
  <si>
    <t>Veer-Zaara </t>
  </si>
  <si>
    <t>Redbelt </t>
  </si>
  <si>
    <t>Cyrus </t>
  </si>
  <si>
    <t>Kevin Brodie</t>
  </si>
  <si>
    <t>A Dog of Flanders </t>
  </si>
  <si>
    <t>Paul Schrader</t>
  </si>
  <si>
    <t>Auto Focus </t>
  </si>
  <si>
    <t>Factory Girl </t>
  </si>
  <si>
    <t>Lynne Ramsay</t>
  </si>
  <si>
    <t>We Need to Talk About Kevin </t>
  </si>
  <si>
    <t>Tim Chambers</t>
  </si>
  <si>
    <t>The Mighty Macs </t>
  </si>
  <si>
    <t>Mother and Child </t>
  </si>
  <si>
    <t>Dick Richards</t>
  </si>
  <si>
    <t>March or Die </t>
  </si>
  <si>
    <t>Les visiteurs </t>
  </si>
  <si>
    <t>Somewhere </t>
  </si>
  <si>
    <t>Alex Zamm</t>
  </si>
  <si>
    <t>Chairman of the Board </t>
  </si>
  <si>
    <t>Spencer Susser</t>
  </si>
  <si>
    <t>Hesher </t>
  </si>
  <si>
    <t>Gerry </t>
  </si>
  <si>
    <t>Thaddeus O'Sullivan</t>
  </si>
  <si>
    <t>The Heart of Me </t>
  </si>
  <si>
    <t>Freeheld </t>
  </si>
  <si>
    <t>Shari Springer Berman</t>
  </si>
  <si>
    <t>The Extra Man </t>
  </si>
  <si>
    <t>Stephen Milburn Anderson</t>
  </si>
  <si>
    <t>Ca$h </t>
  </si>
  <si>
    <t>Richard E. Grant</t>
  </si>
  <si>
    <t>Wah-Wah </t>
  </si>
  <si>
    <t>Western</t>
  </si>
  <si>
    <t>Pale Rider </t>
  </si>
  <si>
    <t>Dazed and Confused </t>
  </si>
  <si>
    <t>Max Färberböck</t>
  </si>
  <si>
    <t>Aimee &amp; Jaguar </t>
  </si>
  <si>
    <t>Arie Posin</t>
  </si>
  <si>
    <t>The Chumscrubber </t>
  </si>
  <si>
    <t>Damian Nieman</t>
  </si>
  <si>
    <t>Shade </t>
  </si>
  <si>
    <t>Mark Tonderai</t>
  </si>
  <si>
    <t>House at the End of the Street </t>
  </si>
  <si>
    <t>Drama|Mystery|War</t>
  </si>
  <si>
    <t>Incendies </t>
  </si>
  <si>
    <t>Remember Me, My Love </t>
  </si>
  <si>
    <t>Elite Squad </t>
  </si>
  <si>
    <t>Portuguese</t>
  </si>
  <si>
    <t>Brazil</t>
  </si>
  <si>
    <t>Annabelle </t>
  </si>
  <si>
    <t>Rachel Perkins</t>
  </si>
  <si>
    <t>Comedy|Drama|Musical</t>
  </si>
  <si>
    <t>Bran Nue Dae </t>
  </si>
  <si>
    <t>Boyz n the Hood </t>
  </si>
  <si>
    <t>Luis Valdez</t>
  </si>
  <si>
    <t>La Bamba </t>
  </si>
  <si>
    <t>Mystery|Romance|Thriller</t>
  </si>
  <si>
    <t>Dressed to Kill </t>
  </si>
  <si>
    <t>Adventure|Comedy|Drama|Family</t>
  </si>
  <si>
    <t>The Adventures of Huck Finn </t>
  </si>
  <si>
    <t>Go </t>
  </si>
  <si>
    <t>Friends with Money </t>
  </si>
  <si>
    <t>Louis Morneau</t>
  </si>
  <si>
    <t>Bats </t>
  </si>
  <si>
    <t>Caroline Link</t>
  </si>
  <si>
    <t>Nowhere in Africa </t>
  </si>
  <si>
    <t>Shame </t>
  </si>
  <si>
    <t>Layer Cake </t>
  </si>
  <si>
    <t>Sterling Van Wagenen</t>
  </si>
  <si>
    <t>The Work and the Glory II: American Zion </t>
  </si>
  <si>
    <t>Zal Batmanglij</t>
  </si>
  <si>
    <t>The East </t>
  </si>
  <si>
    <t>A Home at the End of the World </t>
  </si>
  <si>
    <t>Hans Petter Moland</t>
  </si>
  <si>
    <t>Aberdeen </t>
  </si>
  <si>
    <t>Oren Moverman</t>
  </si>
  <si>
    <t>The Messenger </t>
  </si>
  <si>
    <t>Control </t>
  </si>
  <si>
    <t>The Terminator </t>
  </si>
  <si>
    <t>Wolfgang Becker</t>
  </si>
  <si>
    <t>Good Bye Lenin! </t>
  </si>
  <si>
    <t>The Damned United </t>
  </si>
  <si>
    <t>Mallrats </t>
  </si>
  <si>
    <t>Musical|Romance</t>
  </si>
  <si>
    <t>Grease </t>
  </si>
  <si>
    <t>Platoon </t>
  </si>
  <si>
    <t>Documentary|Drama|War</t>
  </si>
  <si>
    <t>Fahrenheit 9/11 </t>
  </si>
  <si>
    <t>George Roy Hill</t>
  </si>
  <si>
    <t>Biography|Crime|Drama|Western</t>
  </si>
  <si>
    <t>Butch Cassidy and the Sundance Kid </t>
  </si>
  <si>
    <t>Robert Stevenson</t>
  </si>
  <si>
    <t>Comedy|Family|Fantasy|Musical</t>
  </si>
  <si>
    <t>Mary Poppins </t>
  </si>
  <si>
    <t>Ordinary People </t>
  </si>
  <si>
    <t>Jerome Robbins</t>
  </si>
  <si>
    <t>Crime|Drama|Musical|Romance|Thriller</t>
  </si>
  <si>
    <t>West Side Story </t>
  </si>
  <si>
    <t>Caddyshack </t>
  </si>
  <si>
    <t>Gary Hardwick</t>
  </si>
  <si>
    <t>The Brothers </t>
  </si>
  <si>
    <t>The Wood </t>
  </si>
  <si>
    <t>The Usual Suspects </t>
  </si>
  <si>
    <t>Fantasy|Horror|Romance|Thriller</t>
  </si>
  <si>
    <t>A Nightmare on Elm Street 5: The Dream Child </t>
  </si>
  <si>
    <t>Van Wilder: Party Liaison </t>
  </si>
  <si>
    <t>The Wrestler </t>
  </si>
  <si>
    <t>King Vidor</t>
  </si>
  <si>
    <t>Duel in the Sun </t>
  </si>
  <si>
    <t>Best in Show </t>
  </si>
  <si>
    <t>Escape from New York </t>
  </si>
  <si>
    <t>School Daze </t>
  </si>
  <si>
    <t>Fred Savage</t>
  </si>
  <si>
    <t>Daddy Day Camp </t>
  </si>
  <si>
    <t>Mystic Pizza </t>
  </si>
  <si>
    <t>Sliding Doors </t>
  </si>
  <si>
    <t>Rusty Cundieff</t>
  </si>
  <si>
    <t>Tales from the Hood </t>
  </si>
  <si>
    <t>Kevin Macdonald</t>
  </si>
  <si>
    <t>The Last King of Scotland </t>
  </si>
  <si>
    <t>Dominique Othenin-Girard</t>
  </si>
  <si>
    <t>Halloween 5 </t>
  </si>
  <si>
    <t>Bernie </t>
  </si>
  <si>
    <t>Jean-Jacques Mantello</t>
  </si>
  <si>
    <t>Adventure|Documentary|Short</t>
  </si>
  <si>
    <t>Dolphins and Whales 3D: Tribes of the Ocean </t>
  </si>
  <si>
    <t>Ed Harris</t>
  </si>
  <si>
    <t>Pollock </t>
  </si>
  <si>
    <t>Risa Bramon Garcia</t>
  </si>
  <si>
    <t>200 Cigarettes </t>
  </si>
  <si>
    <t>Brian Klugman</t>
  </si>
  <si>
    <t>The Words </t>
  </si>
  <si>
    <t>Matt Piedmont</t>
  </si>
  <si>
    <t>Casa de mi Padre </t>
  </si>
  <si>
    <t>Raymond De Felitta</t>
  </si>
  <si>
    <t>City Island </t>
  </si>
  <si>
    <t>John Michael McDonagh</t>
  </si>
  <si>
    <t>The Guard </t>
  </si>
  <si>
    <t>Deb Hagan</t>
  </si>
  <si>
    <t>College </t>
  </si>
  <si>
    <t>The Virgin Suicides </t>
  </si>
  <si>
    <t>Zach Cregger</t>
  </si>
  <si>
    <t>Miss March </t>
  </si>
  <si>
    <t>Zach Braff</t>
  </si>
  <si>
    <t>Wish I Was Here </t>
  </si>
  <si>
    <t>Mark Tarlov</t>
  </si>
  <si>
    <t>Simply Irresistible </t>
  </si>
  <si>
    <t>John Cameron Mitchell</t>
  </si>
  <si>
    <t>Comedy|Drama|Music|Musical</t>
  </si>
  <si>
    <t>Hedwig and the Angry Inch </t>
  </si>
  <si>
    <t>Only the Strong </t>
  </si>
  <si>
    <t>Billy Ray</t>
  </si>
  <si>
    <t>Shattered Glass </t>
  </si>
  <si>
    <t>David Atkins</t>
  </si>
  <si>
    <t>Novocaine </t>
  </si>
  <si>
    <t>The Wackness </t>
  </si>
  <si>
    <t>Sylvio Tabet</t>
  </si>
  <si>
    <t>Beastmaster 2: Through the Portal of Time </t>
  </si>
  <si>
    <t>Rick Bieber</t>
  </si>
  <si>
    <t>The 5th Quarter </t>
  </si>
  <si>
    <t>The Greatest </t>
  </si>
  <si>
    <t>Snow Flower and the Secret Fan </t>
  </si>
  <si>
    <t>Joey Lauren Adams</t>
  </si>
  <si>
    <t>Come Early Morning </t>
  </si>
  <si>
    <t>Lucky Break </t>
  </si>
  <si>
    <t>S.R. Bindler</t>
  </si>
  <si>
    <t>Surfer, Dude </t>
  </si>
  <si>
    <t>Deadfall </t>
  </si>
  <si>
    <t>Cédric Klapisch</t>
  </si>
  <si>
    <t>L'auberge espagnole </t>
  </si>
  <si>
    <t>Kate Barker-Froyland</t>
  </si>
  <si>
    <t>Song One </t>
  </si>
  <si>
    <t>Martin Koolhoven</t>
  </si>
  <si>
    <t>Winter in Wartime </t>
  </si>
  <si>
    <t>Prachya Pinkaew</t>
  </si>
  <si>
    <t>The Protector </t>
  </si>
  <si>
    <t>Bend It Like Beckham </t>
  </si>
  <si>
    <t>Sunshine State </t>
  </si>
  <si>
    <t>Action|Sport</t>
  </si>
  <si>
    <t>Crossover </t>
  </si>
  <si>
    <t>[Rec] 2 </t>
  </si>
  <si>
    <t>The Sting </t>
  </si>
  <si>
    <t>Chariots of Fire </t>
  </si>
  <si>
    <t>Darren Grant</t>
  </si>
  <si>
    <t>Diary of a Mad Black Woman </t>
  </si>
  <si>
    <t>Shine </t>
  </si>
  <si>
    <t>Joseph Gordon-Levitt</t>
  </si>
  <si>
    <t>Don Jon </t>
  </si>
  <si>
    <t>Ghost World </t>
  </si>
  <si>
    <t>Iris </t>
  </si>
  <si>
    <t>Christophe Barratier</t>
  </si>
  <si>
    <t>The Chorus </t>
  </si>
  <si>
    <t>Émile Gaudreault</t>
  </si>
  <si>
    <t>Mambo Italiano </t>
  </si>
  <si>
    <t>James Cox</t>
  </si>
  <si>
    <t>Wonderland </t>
  </si>
  <si>
    <t>Do the Right Thing </t>
  </si>
  <si>
    <t>James Toback</t>
  </si>
  <si>
    <t>Harvard Man </t>
  </si>
  <si>
    <t>Aki Kaurismäki</t>
  </si>
  <si>
    <t>Le Havre </t>
  </si>
  <si>
    <t>Finland</t>
  </si>
  <si>
    <t>Hitoshi Matsumoto</t>
  </si>
  <si>
    <t>R100 </t>
  </si>
  <si>
    <t>George Ratliff</t>
  </si>
  <si>
    <t>Action|Comedy|Drama|Thriller</t>
  </si>
  <si>
    <t>Salvation Boulevard </t>
  </si>
  <si>
    <t>The Ten </t>
  </si>
  <si>
    <t>Headhunters </t>
  </si>
  <si>
    <t>Norwegian</t>
  </si>
  <si>
    <t>Norway</t>
  </si>
  <si>
    <t>Michael McGowan</t>
  </si>
  <si>
    <t>Saint Ralph </t>
  </si>
  <si>
    <t>Insidious: Chapter 2 </t>
  </si>
  <si>
    <t>Saw II </t>
  </si>
  <si>
    <t>Dan Trachtenberg</t>
  </si>
  <si>
    <t>Drama|Horror|Mystery|Sci-Fi|Thriller</t>
  </si>
  <si>
    <t>10 Cloverfield Lane </t>
  </si>
  <si>
    <t>Comedy|Documentary</t>
  </si>
  <si>
    <t>Jackass: The Movie </t>
  </si>
  <si>
    <t>David F. Sandberg</t>
  </si>
  <si>
    <t>Lights Out </t>
  </si>
  <si>
    <t>Paranormal Activity 3 </t>
  </si>
  <si>
    <t>Stiles White</t>
  </si>
  <si>
    <t>Ouija </t>
  </si>
  <si>
    <t>A Nightmare on Elm Street 3: Dream Warriors </t>
  </si>
  <si>
    <t>Eugenio Derbez</t>
  </si>
  <si>
    <t>Instructions Not Included </t>
  </si>
  <si>
    <t>Paranormal Activity 4 </t>
  </si>
  <si>
    <t>Henry Koster</t>
  </si>
  <si>
    <t>The Robe </t>
  </si>
  <si>
    <t>Freddy's Dead: The Final Nightmare </t>
  </si>
  <si>
    <t>Patty Jenkins</t>
  </si>
  <si>
    <t>Monster </t>
  </si>
  <si>
    <t>Christopher Landon</t>
  </si>
  <si>
    <t>Paranormal Activity: The Marked Ones </t>
  </si>
  <si>
    <t>Dallas Buyers Club </t>
  </si>
  <si>
    <t>David Gelb</t>
  </si>
  <si>
    <t>The Lazarus Effect </t>
  </si>
  <si>
    <t>Memento </t>
  </si>
  <si>
    <t>Mike Flanagan</t>
  </si>
  <si>
    <t>Oculus </t>
  </si>
  <si>
    <t>Clerks II </t>
  </si>
  <si>
    <t>Billy Elliot </t>
  </si>
  <si>
    <t>Nat Faxon</t>
  </si>
  <si>
    <t>The Way Way Back </t>
  </si>
  <si>
    <t>George Jackson</t>
  </si>
  <si>
    <t>House Party 2 </t>
  </si>
  <si>
    <t>Maurice Joyce</t>
  </si>
  <si>
    <t>Doug's 1st Movie </t>
  </si>
  <si>
    <t>Robert Duvall</t>
  </si>
  <si>
    <t>The Apostle </t>
  </si>
  <si>
    <t>Jesse Peretz</t>
  </si>
  <si>
    <t>Our Idiot Brother </t>
  </si>
  <si>
    <t>Ice Cube</t>
  </si>
  <si>
    <t>The Players Club </t>
  </si>
  <si>
    <t>As Above, So Below </t>
  </si>
  <si>
    <t>Addicted </t>
  </si>
  <si>
    <t>Eve's Bayou </t>
  </si>
  <si>
    <t>Richard Glatzer</t>
  </si>
  <si>
    <t>Still Alice </t>
  </si>
  <si>
    <t>Rob Hedden</t>
  </si>
  <si>
    <t>Adventure|Horror</t>
  </si>
  <si>
    <t>Friday the 13th Part VIII: Jason Takes Manhattan </t>
  </si>
  <si>
    <t>My Big Fat Greek Wedding </t>
  </si>
  <si>
    <t>Harmony Korine</t>
  </si>
  <si>
    <t>Spring Breakers </t>
  </si>
  <si>
    <t>Joe Chappelle</t>
  </si>
  <si>
    <t>Halloween: The Curse of Michael Myers </t>
  </si>
  <si>
    <t>Y Tu Mamá También </t>
  </si>
  <si>
    <t>Shaun of the Dead </t>
  </si>
  <si>
    <t>Mickey Liddell</t>
  </si>
  <si>
    <t>The Haunting of Molly Hartley </t>
  </si>
  <si>
    <t>Lone Star </t>
  </si>
  <si>
    <t>Halloween 4: The Return of Michael Myers </t>
  </si>
  <si>
    <t>Fred Walton</t>
  </si>
  <si>
    <t>April Fool's Day </t>
  </si>
  <si>
    <t>Diner </t>
  </si>
  <si>
    <t>Steve Carver</t>
  </si>
  <si>
    <t>Lone Wolf McQuade </t>
  </si>
  <si>
    <t>Gonzalo López-Gallego</t>
  </si>
  <si>
    <t>Apollo 18 </t>
  </si>
  <si>
    <t>Christine Jeffs</t>
  </si>
  <si>
    <t>Sunshine Cleaning </t>
  </si>
  <si>
    <t>No Escape </t>
  </si>
  <si>
    <t>Michael Tiddes</t>
  </si>
  <si>
    <t>Fifty Shades of Black </t>
  </si>
  <si>
    <t>Bill Duke</t>
  </si>
  <si>
    <t>Not Easily Broken </t>
  </si>
  <si>
    <t>The Perfect Match </t>
  </si>
  <si>
    <t>Mamoru Hosoda</t>
  </si>
  <si>
    <t>Digimon: The Movie </t>
  </si>
  <si>
    <t>Brian Dannelly</t>
  </si>
  <si>
    <t>Saved! </t>
  </si>
  <si>
    <t>Denys Arcand</t>
  </si>
  <si>
    <t>The Barbarian Invasions </t>
  </si>
  <si>
    <t>J.S. Cardone</t>
  </si>
  <si>
    <t>The Forsaken </t>
  </si>
  <si>
    <t>Jay Levey</t>
  </si>
  <si>
    <t>UHF </t>
  </si>
  <si>
    <t>Tamara Jenkins</t>
  </si>
  <si>
    <t>Slums of Beverly Hills </t>
  </si>
  <si>
    <t>Made </t>
  </si>
  <si>
    <t>Moon </t>
  </si>
  <si>
    <t>Ronan Chapalain</t>
  </si>
  <si>
    <t>Sea Rex 3D: Journey to a Prehistoric World </t>
  </si>
  <si>
    <t>The Sweet Hereafter </t>
  </si>
  <si>
    <t>Xavier Beauvois</t>
  </si>
  <si>
    <t>Of Gods and Men </t>
  </si>
  <si>
    <t>Randall Miller</t>
  </si>
  <si>
    <t>Bottle Shock </t>
  </si>
  <si>
    <t>Biography|Crime|Drama|Romance|Thriller</t>
  </si>
  <si>
    <t>Heavenly Creatures </t>
  </si>
  <si>
    <t>90 Minutes in Heaven </t>
  </si>
  <si>
    <t>Dan Rush</t>
  </si>
  <si>
    <t>Everything Must Go </t>
  </si>
  <si>
    <t>Comedy|Crime|Drama|Mystery|Thriller</t>
  </si>
  <si>
    <t>Zero Effect </t>
  </si>
  <si>
    <t>The Machinist </t>
  </si>
  <si>
    <t>Light Sleeper </t>
  </si>
  <si>
    <t>Michael Cuesta</t>
  </si>
  <si>
    <t>Biography|Crime|Drama|Mystery|Thriller</t>
  </si>
  <si>
    <t>Kill the Messenger </t>
  </si>
  <si>
    <t>Rabbit Hole </t>
  </si>
  <si>
    <t>Fenton Bailey</t>
  </si>
  <si>
    <t>Party Monster </t>
  </si>
  <si>
    <t>Jeremy Saulnier</t>
  </si>
  <si>
    <t>Crime|Horror|Music|Thriller</t>
  </si>
  <si>
    <t>Green Room </t>
  </si>
  <si>
    <t>James Manera</t>
  </si>
  <si>
    <t>Atlas Shrugged: Who Is John Galt? </t>
  </si>
  <si>
    <t>Bottle Rocket </t>
  </si>
  <si>
    <t>Albino Alligator </t>
  </si>
  <si>
    <t>Nicholas Fackler</t>
  </si>
  <si>
    <t>Lovely, Still </t>
  </si>
  <si>
    <t>Morgan J. Freeman</t>
  </si>
  <si>
    <t>Desert Blue </t>
  </si>
  <si>
    <t>The Visit </t>
  </si>
  <si>
    <t>Crime|Thriller|War</t>
  </si>
  <si>
    <t>Redacted </t>
  </si>
  <si>
    <t>Klaus Menzel</t>
  </si>
  <si>
    <t>Fascination </t>
  </si>
  <si>
    <t>William H. Macy</t>
  </si>
  <si>
    <t>Rudderless </t>
  </si>
  <si>
    <t>Jirí Menzel</t>
  </si>
  <si>
    <t>Comedy|Drama|Romance|War</t>
  </si>
  <si>
    <t>I Served the King of England </t>
  </si>
  <si>
    <t>Czech</t>
  </si>
  <si>
    <t>Fatih Akin</t>
  </si>
  <si>
    <t>Soul Kitchen </t>
  </si>
  <si>
    <t>Sling Blade </t>
  </si>
  <si>
    <t>Hostel </t>
  </si>
  <si>
    <t>Tristram Shandy: A Cock and Bull Story </t>
  </si>
  <si>
    <t>Take Shelter </t>
  </si>
  <si>
    <t>Frank LaLoggia</t>
  </si>
  <si>
    <t>Lady in White </t>
  </si>
  <si>
    <t>The Texas Chainsaw Massacre 2 </t>
  </si>
  <si>
    <t>Only God Forgives </t>
  </si>
  <si>
    <t>Michel Leclerc</t>
  </si>
  <si>
    <t>The Names of Love </t>
  </si>
  <si>
    <t>Tom Kalin</t>
  </si>
  <si>
    <t>Savage Grace </t>
  </si>
  <si>
    <t>Police Academy </t>
  </si>
  <si>
    <t>Four Weddings and a Funeral </t>
  </si>
  <si>
    <t>25th Hour </t>
  </si>
  <si>
    <t>Bound </t>
  </si>
  <si>
    <t>Requiem for a Dream </t>
  </si>
  <si>
    <t>Carlos Saura</t>
  </si>
  <si>
    <t>Drama|Musical</t>
  </si>
  <si>
    <t>Tango </t>
  </si>
  <si>
    <t>Andrew Erwin</t>
  </si>
  <si>
    <t>Moms' Night Out </t>
  </si>
  <si>
    <t>Donnie Darko </t>
  </si>
  <si>
    <t>Mike van Diem</t>
  </si>
  <si>
    <t>Character </t>
  </si>
  <si>
    <t>Jonas Åkerlund</t>
  </si>
  <si>
    <t>Spun </t>
  </si>
  <si>
    <t>Lady Vengeance </t>
  </si>
  <si>
    <t>Barry Skolnick</t>
  </si>
  <si>
    <t>Mean Machine </t>
  </si>
  <si>
    <t>Johnnie To</t>
  </si>
  <si>
    <t>Exiled </t>
  </si>
  <si>
    <t>Agnieszka Wojtowicz-Vosloo</t>
  </si>
  <si>
    <t>After.Life </t>
  </si>
  <si>
    <t>One Flew Over the Cuckoo's Nest </t>
  </si>
  <si>
    <t>Ernie Barbarash</t>
  </si>
  <si>
    <t>Falcon Rising </t>
  </si>
  <si>
    <t>Nick Love</t>
  </si>
  <si>
    <t>The Sweeney </t>
  </si>
  <si>
    <t>Whale Rider </t>
  </si>
  <si>
    <t>R. Balki</t>
  </si>
  <si>
    <t>Paa </t>
  </si>
  <si>
    <t>Fantasy|Thriller</t>
  </si>
  <si>
    <t>Night Watch </t>
  </si>
  <si>
    <t>Russian</t>
  </si>
  <si>
    <t>The Crying Game </t>
  </si>
  <si>
    <t>Porky's </t>
  </si>
  <si>
    <t>Survival of the Dead </t>
  </si>
  <si>
    <t>Lost in Translation </t>
  </si>
  <si>
    <t>Annie Hall </t>
  </si>
  <si>
    <t>Cecil B. DeMille</t>
  </si>
  <si>
    <t>The Greatest Show on Earth </t>
  </si>
  <si>
    <t>Monster's Ball </t>
  </si>
  <si>
    <t>Henry Hobson</t>
  </si>
  <si>
    <t>Maggie </t>
  </si>
  <si>
    <t>Mike Figgis</t>
  </si>
  <si>
    <t>Leaving Las Vegas </t>
  </si>
  <si>
    <t>The Boy Next Door </t>
  </si>
  <si>
    <t>Lisa Cholodenko</t>
  </si>
  <si>
    <t>The Kids Are All Right </t>
  </si>
  <si>
    <t>They Live </t>
  </si>
  <si>
    <t>Ed Gass-Donnelly</t>
  </si>
  <si>
    <t>The Last Exorcism Part II </t>
  </si>
  <si>
    <t>Boyhood </t>
  </si>
  <si>
    <t>Scoop </t>
  </si>
  <si>
    <t>DJ Pooh</t>
  </si>
  <si>
    <t>The Wash </t>
  </si>
  <si>
    <t>3 Strikes </t>
  </si>
  <si>
    <t>Crime|Drama|Fantasy|Romance</t>
  </si>
  <si>
    <t>The Cooler </t>
  </si>
  <si>
    <t>Patrick Stettner</t>
  </si>
  <si>
    <t>The Night Listener </t>
  </si>
  <si>
    <t>The Orphanage </t>
  </si>
  <si>
    <t>A Haunted House 2 </t>
  </si>
  <si>
    <t>Roger Avary</t>
  </si>
  <si>
    <t>The Rules of Attraction </t>
  </si>
  <si>
    <t>Allison Anders</t>
  </si>
  <si>
    <t>Four Rooms </t>
  </si>
  <si>
    <t>Secretary </t>
  </si>
  <si>
    <t>Rick de Oliveira</t>
  </si>
  <si>
    <t>The Real Cancun </t>
  </si>
  <si>
    <t>Talk Radio </t>
  </si>
  <si>
    <t>Waiting for Guffman </t>
  </si>
  <si>
    <t>Jeff Franklin</t>
  </si>
  <si>
    <t>Love Stinks </t>
  </si>
  <si>
    <t>You Kill Me </t>
  </si>
  <si>
    <t>Mike Mills</t>
  </si>
  <si>
    <t>Thumbsucker </t>
  </si>
  <si>
    <t>Dave McKean</t>
  </si>
  <si>
    <t>Mirrormask </t>
  </si>
  <si>
    <t>Ron Fricke</t>
  </si>
  <si>
    <t>Samsara </t>
  </si>
  <si>
    <t>None</t>
  </si>
  <si>
    <t>Ruggero Deodato</t>
  </si>
  <si>
    <t>The Barbarians </t>
  </si>
  <si>
    <t>Mars Callahan</t>
  </si>
  <si>
    <t>Poolhall Junkies </t>
  </si>
  <si>
    <t>The Loss of Sexual Innocence </t>
  </si>
  <si>
    <t>Joe </t>
  </si>
  <si>
    <t>Stefan Schwartz</t>
  </si>
  <si>
    <t>Shooting Fish </t>
  </si>
  <si>
    <t>Prison </t>
  </si>
  <si>
    <t>Robert Lee King</t>
  </si>
  <si>
    <t>Comedy|Horror|Mystery</t>
  </si>
  <si>
    <t>Psycho Beach Party </t>
  </si>
  <si>
    <t>The Big Tease </t>
  </si>
  <si>
    <t>Jorge Ramírez Suárez</t>
  </si>
  <si>
    <t>Buen Día, Ramón </t>
  </si>
  <si>
    <t>David Schwimmer</t>
  </si>
  <si>
    <t>Trust </t>
  </si>
  <si>
    <t>An Everlasting Piece </t>
  </si>
  <si>
    <t>Among Giants </t>
  </si>
  <si>
    <t>Adore </t>
  </si>
  <si>
    <t>Fernando León de Aranoa</t>
  </si>
  <si>
    <t>Mondays in the Sun </t>
  </si>
  <si>
    <t>Jim Mickle</t>
  </si>
  <si>
    <t>Stake Land </t>
  </si>
  <si>
    <t>The Last Time I Committed Suicide </t>
  </si>
  <si>
    <t>Karim Aïnouz</t>
  </si>
  <si>
    <t>Futuro Beach </t>
  </si>
  <si>
    <t>Ruba Nadda</t>
  </si>
  <si>
    <t>Inescapable </t>
  </si>
  <si>
    <t>Victor Fleming</t>
  </si>
  <si>
    <t>Gone with the Wind </t>
  </si>
  <si>
    <t>Richard Raymond</t>
  </si>
  <si>
    <t>Desert Dancer </t>
  </si>
  <si>
    <t>Sam Peckinpah</t>
  </si>
  <si>
    <t>Adventure|War|Western</t>
  </si>
  <si>
    <t>Major Dundee </t>
  </si>
  <si>
    <t>George Sidney</t>
  </si>
  <si>
    <t>Biography|Comedy|Musical|Romance|Western</t>
  </si>
  <si>
    <t>Annie Get Your Gun </t>
  </si>
  <si>
    <t>Peter Stebbings</t>
  </si>
  <si>
    <t>Defendor </t>
  </si>
  <si>
    <t>Vincente Minnelli</t>
  </si>
  <si>
    <t>Adventure|Comedy|Musical|Romance</t>
  </si>
  <si>
    <t>The Pirate </t>
  </si>
  <si>
    <t>Dagur Kári</t>
  </si>
  <si>
    <t>The Good Heart </t>
  </si>
  <si>
    <t>The History Boys </t>
  </si>
  <si>
    <t>The Full Monty </t>
  </si>
  <si>
    <t>Jim Abrahams</t>
  </si>
  <si>
    <t>Airplane! </t>
  </si>
  <si>
    <t>Friday </t>
  </si>
  <si>
    <t>Menace II Society </t>
  </si>
  <si>
    <t>Michael Gornick</t>
  </si>
  <si>
    <t>Creepshow 2 </t>
  </si>
  <si>
    <t>Robert Eggers</t>
  </si>
  <si>
    <t>The Witch </t>
  </si>
  <si>
    <t>Michael Martin</t>
  </si>
  <si>
    <t>I Got the Hook Up </t>
  </si>
  <si>
    <t>Edward Burns</t>
  </si>
  <si>
    <t>She's the One </t>
  </si>
  <si>
    <t>Gods and Monsters </t>
  </si>
  <si>
    <t>Juan José Campanella</t>
  </si>
  <si>
    <t>The Secret in Their Eyes </t>
  </si>
  <si>
    <t>Argentina</t>
  </si>
  <si>
    <t>Evil Dead II </t>
  </si>
  <si>
    <t>Louis C.K.</t>
  </si>
  <si>
    <t>Action|Adventure|Comedy|Musical</t>
  </si>
  <si>
    <t>Pootie Tang </t>
  </si>
  <si>
    <t>Salvador Carrasco</t>
  </si>
  <si>
    <t>La otra conquista </t>
  </si>
  <si>
    <t>André Øvredal</t>
  </si>
  <si>
    <t>Comedy|Drama|Fantasy|Horror</t>
  </si>
  <si>
    <t>Trollhunter </t>
  </si>
  <si>
    <t>Robert Cary</t>
  </si>
  <si>
    <t>Ira &amp; Abby </t>
  </si>
  <si>
    <t>Adam Rapp</t>
  </si>
  <si>
    <t>Winter Passing </t>
  </si>
  <si>
    <t>D.E.B.S. </t>
  </si>
  <si>
    <t>Warren P. Sonoda</t>
  </si>
  <si>
    <t>Action|Biography|Crime|Drama|Family|Fantasy</t>
  </si>
  <si>
    <t>The Masked Saint </t>
  </si>
  <si>
    <t>Charles Ferguson</t>
  </si>
  <si>
    <t>Time to Choose </t>
  </si>
  <si>
    <t>Luc Jacquet</t>
  </si>
  <si>
    <t>March of the Penguins </t>
  </si>
  <si>
    <t>Margin Call </t>
  </si>
  <si>
    <t>Clark Gregg</t>
  </si>
  <si>
    <t>Choke </t>
  </si>
  <si>
    <t>Damien Chazelle</t>
  </si>
  <si>
    <t>Whiplash </t>
  </si>
  <si>
    <t>City of God </t>
  </si>
  <si>
    <t>Justin Kerrigan</t>
  </si>
  <si>
    <t>Human Traffic </t>
  </si>
  <si>
    <t>The Hunt </t>
  </si>
  <si>
    <t>Bella </t>
  </si>
  <si>
    <t>Eric Styles</t>
  </si>
  <si>
    <t>Dreaming of Joseph Lees </t>
  </si>
  <si>
    <t>Joshua Marston</t>
  </si>
  <si>
    <t>Maria Full of Grace </t>
  </si>
  <si>
    <t>Colombia</t>
  </si>
  <si>
    <t>Beginners </t>
  </si>
  <si>
    <t>Animal House </t>
  </si>
  <si>
    <t>Goldfinger </t>
  </si>
  <si>
    <t>Trainspotting </t>
  </si>
  <si>
    <t>The Original Kings of Comedy </t>
  </si>
  <si>
    <t>Tod Williams</t>
  </si>
  <si>
    <t>Paranormal Activity 2 </t>
  </si>
  <si>
    <t>Waking Ned Devine </t>
  </si>
  <si>
    <t>Crime|Documentary|Drama</t>
  </si>
  <si>
    <t>Bowling for Columbine </t>
  </si>
  <si>
    <t>Jack Sholder</t>
  </si>
  <si>
    <t>A Nightmare on Elm Street 2: Freddy's Revenge </t>
  </si>
  <si>
    <t>A Room with a View </t>
  </si>
  <si>
    <t>The Purge </t>
  </si>
  <si>
    <t>Sinister </t>
  </si>
  <si>
    <t>Biography|Comedy|Documentary</t>
  </si>
  <si>
    <t>Martin Lawrence Live: Runteldat </t>
  </si>
  <si>
    <t>Air Bud </t>
  </si>
  <si>
    <t>Tom McLoughlin</t>
  </si>
  <si>
    <t>Jason Lives: Friday the 13th Part VI </t>
  </si>
  <si>
    <t>The Bridge on the River Kwai </t>
  </si>
  <si>
    <t>Spaced Invaders </t>
  </si>
  <si>
    <t>Adam Marcus</t>
  </si>
  <si>
    <t>Jason Goes to Hell: The Final Friday </t>
  </si>
  <si>
    <t>Comedy|Documentary|Music</t>
  </si>
  <si>
    <t>Dave Chappelle's Block Party </t>
  </si>
  <si>
    <t>Benny Boom</t>
  </si>
  <si>
    <t>Next Day Air </t>
  </si>
  <si>
    <t>Nnegest Likké</t>
  </si>
  <si>
    <t>Phat Girlz </t>
  </si>
  <si>
    <t>Before Midnight </t>
  </si>
  <si>
    <t>Christopher Leitch</t>
  </si>
  <si>
    <t>Teen Wolf Too </t>
  </si>
  <si>
    <t>Don Coscarelli</t>
  </si>
  <si>
    <t>Phantasm II </t>
  </si>
  <si>
    <t>Patricia Cardoso</t>
  </si>
  <si>
    <t>Real Women Have Curves </t>
  </si>
  <si>
    <t>Damien O'Donnell</t>
  </si>
  <si>
    <t>East Is East </t>
  </si>
  <si>
    <t>Peter M. Cohen</t>
  </si>
  <si>
    <t>Whipped </t>
  </si>
  <si>
    <t>Crime|Drama|History|Romance</t>
  </si>
  <si>
    <t>Kama Sutra: A Tale of Love </t>
  </si>
  <si>
    <t>Anthony Hickox</t>
  </si>
  <si>
    <t>Warlock: The Armageddon </t>
  </si>
  <si>
    <t>Tom Schulman</t>
  </si>
  <si>
    <t>8 Heads in a Duffel Bag </t>
  </si>
  <si>
    <t>Jill Sprecher</t>
  </si>
  <si>
    <t>Thirteen Conversations About One Thing </t>
  </si>
  <si>
    <t>Darren Stein</t>
  </si>
  <si>
    <t>Jawbreaker </t>
  </si>
  <si>
    <t>Julian Schnabel</t>
  </si>
  <si>
    <t>Basquiat </t>
  </si>
  <si>
    <t>Tsotsi </t>
  </si>
  <si>
    <t>Zulu</t>
  </si>
  <si>
    <t>Todd Solondz</t>
  </si>
  <si>
    <t>Happiness </t>
  </si>
  <si>
    <t>DysFunktional Family </t>
  </si>
  <si>
    <t>Comedy|Drama|Horror</t>
  </si>
  <si>
    <t>Tusk </t>
  </si>
  <si>
    <t>Oldboy </t>
  </si>
  <si>
    <t>David Nixon</t>
  </si>
  <si>
    <t>Letters to God </t>
  </si>
  <si>
    <t>Jason Eisener</t>
  </si>
  <si>
    <t>Hobo with a Shotgun </t>
  </si>
  <si>
    <t>Enrique Begne</t>
  </si>
  <si>
    <t>Compadres </t>
  </si>
  <si>
    <t>Leslye Headland</t>
  </si>
  <si>
    <t>Bachelorette </t>
  </si>
  <si>
    <t>Tim Heidecker</t>
  </si>
  <si>
    <t>Tim and Eric's Billion Dollar Movie </t>
  </si>
  <si>
    <t>Summer Storm </t>
  </si>
  <si>
    <t>Kate Connor</t>
  </si>
  <si>
    <t>Fort McCoy </t>
  </si>
  <si>
    <t>Deon Taylor</t>
  </si>
  <si>
    <t>Chain Letter </t>
  </si>
  <si>
    <t>Jason Alexander</t>
  </si>
  <si>
    <t>Just Looking </t>
  </si>
  <si>
    <t>The Divide </t>
  </si>
  <si>
    <t>Francesca Gregorini</t>
  </si>
  <si>
    <t>Tanner Hall </t>
  </si>
  <si>
    <t>Central Station </t>
  </si>
  <si>
    <t>Susan Seidelman</t>
  </si>
  <si>
    <t>Boynton Beach Club </t>
  </si>
  <si>
    <t>Heidi Ewing</t>
  </si>
  <si>
    <t>Freakonomics </t>
  </si>
  <si>
    <t>High Tension </t>
  </si>
  <si>
    <t>Hustle &amp; Flow </t>
  </si>
  <si>
    <t>Billy Wilder</t>
  </si>
  <si>
    <t>Some Like It Hot </t>
  </si>
  <si>
    <t>John Carl Buechler</t>
  </si>
  <si>
    <t>Friday the 13th Part VII: The New Blood </t>
  </si>
  <si>
    <t>The Wizard of Oz </t>
  </si>
  <si>
    <t>Young Frankenstein </t>
  </si>
  <si>
    <t>Diary of the Dead </t>
  </si>
  <si>
    <t>Victor Nunez</t>
  </si>
  <si>
    <t>Ulee's Gold </t>
  </si>
  <si>
    <t>Blazing Saddles </t>
  </si>
  <si>
    <t>Joseph Zito</t>
  </si>
  <si>
    <t>Friday the 13th: The Final Chapter </t>
  </si>
  <si>
    <t>Maurice </t>
  </si>
  <si>
    <t>Frank Sebastiano</t>
  </si>
  <si>
    <t>Beer League </t>
  </si>
  <si>
    <t>Nacho Vigalondo</t>
  </si>
  <si>
    <t>Timecrimes </t>
  </si>
  <si>
    <t>A Haunted House </t>
  </si>
  <si>
    <t>Dinesh D'Souza</t>
  </si>
  <si>
    <t>2016: Obama's America </t>
  </si>
  <si>
    <t>That Thing You Do! </t>
  </si>
  <si>
    <t>Tommy Lee Wallace</t>
  </si>
  <si>
    <t>Halloween III: Season of the Witch </t>
  </si>
  <si>
    <t>Leslie Small</t>
  </si>
  <si>
    <t>Kevin Hart: Let Me Explain </t>
  </si>
  <si>
    <t>My Own Private Idaho </t>
  </si>
  <si>
    <t>Garden State </t>
  </si>
  <si>
    <t>Before Sunrise </t>
  </si>
  <si>
    <t>Alison Maclean</t>
  </si>
  <si>
    <t>Jesus' Son </t>
  </si>
  <si>
    <t>Comedy|Crime|Drama|Sci-Fi</t>
  </si>
  <si>
    <t>Robot &amp; Frank </t>
  </si>
  <si>
    <t>Isabel Coixet</t>
  </si>
  <si>
    <t>My Life Without Me </t>
  </si>
  <si>
    <t>James Ponsoldt</t>
  </si>
  <si>
    <t>The Spectacular Now </t>
  </si>
  <si>
    <t>Comedy|Family|Musical|Romance|Short</t>
  </si>
  <si>
    <t>Marilyn Hotchkiss' Ballroom Dancing and Charm School </t>
  </si>
  <si>
    <t>Comedy|Documentary|War</t>
  </si>
  <si>
    <t>Religulous </t>
  </si>
  <si>
    <t>Joshua Tickell</t>
  </si>
  <si>
    <t>Fuel </t>
  </si>
  <si>
    <t>Tim Boxell</t>
  </si>
  <si>
    <t>Valley of the Heart's Delight </t>
  </si>
  <si>
    <t>Michael D. Sellers</t>
  </si>
  <si>
    <t>Eye of the Dolphin </t>
  </si>
  <si>
    <t>Reed Cowan</t>
  </si>
  <si>
    <t>8: The Mormon Proposition </t>
  </si>
  <si>
    <t>James Dodson</t>
  </si>
  <si>
    <t>The Other End of the Line </t>
  </si>
  <si>
    <t>Anatomy </t>
  </si>
  <si>
    <t>Alex Rivera</t>
  </si>
  <si>
    <t>Sleep Dealer </t>
  </si>
  <si>
    <t>Super </t>
  </si>
  <si>
    <t>Get on the Bus </t>
  </si>
  <si>
    <t>Robby Henson</t>
  </si>
  <si>
    <t>Thr3e </t>
  </si>
  <si>
    <t>Poland</t>
  </si>
  <si>
    <t>Shane Meadows</t>
  </si>
  <si>
    <t>This Is England </t>
  </si>
  <si>
    <t>Carmen Marron</t>
  </si>
  <si>
    <t>Go for It! </t>
  </si>
  <si>
    <t>Fantasia </t>
  </si>
  <si>
    <t>Friday the 13th Part III </t>
  </si>
  <si>
    <t>Danny Steinmann</t>
  </si>
  <si>
    <t>Friday the 13th: A New Beginning </t>
  </si>
  <si>
    <t>Michael Landon Jr.</t>
  </si>
  <si>
    <t>The Last Sin Eater </t>
  </si>
  <si>
    <t>Jon Gunn</t>
  </si>
  <si>
    <t>Do You Believe? </t>
  </si>
  <si>
    <t>William Wyler</t>
  </si>
  <si>
    <t>The Best Years of Our Lives </t>
  </si>
  <si>
    <t>Petter Næss</t>
  </si>
  <si>
    <t>Elling </t>
  </si>
  <si>
    <t>Robert Fontaine</t>
  </si>
  <si>
    <t>Mi America </t>
  </si>
  <si>
    <t>From Russia with Love </t>
  </si>
  <si>
    <t>Michael Herz</t>
  </si>
  <si>
    <t>Action|Comedy|Horror|Sci-Fi</t>
  </si>
  <si>
    <t>The Toxic Avenger Part II </t>
  </si>
  <si>
    <t>David Robert Mitchell</t>
  </si>
  <si>
    <t>It Follows </t>
  </si>
  <si>
    <t>Mad Max 2: The Road Warrior </t>
  </si>
  <si>
    <t>Chia-Liang Liu</t>
  </si>
  <si>
    <t>The Legend of Drunken Master </t>
  </si>
  <si>
    <t>Boys Don't Cry </t>
  </si>
  <si>
    <t>Chris Kentis</t>
  </si>
  <si>
    <t>Silent House </t>
  </si>
  <si>
    <t>The Lives of Others </t>
  </si>
  <si>
    <t>Alex Kendrick</t>
  </si>
  <si>
    <t>Courageous </t>
  </si>
  <si>
    <t>Sylvain Chomet</t>
  </si>
  <si>
    <t>Animation|Comedy|Drama</t>
  </si>
  <si>
    <t>The Triplets of Belleville </t>
  </si>
  <si>
    <t>Chris Eyre</t>
  </si>
  <si>
    <t>Smoke Signals </t>
  </si>
  <si>
    <t>Before Sunset </t>
  </si>
  <si>
    <t>Amores Perros </t>
  </si>
  <si>
    <t>Thirteen </t>
  </si>
  <si>
    <t>Debra Granik</t>
  </si>
  <si>
    <t>Winter's Bone </t>
  </si>
  <si>
    <t>Miranda July</t>
  </si>
  <si>
    <t>Me and You and Everyone We Know </t>
  </si>
  <si>
    <t>Max Joseph</t>
  </si>
  <si>
    <t>We Are Your Friends </t>
  </si>
  <si>
    <t>Harsh Times </t>
  </si>
  <si>
    <t>Captive </t>
  </si>
  <si>
    <t>Full Frontal </t>
  </si>
  <si>
    <t>Kevin Tenney</t>
  </si>
  <si>
    <t>Witchboard </t>
  </si>
  <si>
    <t>Shortbus </t>
  </si>
  <si>
    <t>Ari Folman</t>
  </si>
  <si>
    <t>Animation|Biography|Documentary|Drama|History|War</t>
  </si>
  <si>
    <t>Waltz with Bashir </t>
  </si>
  <si>
    <t>Hebrew</t>
  </si>
  <si>
    <t>Israel</t>
  </si>
  <si>
    <t>Gary Rogers</t>
  </si>
  <si>
    <t>The Book of Mormon Movie, Volume 1: The Journey </t>
  </si>
  <si>
    <t>Documentary|War</t>
  </si>
  <si>
    <t>No End in Sight </t>
  </si>
  <si>
    <t>Marielle Heller</t>
  </si>
  <si>
    <t>The Diary of a Teenage Girl </t>
  </si>
  <si>
    <t>David Sington</t>
  </si>
  <si>
    <t>Documentary|History</t>
  </si>
  <si>
    <t>In the Shadow of the Moon </t>
  </si>
  <si>
    <t>Biography|Documentary|History</t>
  </si>
  <si>
    <t>Inside Deep Throat </t>
  </si>
  <si>
    <t>Huck Botko</t>
  </si>
  <si>
    <t>The Virginity Hit </t>
  </si>
  <si>
    <t>David Duchovny</t>
  </si>
  <si>
    <t>House of D </t>
  </si>
  <si>
    <t>Lance Mungia</t>
  </si>
  <si>
    <t>Action|Adventure|Comedy|Drama|Music|Sci-Fi</t>
  </si>
  <si>
    <t>Six-String Samurai </t>
  </si>
  <si>
    <t>Hue Rhodes</t>
  </si>
  <si>
    <t>Saint John of Las Vegas </t>
  </si>
  <si>
    <t>Stonewall </t>
  </si>
  <si>
    <t>Noah Buschel</t>
  </si>
  <si>
    <t>The Missing Person </t>
  </si>
  <si>
    <t>Hunter Richards</t>
  </si>
  <si>
    <t>London </t>
  </si>
  <si>
    <t>Laurie Collyer</t>
  </si>
  <si>
    <t>Sherrybaby </t>
  </si>
  <si>
    <t>Ralph Ziman</t>
  </si>
  <si>
    <t>Gangster's Paradise: Jerusalema </t>
  </si>
  <si>
    <t>Orson Welles</t>
  </si>
  <si>
    <t>Crime|Drama|Film-Noir|Mystery|Thriller</t>
  </si>
  <si>
    <t>The Lady from Shanghai </t>
  </si>
  <si>
    <t>Paul Bunnell</t>
  </si>
  <si>
    <t>Comedy|Fantasy|Musical|Sci-Fi</t>
  </si>
  <si>
    <t>The Ghastly Love of Johnny X </t>
  </si>
  <si>
    <t>Tim Hunter</t>
  </si>
  <si>
    <t>River's Edge </t>
  </si>
  <si>
    <t>Northfork </t>
  </si>
  <si>
    <t>Rodrigo Cortés</t>
  </si>
  <si>
    <t>Buried </t>
  </si>
  <si>
    <t>Pascal Arnold</t>
  </si>
  <si>
    <t>One to Another </t>
  </si>
  <si>
    <t>Biography|Crime|Documentary|History|Thriller</t>
  </si>
  <si>
    <t>Man on Wire </t>
  </si>
  <si>
    <t>Jamal Hill</t>
  </si>
  <si>
    <t>Brotherly Love </t>
  </si>
  <si>
    <t>Daniel Stamm</t>
  </si>
  <si>
    <t>The Last Exorcism </t>
  </si>
  <si>
    <t>Carlos Carrera</t>
  </si>
  <si>
    <t>El crimen del padre Amaro </t>
  </si>
  <si>
    <t>Benh Zeitlin</t>
  </si>
  <si>
    <t>Beasts of the Southern Wild </t>
  </si>
  <si>
    <t>Maggie Greenwald</t>
  </si>
  <si>
    <t>Songcatcher </t>
  </si>
  <si>
    <t>The Greatest Movie Ever Sold </t>
  </si>
  <si>
    <t>Khyentse Norbu</t>
  </si>
  <si>
    <t>Travelers and Magicians </t>
  </si>
  <si>
    <t>Dzongkha</t>
  </si>
  <si>
    <t>Run Lola Run </t>
  </si>
  <si>
    <t>Lucky McKee</t>
  </si>
  <si>
    <t>May </t>
  </si>
  <si>
    <t>In the Bedroom </t>
  </si>
  <si>
    <t>Steven R. Monroe</t>
  </si>
  <si>
    <t>I Spit on Your Grave </t>
  </si>
  <si>
    <t>Mark Illsley</t>
  </si>
  <si>
    <t>Happy, Texas </t>
  </si>
  <si>
    <t>Pawel Pawlikowski</t>
  </si>
  <si>
    <t>My Summer of Love </t>
  </si>
  <si>
    <t>Ritesh Batra</t>
  </si>
  <si>
    <t>The Lunchbox </t>
  </si>
  <si>
    <t>Sally Potter</t>
  </si>
  <si>
    <t>Yes </t>
  </si>
  <si>
    <t>Dave Meyers</t>
  </si>
  <si>
    <t>Foolish </t>
  </si>
  <si>
    <t>Nadine Labaki</t>
  </si>
  <si>
    <t>Caramel </t>
  </si>
  <si>
    <t>Arabic</t>
  </si>
  <si>
    <t>Eytan Fox</t>
  </si>
  <si>
    <t>The Bubble </t>
  </si>
  <si>
    <t>François Truffaut</t>
  </si>
  <si>
    <t>Mississippi Mermaid </t>
  </si>
  <si>
    <t>Adam Goldberg</t>
  </si>
  <si>
    <t>I Love Your Work </t>
  </si>
  <si>
    <t>Adrienne Shelly</t>
  </si>
  <si>
    <t>Waitress </t>
  </si>
  <si>
    <t>Newt Arnold</t>
  </si>
  <si>
    <t>Bloodsport </t>
  </si>
  <si>
    <t>Larry Clark</t>
  </si>
  <si>
    <t>Kids </t>
  </si>
  <si>
    <t>The Squid and the Whale </t>
  </si>
  <si>
    <t>Kissing Jessica Stein </t>
  </si>
  <si>
    <t>Exotica </t>
  </si>
  <si>
    <t>Buffalo '66 </t>
  </si>
  <si>
    <t>Insidious </t>
  </si>
  <si>
    <t>Fabián Bielinsky</t>
  </si>
  <si>
    <t>Nine Queens </t>
  </si>
  <si>
    <t>Rebecca Miller</t>
  </si>
  <si>
    <t>The Ballad of Jack and Rose </t>
  </si>
  <si>
    <t>Maggie Carey</t>
  </si>
  <si>
    <t>The To Do List </t>
  </si>
  <si>
    <t>Killing Zoe </t>
  </si>
  <si>
    <t>Henry Bean</t>
  </si>
  <si>
    <t>The Believer </t>
  </si>
  <si>
    <t>Session 9 </t>
  </si>
  <si>
    <t>Jeff Garlin</t>
  </si>
  <si>
    <t>I Want Someone to Eat Cheese With </t>
  </si>
  <si>
    <t>Charles Chaplin</t>
  </si>
  <si>
    <t>Modern Times </t>
  </si>
  <si>
    <t>Pete Jones</t>
  </si>
  <si>
    <t>Stolen Summer </t>
  </si>
  <si>
    <t>Bruce Campbell</t>
  </si>
  <si>
    <t>My Name Is Bruce </t>
  </si>
  <si>
    <t>The Salon </t>
  </si>
  <si>
    <t>Adam Carolla</t>
  </si>
  <si>
    <t>Road Hard </t>
  </si>
  <si>
    <t>Amigo </t>
  </si>
  <si>
    <t>Bruce McDonald</t>
  </si>
  <si>
    <t>Pontypool </t>
  </si>
  <si>
    <t>James Mottern</t>
  </si>
  <si>
    <t>Trucker </t>
  </si>
  <si>
    <t>The Lords of Salem </t>
  </si>
  <si>
    <t>William Cottrell</t>
  </si>
  <si>
    <t>Snow White and the Seven Dwarfs </t>
  </si>
  <si>
    <t>Lucrecia Martel</t>
  </si>
  <si>
    <t>The Holy Girl </t>
  </si>
  <si>
    <t>Zak Penn</t>
  </si>
  <si>
    <t>Adventure|Comedy|Horror</t>
  </si>
  <si>
    <t>Incident at Loch Ness </t>
  </si>
  <si>
    <t>Lock, Stock and Two Smoking Barrels </t>
  </si>
  <si>
    <t>The Celebration </t>
  </si>
  <si>
    <t>Steve Buscemi</t>
  </si>
  <si>
    <t>Trees Lounge </t>
  </si>
  <si>
    <t>Ham Tran</t>
  </si>
  <si>
    <t>Journey from the Fall </t>
  </si>
  <si>
    <t>Vietnamese</t>
  </si>
  <si>
    <t>Rich Cowan</t>
  </si>
  <si>
    <t>The Basket </t>
  </si>
  <si>
    <t>Boris Rodriguez</t>
  </si>
  <si>
    <t>Eddie: The Sleepwalking Cannibal </t>
  </si>
  <si>
    <t>Jonathan Kesselman</t>
  </si>
  <si>
    <t>The Hebrew Hammer </t>
  </si>
  <si>
    <t>Arjun Sablok</t>
  </si>
  <si>
    <t>Neal 'N' Nikki </t>
  </si>
  <si>
    <t>Friday the 13th Part 2 </t>
  </si>
  <si>
    <t>Youssef Delara</t>
  </si>
  <si>
    <t>Filly Brown </t>
  </si>
  <si>
    <t>Sex, Lies, and Videotape </t>
  </si>
  <si>
    <t>Saw </t>
  </si>
  <si>
    <t>Super Troopers </t>
  </si>
  <si>
    <t>Claudia Sainte-Luce</t>
  </si>
  <si>
    <t>The Amazing Catfish </t>
  </si>
  <si>
    <t>Monsoon Wedding </t>
  </si>
  <si>
    <t>You Can Count on Me </t>
  </si>
  <si>
    <t>Jamie Babbit</t>
  </si>
  <si>
    <t>But I'm a Cheerleader </t>
  </si>
  <si>
    <t>David Boyd</t>
  </si>
  <si>
    <t>Home Run </t>
  </si>
  <si>
    <t>Reservoir Dogs </t>
  </si>
  <si>
    <t>The Good, the Bad and the Ugly </t>
  </si>
  <si>
    <t>Anna Muylaert</t>
  </si>
  <si>
    <t>The Second Mother </t>
  </si>
  <si>
    <t>Steve Taylor</t>
  </si>
  <si>
    <t>Blue Like Jazz </t>
  </si>
  <si>
    <t>Kurt Voss</t>
  </si>
  <si>
    <t>Down and Out with the Dolls </t>
  </si>
  <si>
    <t>Léa Pool</t>
  </si>
  <si>
    <t>Pink Ribbons, Inc. </t>
  </si>
  <si>
    <t>James David Pasternak</t>
  </si>
  <si>
    <t>Certifiably Jonathan </t>
  </si>
  <si>
    <t>Tom Sanchez</t>
  </si>
  <si>
    <t>The Knife of Don Juan </t>
  </si>
  <si>
    <t>Adventure|Comedy|Sport</t>
  </si>
  <si>
    <t>Airborne </t>
  </si>
  <si>
    <t>Rob McKittrick</t>
  </si>
  <si>
    <t>Waiting... </t>
  </si>
  <si>
    <t>Dead Man's Shoes </t>
  </si>
  <si>
    <t>Jeff Burr</t>
  </si>
  <si>
    <t>Action|Drama|Horror|Thriller</t>
  </si>
  <si>
    <t>From a Whisper to a Scream </t>
  </si>
  <si>
    <t>Guy Maddin</t>
  </si>
  <si>
    <t>Comedy|Horror|Musical</t>
  </si>
  <si>
    <t>Dracula: Pages from a Virgin's Diary </t>
  </si>
  <si>
    <t>Panos Cosmatos</t>
  </si>
  <si>
    <t>Beyond the Black Rainbow </t>
  </si>
  <si>
    <t>Gareth Evans</t>
  </si>
  <si>
    <t>The Raid: Redemption </t>
  </si>
  <si>
    <t>Indonesian</t>
  </si>
  <si>
    <t>Indonesia</t>
  </si>
  <si>
    <t>Rocky </t>
  </si>
  <si>
    <t>Levan Gabriadze</t>
  </si>
  <si>
    <t>Unfriended </t>
  </si>
  <si>
    <t>The Howling </t>
  </si>
  <si>
    <t>Dr. No </t>
  </si>
  <si>
    <t>Bradley Parker</t>
  </si>
  <si>
    <t>Chernobyl Diaries </t>
  </si>
  <si>
    <t>Clive Barker</t>
  </si>
  <si>
    <t>Hellraiser </t>
  </si>
  <si>
    <t>Harold Cronk</t>
  </si>
  <si>
    <t>God's Not Dead 2 </t>
  </si>
  <si>
    <t>Cry_Wolf </t>
  </si>
  <si>
    <t>Takao Okawara</t>
  </si>
  <si>
    <t>Godzilla 2000 </t>
  </si>
  <si>
    <t>Blue Valentine </t>
  </si>
  <si>
    <t>Duncan Tucker</t>
  </si>
  <si>
    <t>Transamerica </t>
  </si>
  <si>
    <t>The Devil Inside </t>
  </si>
  <si>
    <t>Russ Meyer</t>
  </si>
  <si>
    <t>Beyond the Valley of the Dolls </t>
  </si>
  <si>
    <t>The Green Inferno </t>
  </si>
  <si>
    <t>Ben Lewin</t>
  </si>
  <si>
    <t>The Sessions </t>
  </si>
  <si>
    <t>Next Stop Wonderland </t>
  </si>
  <si>
    <t>Courtney Hunt</t>
  </si>
  <si>
    <t>Frozen River </t>
  </si>
  <si>
    <t>Morgan Neville</t>
  </si>
  <si>
    <t>20 Feet from Stardom </t>
  </si>
  <si>
    <t>Two Girls and a Guy </t>
  </si>
  <si>
    <t>Walking and Talking </t>
  </si>
  <si>
    <t>Chris Paine</t>
  </si>
  <si>
    <t>Who Killed the Electric Car? </t>
  </si>
  <si>
    <t>Greg Berlanti</t>
  </si>
  <si>
    <t>The Broken Hearts Club: A Romantic Comedy </t>
  </si>
  <si>
    <t>Marc Levin</t>
  </si>
  <si>
    <t>Slam </t>
  </si>
  <si>
    <t>Richard Dutcher</t>
  </si>
  <si>
    <t>Brigham City </t>
  </si>
  <si>
    <t>Khalid Mohamed</t>
  </si>
  <si>
    <t>Fiza </t>
  </si>
  <si>
    <t>Orgazmo </t>
  </si>
  <si>
    <t>All the Real Girls </t>
  </si>
  <si>
    <t>Finn Taylor</t>
  </si>
  <si>
    <t>Dream with the Fishes </t>
  </si>
  <si>
    <t>Karen Moncrieff</t>
  </si>
  <si>
    <t>Blue Car </t>
  </si>
  <si>
    <t>José Luis Valenzuela</t>
  </si>
  <si>
    <t>Luminarias </t>
  </si>
  <si>
    <t>Goran Dukic</t>
  </si>
  <si>
    <t>Wristcutters: A Love Story </t>
  </si>
  <si>
    <t>Efram Potelle</t>
  </si>
  <si>
    <t>The Battle of Shaker Heights </t>
  </si>
  <si>
    <t>Joshua Oppenheimer</t>
  </si>
  <si>
    <t>Biography|Crime|Documentary|History</t>
  </si>
  <si>
    <t>The Act of Killing </t>
  </si>
  <si>
    <t>Alex Gibney</t>
  </si>
  <si>
    <t>Crime|Documentary|War</t>
  </si>
  <si>
    <t>Taxi to the Dark Side </t>
  </si>
  <si>
    <t>Paul Crowder</t>
  </si>
  <si>
    <t>Documentary|Sport</t>
  </si>
  <si>
    <t>Once in a Lifetime: The Extraordinary Story of the New York Cosmos </t>
  </si>
  <si>
    <t>Anthony Powell</t>
  </si>
  <si>
    <t>Adventure|Biography|Documentary|Drama</t>
  </si>
  <si>
    <t>Antarctica: A Year on Ice </t>
  </si>
  <si>
    <t>Kief Davidson</t>
  </si>
  <si>
    <t>A Lego Brickumentary </t>
  </si>
  <si>
    <t>Johnny Remo</t>
  </si>
  <si>
    <t>Hardflip </t>
  </si>
  <si>
    <t>Vivek Agnihotri</t>
  </si>
  <si>
    <t>Thriller</t>
  </si>
  <si>
    <t>Chocolate: Deep Dark Secrets </t>
  </si>
  <si>
    <t>Ti West</t>
  </si>
  <si>
    <t>The House of the Devil </t>
  </si>
  <si>
    <t>Nick Tomnay</t>
  </si>
  <si>
    <t>The Perfect Host </t>
  </si>
  <si>
    <t>Safe Men </t>
  </si>
  <si>
    <t>The Specials </t>
  </si>
  <si>
    <t>Eric Nicholas</t>
  </si>
  <si>
    <t>Alone with Her </t>
  </si>
  <si>
    <t>Benjamin Dickinson</t>
  </si>
  <si>
    <t>Creative Control </t>
  </si>
  <si>
    <t>Hal Haberman</t>
  </si>
  <si>
    <t>Special </t>
  </si>
  <si>
    <t>In Her Line of Fire </t>
  </si>
  <si>
    <t>Frank Whaley</t>
  </si>
  <si>
    <t>The Jimmy Show </t>
  </si>
  <si>
    <t>Elia Kazan</t>
  </si>
  <si>
    <t>On the Waterfront </t>
  </si>
  <si>
    <t>Kat Coiro</t>
  </si>
  <si>
    <t>L!fe Happens </t>
  </si>
  <si>
    <t>Cristian Mungiu</t>
  </si>
  <si>
    <t>4 Months, 3 Weeks and 2 Days </t>
  </si>
  <si>
    <t>Romanian</t>
  </si>
  <si>
    <t>Hard Candy </t>
  </si>
  <si>
    <t>The Quiet </t>
  </si>
  <si>
    <t>Fruitvale Station </t>
  </si>
  <si>
    <t>Ramaa Mosley</t>
  </si>
  <si>
    <t>Comedy|Fantasy|Thriller</t>
  </si>
  <si>
    <t>The Brass Teapot </t>
  </si>
  <si>
    <t>The Hammer </t>
  </si>
  <si>
    <t>C. Jay Cox</t>
  </si>
  <si>
    <t>Latter Days </t>
  </si>
  <si>
    <t>Jamie Travis</t>
  </si>
  <si>
    <t>For a Good Time, Call... </t>
  </si>
  <si>
    <t>Rich Christiano</t>
  </si>
  <si>
    <t>Drama|Fantasy|Sci-Fi</t>
  </si>
  <si>
    <t>Time Changer </t>
  </si>
  <si>
    <t>Asghar Farhadi</t>
  </si>
  <si>
    <t>A Separation </t>
  </si>
  <si>
    <t>Persian</t>
  </si>
  <si>
    <t>Welcome to the Dollhouse </t>
  </si>
  <si>
    <t>Ruby in Paradise </t>
  </si>
  <si>
    <t>Raising Victor Vargas </t>
  </si>
  <si>
    <t>Deterrence </t>
  </si>
  <si>
    <t>Shane Dawson</t>
  </si>
  <si>
    <t>Not Cool </t>
  </si>
  <si>
    <t>Dead Snow </t>
  </si>
  <si>
    <t>Ryan Little</t>
  </si>
  <si>
    <t>Action|Adventure|Drama|War</t>
  </si>
  <si>
    <t>Saints and Soldiers </t>
  </si>
  <si>
    <t>American Graffiti </t>
  </si>
  <si>
    <t>Matt Maiellaro</t>
  </si>
  <si>
    <t>Action|Adventure|Animation|Comedy|Fantasy|Sci-Fi</t>
  </si>
  <si>
    <t>Aqua Teen Hunger Force Colon Movie Film for Theaters </t>
  </si>
  <si>
    <t>Safety Not Guaranteed </t>
  </si>
  <si>
    <t>Ben Wheatley</t>
  </si>
  <si>
    <t>Kill List </t>
  </si>
  <si>
    <t>The Innkeepers </t>
  </si>
  <si>
    <t>Interview with the Assassin </t>
  </si>
  <si>
    <t>Oliver Blackburn</t>
  </si>
  <si>
    <t>Donkey Punch </t>
  </si>
  <si>
    <t>Documentary|Drama|Sport</t>
  </si>
  <si>
    <t>Hoop Dreams </t>
  </si>
  <si>
    <t>L.I.E. </t>
  </si>
  <si>
    <t>Ryan Fleck</t>
  </si>
  <si>
    <t>Half Nelson </t>
  </si>
  <si>
    <t>Jennifer Wynne Farmer</t>
  </si>
  <si>
    <t>Naturally Native </t>
  </si>
  <si>
    <t>Christopher Scott Cherot</t>
  </si>
  <si>
    <t>Hav Plenty </t>
  </si>
  <si>
    <t>Mark Sandrich</t>
  </si>
  <si>
    <t>Top Hat </t>
  </si>
  <si>
    <t>Daniel Myrick</t>
  </si>
  <si>
    <t>The Blair Witch Project </t>
  </si>
  <si>
    <t>Michael Wadleigh</t>
  </si>
  <si>
    <t>Documentary|History|Music</t>
  </si>
  <si>
    <t>Woodstock </t>
  </si>
  <si>
    <t>Mercy Streets </t>
  </si>
  <si>
    <t>Gene Teigland</t>
  </si>
  <si>
    <t>Arnolds Park </t>
  </si>
  <si>
    <t>Scott Ziehl</t>
  </si>
  <si>
    <t>Broken Vessels </t>
  </si>
  <si>
    <t>A Hard Day's Night </t>
  </si>
  <si>
    <t>U. Roberto Romano</t>
  </si>
  <si>
    <t>The Harvest/La Cosecha </t>
  </si>
  <si>
    <t>Fireproof </t>
  </si>
  <si>
    <t>Joe Camp</t>
  </si>
  <si>
    <t>Adventure|Family|Romance</t>
  </si>
  <si>
    <t>Benji </t>
  </si>
  <si>
    <t>Adventure|Biography|Drama|Horror|Thriller</t>
  </si>
  <si>
    <t>Open Water </t>
  </si>
  <si>
    <t>John 'Bud' Cardos</t>
  </si>
  <si>
    <t>Kingdom of the Spiders </t>
  </si>
  <si>
    <t>The Station Agent </t>
  </si>
  <si>
    <t>Brian Baugh</t>
  </si>
  <si>
    <t>To Save a Life </t>
  </si>
  <si>
    <t>Barry W. Blaustein</t>
  </si>
  <si>
    <t>Biography|Documentary|Sport</t>
  </si>
  <si>
    <t>Beyond the Mat </t>
  </si>
  <si>
    <t>Kurt Hale</t>
  </si>
  <si>
    <t>The Singles Ward </t>
  </si>
  <si>
    <t>Siddiq Barmak</t>
  </si>
  <si>
    <t>Osama </t>
  </si>
  <si>
    <t>Afghanistan</t>
  </si>
  <si>
    <t>Joseph Dorman</t>
  </si>
  <si>
    <t>Sholem Aleichem: Laughing in the Darkness </t>
  </si>
  <si>
    <t>Greg Harrison</t>
  </si>
  <si>
    <t>Groove </t>
  </si>
  <si>
    <t>The R.M. </t>
  </si>
  <si>
    <t>Twin Falls Idaho </t>
  </si>
  <si>
    <t>Jacob Aaron Estes</t>
  </si>
  <si>
    <t>Mean Creek </t>
  </si>
  <si>
    <t>Hurricane Streets </t>
  </si>
  <si>
    <t>Eric Schaeffer</t>
  </si>
  <si>
    <t>Never Again </t>
  </si>
  <si>
    <t>Neema Barnette</t>
  </si>
  <si>
    <t>Civil Brand </t>
  </si>
  <si>
    <t>Lonesome Jim </t>
  </si>
  <si>
    <t>Molly Bernstein</t>
  </si>
  <si>
    <t>Deceptive Practice: The Mysteries and Mentors of Ricky Jay </t>
  </si>
  <si>
    <t>Seven Samurai </t>
  </si>
  <si>
    <t>Marius A. Markevicius</t>
  </si>
  <si>
    <t>The Other Dream Team </t>
  </si>
  <si>
    <t>Finishing the Game: The Search for a New Bruce Lee </t>
  </si>
  <si>
    <t>Quentin Dupieux</t>
  </si>
  <si>
    <t>Rubber </t>
  </si>
  <si>
    <t>Kiss the Bride </t>
  </si>
  <si>
    <t>Alex Smith</t>
  </si>
  <si>
    <t>The Slaughter Rule </t>
  </si>
  <si>
    <t>Gareth Edwards</t>
  </si>
  <si>
    <t>Monsters </t>
  </si>
  <si>
    <t>Sol Tryon</t>
  </si>
  <si>
    <t>The Living Wake </t>
  </si>
  <si>
    <t>Alex Craig Mann</t>
  </si>
  <si>
    <t>Detention of the Dead </t>
  </si>
  <si>
    <t>Catherine Gund</t>
  </si>
  <si>
    <t>Action|Biography|Documentary|Sport</t>
  </si>
  <si>
    <t>Born to Fly: Elizabeth Streb vs. Gravity </t>
  </si>
  <si>
    <t>Matty Rich</t>
  </si>
  <si>
    <t>Straight Out of Brooklyn </t>
  </si>
  <si>
    <t>Bloody Sunday </t>
  </si>
  <si>
    <t>Hans Canosa</t>
  </si>
  <si>
    <t>Conversations with Other Women </t>
  </si>
  <si>
    <t>Lloyd Kaufman</t>
  </si>
  <si>
    <t>Poultrygeist: Night of the Chicken Dead </t>
  </si>
  <si>
    <t>Lloyd Bacon</t>
  </si>
  <si>
    <t>42nd Street </t>
  </si>
  <si>
    <t>Whit Stillman</t>
  </si>
  <si>
    <t>Metropolitan </t>
  </si>
  <si>
    <t>Kay Pollak</t>
  </si>
  <si>
    <t>As It Is in Heaven </t>
  </si>
  <si>
    <t>Swedish</t>
  </si>
  <si>
    <t>Sweden</t>
  </si>
  <si>
    <t>Napoleon Dynamite </t>
  </si>
  <si>
    <t>Blue Ruin </t>
  </si>
  <si>
    <t>Oren Peli</t>
  </si>
  <si>
    <t>Paranormal Activity </t>
  </si>
  <si>
    <t>Monty Python and the Holy Grail </t>
  </si>
  <si>
    <t>Quinceañera </t>
  </si>
  <si>
    <t>Sue Corcoran</t>
  </si>
  <si>
    <t>Comedy|Fantasy|Horror|Musical</t>
  </si>
  <si>
    <t>Gory Gory Hallelujah </t>
  </si>
  <si>
    <t>Jonathan Caouette</t>
  </si>
  <si>
    <t>Biography|Documentary</t>
  </si>
  <si>
    <t>Tarnation </t>
  </si>
  <si>
    <t>Ray Griggs</t>
  </si>
  <si>
    <t>I Want Your Money </t>
  </si>
  <si>
    <t>Lucio Fulci</t>
  </si>
  <si>
    <t>The Beyond </t>
  </si>
  <si>
    <t>What Happens in Vegas </t>
  </si>
  <si>
    <t>Roger Nygard</t>
  </si>
  <si>
    <t>Trekkies </t>
  </si>
  <si>
    <t>Harry Beaumont</t>
  </si>
  <si>
    <t>The Broadway Melody </t>
  </si>
  <si>
    <t>Franck Khalfoun</t>
  </si>
  <si>
    <t>Maniac </t>
  </si>
  <si>
    <t>Mor Loushy</t>
  </si>
  <si>
    <t>Censored Voices </t>
  </si>
  <si>
    <t>Henry Alex Rubin</t>
  </si>
  <si>
    <t>Murderball </t>
  </si>
  <si>
    <t>Sam Firstenberg</t>
  </si>
  <si>
    <t>American Ninja 2: The Confrontation </t>
  </si>
  <si>
    <t>Tumbleweeds </t>
  </si>
  <si>
    <t>Gregory Widen</t>
  </si>
  <si>
    <t>Action|Fantasy|Horror|Mystery|Thriller</t>
  </si>
  <si>
    <t>The Prophecy </t>
  </si>
  <si>
    <t>When the Cat's Away </t>
  </si>
  <si>
    <t>Pieces of April </t>
  </si>
  <si>
    <t>Kelly Reichardt</t>
  </si>
  <si>
    <t>Old Joy </t>
  </si>
  <si>
    <t>Wendy and Lucy </t>
  </si>
  <si>
    <t>Pan Nalin</t>
  </si>
  <si>
    <t>Ayurveda: Art of Being </t>
  </si>
  <si>
    <t>Michael Roemer</t>
  </si>
  <si>
    <t>Nothing But a Man </t>
  </si>
  <si>
    <t>First Love, Last Rites </t>
  </si>
  <si>
    <t>Eddie O'Flaherty</t>
  </si>
  <si>
    <t>Fighting Tommy Riley </t>
  </si>
  <si>
    <t>Bruce Dellis</t>
  </si>
  <si>
    <t>Locker 13 </t>
  </si>
  <si>
    <t>Craig Zobel</t>
  </si>
  <si>
    <t>Compliance </t>
  </si>
  <si>
    <t>Chasing Amy </t>
  </si>
  <si>
    <t>Lovely &amp; Amazing </t>
  </si>
  <si>
    <t>Better Luck Tomorrow </t>
  </si>
  <si>
    <t>Maria Maggenti</t>
  </si>
  <si>
    <t>The Incredibly True Adventure of Two Girls in Love </t>
  </si>
  <si>
    <t>Chuck &amp; Buck </t>
  </si>
  <si>
    <t>Piyush Dinker Pandya</t>
  </si>
  <si>
    <t>American Desi </t>
  </si>
  <si>
    <t>Cube </t>
  </si>
  <si>
    <t>Emma-Kate Croghan</t>
  </si>
  <si>
    <t>Love and Other Catastrophes </t>
  </si>
  <si>
    <t>Bill Plympton</t>
  </si>
  <si>
    <t>Animation|Comedy|Drama|Fantasy|Sci-Fi</t>
  </si>
  <si>
    <t>I Married a Strange Person! </t>
  </si>
  <si>
    <t>November </t>
  </si>
  <si>
    <t>Drake Doremus</t>
  </si>
  <si>
    <t>Like Crazy </t>
  </si>
  <si>
    <t>Sugar Town </t>
  </si>
  <si>
    <t>The Canyons </t>
  </si>
  <si>
    <t>Hilary Brougher</t>
  </si>
  <si>
    <t>Sci-Fi</t>
  </si>
  <si>
    <t>The Sticky Fingers of Time </t>
  </si>
  <si>
    <t>Tom Putnam</t>
  </si>
  <si>
    <t>Burn </t>
  </si>
  <si>
    <t>Jon Shear</t>
  </si>
  <si>
    <t>Urbania </t>
  </si>
  <si>
    <t>Eugène Lourié</t>
  </si>
  <si>
    <t>Adventure|Horror|Sci-Fi</t>
  </si>
  <si>
    <t>The Beast from 20,000 Fathoms </t>
  </si>
  <si>
    <t>Swingers </t>
  </si>
  <si>
    <t>A Fistful of Dollars </t>
  </si>
  <si>
    <t>Maurizio Benazzo</t>
  </si>
  <si>
    <t>Short Cut to Nirvana: Kumbh Mela </t>
  </si>
  <si>
    <t>David G. Evans</t>
  </si>
  <si>
    <t>The Grace Card </t>
  </si>
  <si>
    <t>Middle of Nowhere </t>
  </si>
  <si>
    <t>Sherman Alexie</t>
  </si>
  <si>
    <t>The Business of Fancydancing </t>
  </si>
  <si>
    <t>Justin Dillon</t>
  </si>
  <si>
    <t>Call + Response </t>
  </si>
  <si>
    <t>Ricki Stern</t>
  </si>
  <si>
    <t>Crime|Documentary</t>
  </si>
  <si>
    <t>The Trials of Darryl Hunt </t>
  </si>
  <si>
    <t>Majid Majidi</t>
  </si>
  <si>
    <t>Children of Heaven </t>
  </si>
  <si>
    <t>Andrew Haigh</t>
  </si>
  <si>
    <t>Weekend </t>
  </si>
  <si>
    <t>She's Gotta Have It </t>
  </si>
  <si>
    <t>Mike Cahill</t>
  </si>
  <si>
    <t>Another Earth </t>
  </si>
  <si>
    <t>Melvin Van Peebles</t>
  </si>
  <si>
    <t>Sweet Sweetback's Baadasssss Song </t>
  </si>
  <si>
    <t>Tadpole </t>
  </si>
  <si>
    <t>Once </t>
  </si>
  <si>
    <t>Robinson Devor</t>
  </si>
  <si>
    <t>The Woman Chaser </t>
  </si>
  <si>
    <t>Michel Orion Scott</t>
  </si>
  <si>
    <t>The Horse Boy </t>
  </si>
  <si>
    <t>Dena Seidel</t>
  </si>
  <si>
    <t>Adventure|Documentary</t>
  </si>
  <si>
    <t>Antarctic Edge: 70° South </t>
  </si>
  <si>
    <t>Sara Newens</t>
  </si>
  <si>
    <t>Top Spin </t>
  </si>
  <si>
    <t>Roger &amp; Me </t>
  </si>
  <si>
    <t>Lynn Shelton</t>
  </si>
  <si>
    <t>Your Sister's Sister </t>
  </si>
  <si>
    <t>Facing the Giants </t>
  </si>
  <si>
    <t>Travis Cluff</t>
  </si>
  <si>
    <t>The Gallows </t>
  </si>
  <si>
    <t>Robert Townsend</t>
  </si>
  <si>
    <t>Hollywood Shuffle </t>
  </si>
  <si>
    <t>Larry Blamire</t>
  </si>
  <si>
    <t>The Lost Skeleton of Cadavra </t>
  </si>
  <si>
    <t>E.L. Katz</t>
  </si>
  <si>
    <t>Comedy|Crime|Drama|Horror|Thriller</t>
  </si>
  <si>
    <t>Cheap Thrills </t>
  </si>
  <si>
    <t>Pi </t>
  </si>
  <si>
    <t>Myles Berkowitz</t>
  </si>
  <si>
    <t>20 Dates </t>
  </si>
  <si>
    <t>Comedy|Documentary|Drama</t>
  </si>
  <si>
    <t>Super Size Me </t>
  </si>
  <si>
    <t>Brandon Trost</t>
  </si>
  <si>
    <t>The FP </t>
  </si>
  <si>
    <t>Joe Swanberg</t>
  </si>
  <si>
    <t>Happy Christmas </t>
  </si>
  <si>
    <t>The Brothers McMullen </t>
  </si>
  <si>
    <t>Lena Dunham</t>
  </si>
  <si>
    <t>Tiny Furniture </t>
  </si>
  <si>
    <t>George Washington </t>
  </si>
  <si>
    <t>Kevin Jordan</t>
  </si>
  <si>
    <t>Smiling Fish &amp; Goat on Fire </t>
  </si>
  <si>
    <t>Mike Bruce</t>
  </si>
  <si>
    <t>The Legend of God's Gun </t>
  </si>
  <si>
    <t>Clerks </t>
  </si>
  <si>
    <t>James Bidgood</t>
  </si>
  <si>
    <t>Pink Narcissus </t>
  </si>
  <si>
    <t>In the Company of Men </t>
  </si>
  <si>
    <t>Slacker </t>
  </si>
  <si>
    <t>The Puffy Chair </t>
  </si>
  <si>
    <t>Daryl Wein</t>
  </si>
  <si>
    <t>Romance</t>
  </si>
  <si>
    <t>Breaking Upwards </t>
  </si>
  <si>
    <t>Comedy|Crime|Horror</t>
  </si>
  <si>
    <t>Pink Flamingos </t>
  </si>
  <si>
    <t>Clean </t>
  </si>
  <si>
    <t>Jafar Panahi</t>
  </si>
  <si>
    <t>The Circle </t>
  </si>
  <si>
    <t>Kiyoshi Kurosawa</t>
  </si>
  <si>
    <t>The Cure </t>
  </si>
  <si>
    <t>Shane Carruth</t>
  </si>
  <si>
    <t>Primer </t>
  </si>
  <si>
    <t>Neill Dela Llana</t>
  </si>
  <si>
    <t>Cavite </t>
  </si>
  <si>
    <t>Philippines</t>
  </si>
  <si>
    <t>El Mariachi </t>
  </si>
  <si>
    <t>Newlyweds </t>
  </si>
  <si>
    <t>My Date with Drew </t>
  </si>
  <si>
    <t>2.Movie duration analysis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</si>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</sst>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</font>
    <font>
      <b/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2"/>
      <color theme="1"/>
      <name val="Arial"/>
      <scheme val="minor"/>
    </font>
    <font>
      <sz val="11"/>
      <color theme="1"/>
      <name val="Arial"/>
      <scheme val="minor"/>
    </font>
    <font>
      <b/>
      <sz val="14"/>
      <color theme="1"/>
      <name val="Arial"/>
      <family val="2"/>
      <scheme val="minor"/>
    </font>
    <font>
      <b/>
      <sz val="15"/>
      <color rgb="FF000000"/>
      <name val="Arial"/>
      <family val="2"/>
      <scheme val="minor"/>
    </font>
    <font>
      <b/>
      <sz val="13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i/>
      <u/>
      <sz val="15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n">
        <color rgb="FFFFD966"/>
      </top>
      <bottom style="thin">
        <color rgb="FFFFD966"/>
      </bottom>
      <diagonal/>
    </border>
    <border>
      <left/>
      <right/>
      <top/>
      <bottom style="thin">
        <color rgb="FFFFD966"/>
      </bottom>
      <diagonal/>
    </border>
    <border>
      <left/>
      <right/>
      <top style="thin">
        <color rgb="FFFFD966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1" fillId="3" borderId="0" xfId="0" applyFont="1" applyFill="1"/>
    <xf numFmtId="0" fontId="9" fillId="0" borderId="0" xfId="0" applyFont="1"/>
    <xf numFmtId="0" fontId="2" fillId="2" borderId="0" xfId="0" applyFont="1" applyFill="1"/>
    <xf numFmtId="0" fontId="2" fillId="4" borderId="0" xfId="0" applyFont="1" applyFill="1"/>
    <xf numFmtId="0" fontId="10" fillId="0" borderId="0" xfId="0" applyFont="1"/>
    <xf numFmtId="0" fontId="1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1" fillId="0" borderId="0" xfId="0" applyNumberFormat="1" applyFont="1"/>
    <xf numFmtId="0" fontId="12" fillId="0" borderId="0" xfId="0" applyFont="1"/>
    <xf numFmtId="0" fontId="14" fillId="6" borderId="1" xfId="0" applyFont="1" applyFill="1" applyBorder="1"/>
    <xf numFmtId="0" fontId="14" fillId="0" borderId="1" xfId="0" applyFont="1" applyBorder="1"/>
    <xf numFmtId="0" fontId="13" fillId="6" borderId="1" xfId="0" applyFont="1" applyFill="1" applyBorder="1"/>
    <xf numFmtId="0" fontId="13" fillId="0" borderId="1" xfId="0" applyFont="1" applyBorder="1"/>
    <xf numFmtId="0" fontId="13" fillId="5" borderId="2" xfId="0" applyFont="1" applyFill="1" applyBorder="1"/>
    <xf numFmtId="0" fontId="13" fillId="0" borderId="3" xfId="0" applyFont="1" applyBorder="1"/>
    <xf numFmtId="0" fontId="14" fillId="0" borderId="3" xfId="0" applyFont="1" applyBorder="1"/>
    <xf numFmtId="0" fontId="14" fillId="5" borderId="2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FFFF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8BC34A"/>
          <bgColor rgb="FF8BC34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border diagonalUp="0" diagonalDown="0" outline="0">
        <left/>
        <right/>
        <top style="thin">
          <color rgb="FFFFD966"/>
        </top>
        <bottom style="thin">
          <color rgb="FFFFD96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border diagonalUp="0" diagonalDown="0">
        <left/>
        <right/>
        <top style="thin">
          <color rgb="FFFFD966"/>
        </top>
        <bottom style="thin">
          <color rgb="FFFFD9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border diagonalUp="0" diagonalDown="0">
        <left/>
        <right/>
        <top style="thin">
          <color rgb="FFFFD966"/>
        </top>
        <bottom style="thin">
          <color rgb="FFFFD9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border diagonalUp="0" diagonalDown="0">
        <left/>
        <right/>
        <top style="thin">
          <color rgb="FFFFD966"/>
        </top>
        <bottom style="thin">
          <color rgb="FFFFD96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border diagonalUp="0" diagonalDown="0">
        <left/>
        <right/>
        <top style="thin">
          <color rgb="FFFFD966"/>
        </top>
        <bottom style="thin">
          <color rgb="FFFFD966"/>
        </bottom>
        <vertical/>
        <horizontal/>
      </border>
    </dxf>
    <dxf>
      <border outline="0">
        <top style="thin">
          <color rgb="FFFFD966"/>
        </top>
      </border>
    </dxf>
    <dxf>
      <border outline="0">
        <left style="thin">
          <color rgb="FFFFD966"/>
        </left>
        <right style="thin">
          <color rgb="FFFFD966"/>
        </right>
        <top style="thin">
          <color rgb="FFFFD966"/>
        </top>
        <bottom style="thin">
          <color rgb="FFFFD96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border outline="0">
        <bottom style="thin">
          <color rgb="FFFFD96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C000"/>
          <bgColor rgb="FFFFC000"/>
        </patternFill>
      </fill>
    </dxf>
    <dxf>
      <alignment horizontal="left" vertical="bottom" textRotation="0" wrapText="0" indent="0" justifyLastLine="0" shrinkToFit="0" readingOrder="0"/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5" defaultTableStyle="TableStyleMedium2" defaultPivotStyle="PivotStyleLight16">
    <tableStyle name="IMDB_Movies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IMDB_Movies-style 2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IMDB_Movies-style 3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IMDB_Movies-style 4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IMDB_Movies-style 5" pivot="0" count="3" xr9:uid="{00000000-0011-0000-FFFF-FFFF04000000}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897461473745724E-2"/>
          <c:y val="1.2693748694829683E-2"/>
          <c:w val="0.73848816882534596"/>
          <c:h val="0.88068806531788835"/>
        </c:manualLayout>
      </c:layout>
      <c:scatterChart>
        <c:scatterStyle val="lineMarker"/>
        <c:varyColors val="0"/>
        <c:ser>
          <c:idx val="0"/>
          <c:order val="0"/>
          <c:tx>
            <c:strRef>
              <c:f>IMDB_Movies!$I$1</c:f>
              <c:strCache>
                <c:ptCount val="1"/>
                <c:pt idx="0">
                  <c:v>imdb_score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imdb_score</c:name>
            <c:spPr>
              <a:ln w="19050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IMDB_Movies!$B$2:$B$3890</c:f>
              <c:numCache>
                <c:formatCode>General</c:formatCode>
                <c:ptCount val="3889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4">
                  <c:v>132</c:v>
                </c:pt>
                <c:pt idx="5">
                  <c:v>156</c:v>
                </c:pt>
                <c:pt idx="6">
                  <c:v>100</c:v>
                </c:pt>
                <c:pt idx="7">
                  <c:v>141</c:v>
                </c:pt>
                <c:pt idx="8">
                  <c:v>153</c:v>
                </c:pt>
                <c:pt idx="9">
                  <c:v>183</c:v>
                </c:pt>
                <c:pt idx="10">
                  <c:v>169</c:v>
                </c:pt>
                <c:pt idx="11">
                  <c:v>106</c:v>
                </c:pt>
                <c:pt idx="12">
                  <c:v>151</c:v>
                </c:pt>
                <c:pt idx="13">
                  <c:v>150</c:v>
                </c:pt>
                <c:pt idx="14">
                  <c:v>143</c:v>
                </c:pt>
                <c:pt idx="15">
                  <c:v>150</c:v>
                </c:pt>
                <c:pt idx="16">
                  <c:v>173</c:v>
                </c:pt>
                <c:pt idx="17">
                  <c:v>136</c:v>
                </c:pt>
                <c:pt idx="18">
                  <c:v>106</c:v>
                </c:pt>
                <c:pt idx="19">
                  <c:v>164</c:v>
                </c:pt>
                <c:pt idx="20">
                  <c:v>153</c:v>
                </c:pt>
                <c:pt idx="21">
                  <c:v>156</c:v>
                </c:pt>
                <c:pt idx="22">
                  <c:v>186</c:v>
                </c:pt>
                <c:pt idx="23">
                  <c:v>113</c:v>
                </c:pt>
                <c:pt idx="24">
                  <c:v>201</c:v>
                </c:pt>
                <c:pt idx="25">
                  <c:v>194</c:v>
                </c:pt>
                <c:pt idx="26">
                  <c:v>147</c:v>
                </c:pt>
                <c:pt idx="27">
                  <c:v>131</c:v>
                </c:pt>
                <c:pt idx="28">
                  <c:v>124</c:v>
                </c:pt>
                <c:pt idx="29">
                  <c:v>143</c:v>
                </c:pt>
                <c:pt idx="30">
                  <c:v>135</c:v>
                </c:pt>
                <c:pt idx="31">
                  <c:v>195</c:v>
                </c:pt>
                <c:pt idx="32">
                  <c:v>108</c:v>
                </c:pt>
                <c:pt idx="33">
                  <c:v>104</c:v>
                </c:pt>
                <c:pt idx="34">
                  <c:v>104</c:v>
                </c:pt>
                <c:pt idx="35">
                  <c:v>150</c:v>
                </c:pt>
                <c:pt idx="36">
                  <c:v>165</c:v>
                </c:pt>
                <c:pt idx="37">
                  <c:v>130</c:v>
                </c:pt>
                <c:pt idx="38">
                  <c:v>142</c:v>
                </c:pt>
                <c:pt idx="39">
                  <c:v>125</c:v>
                </c:pt>
                <c:pt idx="40">
                  <c:v>106</c:v>
                </c:pt>
                <c:pt idx="41">
                  <c:v>123</c:v>
                </c:pt>
                <c:pt idx="42">
                  <c:v>103</c:v>
                </c:pt>
                <c:pt idx="43">
                  <c:v>118</c:v>
                </c:pt>
                <c:pt idx="44">
                  <c:v>140</c:v>
                </c:pt>
                <c:pt idx="45">
                  <c:v>123</c:v>
                </c:pt>
                <c:pt idx="46">
                  <c:v>149</c:v>
                </c:pt>
                <c:pt idx="47">
                  <c:v>132</c:v>
                </c:pt>
                <c:pt idx="48">
                  <c:v>114</c:v>
                </c:pt>
                <c:pt idx="49">
                  <c:v>143</c:v>
                </c:pt>
                <c:pt idx="50">
                  <c:v>116</c:v>
                </c:pt>
                <c:pt idx="51">
                  <c:v>131</c:v>
                </c:pt>
                <c:pt idx="52">
                  <c:v>154</c:v>
                </c:pt>
                <c:pt idx="53">
                  <c:v>122</c:v>
                </c:pt>
                <c:pt idx="54">
                  <c:v>93</c:v>
                </c:pt>
                <c:pt idx="55">
                  <c:v>122</c:v>
                </c:pt>
                <c:pt idx="56">
                  <c:v>98</c:v>
                </c:pt>
                <c:pt idx="57">
                  <c:v>91</c:v>
                </c:pt>
                <c:pt idx="58">
                  <c:v>158</c:v>
                </c:pt>
                <c:pt idx="59">
                  <c:v>96</c:v>
                </c:pt>
                <c:pt idx="60">
                  <c:v>127</c:v>
                </c:pt>
                <c:pt idx="61">
                  <c:v>110</c:v>
                </c:pt>
                <c:pt idx="62">
                  <c:v>150</c:v>
                </c:pt>
                <c:pt idx="63">
                  <c:v>144</c:v>
                </c:pt>
                <c:pt idx="64">
                  <c:v>152</c:v>
                </c:pt>
                <c:pt idx="65">
                  <c:v>96</c:v>
                </c:pt>
                <c:pt idx="66">
                  <c:v>94</c:v>
                </c:pt>
                <c:pt idx="67">
                  <c:v>126</c:v>
                </c:pt>
                <c:pt idx="68">
                  <c:v>126</c:v>
                </c:pt>
                <c:pt idx="69">
                  <c:v>106</c:v>
                </c:pt>
                <c:pt idx="70">
                  <c:v>112</c:v>
                </c:pt>
                <c:pt idx="71">
                  <c:v>123</c:v>
                </c:pt>
                <c:pt idx="72">
                  <c:v>96</c:v>
                </c:pt>
                <c:pt idx="73">
                  <c:v>113</c:v>
                </c:pt>
                <c:pt idx="74">
                  <c:v>176</c:v>
                </c:pt>
                <c:pt idx="75">
                  <c:v>118</c:v>
                </c:pt>
                <c:pt idx="76">
                  <c:v>95</c:v>
                </c:pt>
                <c:pt idx="77">
                  <c:v>106</c:v>
                </c:pt>
                <c:pt idx="78">
                  <c:v>124</c:v>
                </c:pt>
                <c:pt idx="79">
                  <c:v>132</c:v>
                </c:pt>
                <c:pt idx="80">
                  <c:v>97</c:v>
                </c:pt>
                <c:pt idx="81">
                  <c:v>130</c:v>
                </c:pt>
                <c:pt idx="82">
                  <c:v>128</c:v>
                </c:pt>
                <c:pt idx="83">
                  <c:v>136</c:v>
                </c:pt>
                <c:pt idx="84">
                  <c:v>93</c:v>
                </c:pt>
                <c:pt idx="85">
                  <c:v>130</c:v>
                </c:pt>
                <c:pt idx="86">
                  <c:v>102</c:v>
                </c:pt>
                <c:pt idx="87">
                  <c:v>101</c:v>
                </c:pt>
                <c:pt idx="88">
                  <c:v>100</c:v>
                </c:pt>
                <c:pt idx="89">
                  <c:v>120</c:v>
                </c:pt>
                <c:pt idx="90">
                  <c:v>98</c:v>
                </c:pt>
                <c:pt idx="91">
                  <c:v>109</c:v>
                </c:pt>
                <c:pt idx="92">
                  <c:v>121</c:v>
                </c:pt>
                <c:pt idx="93">
                  <c:v>169</c:v>
                </c:pt>
                <c:pt idx="94">
                  <c:v>148</c:v>
                </c:pt>
                <c:pt idx="95">
                  <c:v>182</c:v>
                </c:pt>
                <c:pt idx="96">
                  <c:v>106</c:v>
                </c:pt>
                <c:pt idx="97">
                  <c:v>166</c:v>
                </c:pt>
                <c:pt idx="98">
                  <c:v>132</c:v>
                </c:pt>
                <c:pt idx="99">
                  <c:v>137</c:v>
                </c:pt>
                <c:pt idx="100">
                  <c:v>109</c:v>
                </c:pt>
                <c:pt idx="101">
                  <c:v>98</c:v>
                </c:pt>
                <c:pt idx="102">
                  <c:v>113</c:v>
                </c:pt>
                <c:pt idx="103">
                  <c:v>93</c:v>
                </c:pt>
                <c:pt idx="104">
                  <c:v>123</c:v>
                </c:pt>
                <c:pt idx="105">
                  <c:v>126</c:v>
                </c:pt>
                <c:pt idx="106">
                  <c:v>113</c:v>
                </c:pt>
                <c:pt idx="107">
                  <c:v>184</c:v>
                </c:pt>
                <c:pt idx="108">
                  <c:v>144</c:v>
                </c:pt>
                <c:pt idx="109">
                  <c:v>206</c:v>
                </c:pt>
                <c:pt idx="110">
                  <c:v>138</c:v>
                </c:pt>
                <c:pt idx="111">
                  <c:v>157</c:v>
                </c:pt>
                <c:pt idx="112">
                  <c:v>102</c:v>
                </c:pt>
                <c:pt idx="113">
                  <c:v>104</c:v>
                </c:pt>
                <c:pt idx="114">
                  <c:v>115</c:v>
                </c:pt>
                <c:pt idx="115">
                  <c:v>111</c:v>
                </c:pt>
                <c:pt idx="116">
                  <c:v>128</c:v>
                </c:pt>
                <c:pt idx="117">
                  <c:v>89</c:v>
                </c:pt>
                <c:pt idx="118">
                  <c:v>105</c:v>
                </c:pt>
                <c:pt idx="119">
                  <c:v>119</c:v>
                </c:pt>
                <c:pt idx="120">
                  <c:v>129</c:v>
                </c:pt>
                <c:pt idx="121">
                  <c:v>102</c:v>
                </c:pt>
                <c:pt idx="122">
                  <c:v>138</c:v>
                </c:pt>
                <c:pt idx="123">
                  <c:v>112</c:v>
                </c:pt>
                <c:pt idx="124">
                  <c:v>120</c:v>
                </c:pt>
                <c:pt idx="125">
                  <c:v>146</c:v>
                </c:pt>
                <c:pt idx="126">
                  <c:v>115</c:v>
                </c:pt>
                <c:pt idx="127">
                  <c:v>96</c:v>
                </c:pt>
                <c:pt idx="128">
                  <c:v>88</c:v>
                </c:pt>
                <c:pt idx="129">
                  <c:v>99</c:v>
                </c:pt>
                <c:pt idx="130">
                  <c:v>113</c:v>
                </c:pt>
                <c:pt idx="131">
                  <c:v>131</c:v>
                </c:pt>
                <c:pt idx="132">
                  <c:v>119</c:v>
                </c:pt>
                <c:pt idx="133">
                  <c:v>91</c:v>
                </c:pt>
                <c:pt idx="134">
                  <c:v>90</c:v>
                </c:pt>
                <c:pt idx="135">
                  <c:v>103</c:v>
                </c:pt>
                <c:pt idx="136">
                  <c:v>124</c:v>
                </c:pt>
                <c:pt idx="137">
                  <c:v>131</c:v>
                </c:pt>
                <c:pt idx="138">
                  <c:v>88</c:v>
                </c:pt>
                <c:pt idx="139">
                  <c:v>85</c:v>
                </c:pt>
                <c:pt idx="140">
                  <c:v>111</c:v>
                </c:pt>
                <c:pt idx="141">
                  <c:v>92</c:v>
                </c:pt>
                <c:pt idx="142">
                  <c:v>196</c:v>
                </c:pt>
                <c:pt idx="143">
                  <c:v>93</c:v>
                </c:pt>
                <c:pt idx="144">
                  <c:v>133</c:v>
                </c:pt>
                <c:pt idx="145">
                  <c:v>116</c:v>
                </c:pt>
                <c:pt idx="146">
                  <c:v>153</c:v>
                </c:pt>
                <c:pt idx="147">
                  <c:v>88</c:v>
                </c:pt>
                <c:pt idx="148">
                  <c:v>115</c:v>
                </c:pt>
                <c:pt idx="149">
                  <c:v>95</c:v>
                </c:pt>
                <c:pt idx="150">
                  <c:v>133</c:v>
                </c:pt>
                <c:pt idx="151">
                  <c:v>97</c:v>
                </c:pt>
                <c:pt idx="152">
                  <c:v>90</c:v>
                </c:pt>
                <c:pt idx="153">
                  <c:v>154</c:v>
                </c:pt>
                <c:pt idx="154">
                  <c:v>150</c:v>
                </c:pt>
                <c:pt idx="155">
                  <c:v>127</c:v>
                </c:pt>
                <c:pt idx="156">
                  <c:v>121</c:v>
                </c:pt>
                <c:pt idx="157">
                  <c:v>102</c:v>
                </c:pt>
                <c:pt idx="158">
                  <c:v>126</c:v>
                </c:pt>
                <c:pt idx="159">
                  <c:v>121</c:v>
                </c:pt>
                <c:pt idx="160">
                  <c:v>215</c:v>
                </c:pt>
                <c:pt idx="161">
                  <c:v>127</c:v>
                </c:pt>
                <c:pt idx="162">
                  <c:v>138</c:v>
                </c:pt>
                <c:pt idx="163">
                  <c:v>122</c:v>
                </c:pt>
                <c:pt idx="164">
                  <c:v>124</c:v>
                </c:pt>
                <c:pt idx="165">
                  <c:v>106</c:v>
                </c:pt>
                <c:pt idx="166">
                  <c:v>124</c:v>
                </c:pt>
                <c:pt idx="167">
                  <c:v>128</c:v>
                </c:pt>
                <c:pt idx="168">
                  <c:v>138</c:v>
                </c:pt>
                <c:pt idx="169">
                  <c:v>115</c:v>
                </c:pt>
                <c:pt idx="170">
                  <c:v>100</c:v>
                </c:pt>
                <c:pt idx="171">
                  <c:v>135</c:v>
                </c:pt>
                <c:pt idx="172">
                  <c:v>117</c:v>
                </c:pt>
                <c:pt idx="173">
                  <c:v>156</c:v>
                </c:pt>
                <c:pt idx="174">
                  <c:v>96</c:v>
                </c:pt>
                <c:pt idx="175">
                  <c:v>107</c:v>
                </c:pt>
                <c:pt idx="176">
                  <c:v>92</c:v>
                </c:pt>
                <c:pt idx="177">
                  <c:v>115</c:v>
                </c:pt>
                <c:pt idx="178">
                  <c:v>92</c:v>
                </c:pt>
                <c:pt idx="179">
                  <c:v>117</c:v>
                </c:pt>
                <c:pt idx="180">
                  <c:v>146</c:v>
                </c:pt>
                <c:pt idx="181">
                  <c:v>94</c:v>
                </c:pt>
                <c:pt idx="182">
                  <c:v>116</c:v>
                </c:pt>
                <c:pt idx="183">
                  <c:v>147</c:v>
                </c:pt>
                <c:pt idx="184">
                  <c:v>90</c:v>
                </c:pt>
                <c:pt idx="185">
                  <c:v>101</c:v>
                </c:pt>
                <c:pt idx="186">
                  <c:v>138</c:v>
                </c:pt>
                <c:pt idx="187">
                  <c:v>107</c:v>
                </c:pt>
                <c:pt idx="188">
                  <c:v>142</c:v>
                </c:pt>
                <c:pt idx="189">
                  <c:v>165</c:v>
                </c:pt>
                <c:pt idx="190">
                  <c:v>100</c:v>
                </c:pt>
                <c:pt idx="191">
                  <c:v>82</c:v>
                </c:pt>
                <c:pt idx="192">
                  <c:v>98</c:v>
                </c:pt>
                <c:pt idx="193">
                  <c:v>95</c:v>
                </c:pt>
                <c:pt idx="194">
                  <c:v>159</c:v>
                </c:pt>
                <c:pt idx="195">
                  <c:v>96</c:v>
                </c:pt>
                <c:pt idx="196">
                  <c:v>143</c:v>
                </c:pt>
                <c:pt idx="197">
                  <c:v>123</c:v>
                </c:pt>
                <c:pt idx="198">
                  <c:v>174</c:v>
                </c:pt>
                <c:pt idx="199">
                  <c:v>101</c:v>
                </c:pt>
                <c:pt idx="200">
                  <c:v>134</c:v>
                </c:pt>
                <c:pt idx="201">
                  <c:v>132</c:v>
                </c:pt>
                <c:pt idx="202">
                  <c:v>129</c:v>
                </c:pt>
                <c:pt idx="203">
                  <c:v>106</c:v>
                </c:pt>
                <c:pt idx="204">
                  <c:v>113</c:v>
                </c:pt>
                <c:pt idx="205">
                  <c:v>102</c:v>
                </c:pt>
                <c:pt idx="206">
                  <c:v>135</c:v>
                </c:pt>
                <c:pt idx="207">
                  <c:v>125</c:v>
                </c:pt>
                <c:pt idx="208">
                  <c:v>110</c:v>
                </c:pt>
                <c:pt idx="209">
                  <c:v>124</c:v>
                </c:pt>
                <c:pt idx="210">
                  <c:v>123</c:v>
                </c:pt>
                <c:pt idx="211">
                  <c:v>130</c:v>
                </c:pt>
                <c:pt idx="212">
                  <c:v>92</c:v>
                </c:pt>
                <c:pt idx="213">
                  <c:v>127</c:v>
                </c:pt>
                <c:pt idx="214">
                  <c:v>123</c:v>
                </c:pt>
                <c:pt idx="215">
                  <c:v>123</c:v>
                </c:pt>
                <c:pt idx="216">
                  <c:v>107</c:v>
                </c:pt>
                <c:pt idx="217">
                  <c:v>124</c:v>
                </c:pt>
                <c:pt idx="218">
                  <c:v>77</c:v>
                </c:pt>
                <c:pt idx="219">
                  <c:v>109</c:v>
                </c:pt>
                <c:pt idx="220">
                  <c:v>134</c:v>
                </c:pt>
                <c:pt idx="221">
                  <c:v>117</c:v>
                </c:pt>
                <c:pt idx="222">
                  <c:v>135</c:v>
                </c:pt>
                <c:pt idx="223">
                  <c:v>121</c:v>
                </c:pt>
                <c:pt idx="224">
                  <c:v>117</c:v>
                </c:pt>
                <c:pt idx="225">
                  <c:v>124</c:v>
                </c:pt>
                <c:pt idx="226">
                  <c:v>140</c:v>
                </c:pt>
                <c:pt idx="227">
                  <c:v>142</c:v>
                </c:pt>
                <c:pt idx="228">
                  <c:v>92</c:v>
                </c:pt>
                <c:pt idx="229">
                  <c:v>138</c:v>
                </c:pt>
                <c:pt idx="230">
                  <c:v>136</c:v>
                </c:pt>
                <c:pt idx="231">
                  <c:v>98</c:v>
                </c:pt>
                <c:pt idx="232">
                  <c:v>153</c:v>
                </c:pt>
                <c:pt idx="233">
                  <c:v>120</c:v>
                </c:pt>
                <c:pt idx="234">
                  <c:v>101</c:v>
                </c:pt>
                <c:pt idx="235">
                  <c:v>91</c:v>
                </c:pt>
                <c:pt idx="236">
                  <c:v>108</c:v>
                </c:pt>
                <c:pt idx="237">
                  <c:v>112</c:v>
                </c:pt>
                <c:pt idx="238">
                  <c:v>100</c:v>
                </c:pt>
                <c:pt idx="239">
                  <c:v>108</c:v>
                </c:pt>
                <c:pt idx="240">
                  <c:v>114</c:v>
                </c:pt>
                <c:pt idx="241">
                  <c:v>119</c:v>
                </c:pt>
                <c:pt idx="242">
                  <c:v>142</c:v>
                </c:pt>
                <c:pt idx="243">
                  <c:v>125</c:v>
                </c:pt>
                <c:pt idx="244">
                  <c:v>126</c:v>
                </c:pt>
                <c:pt idx="245">
                  <c:v>119</c:v>
                </c:pt>
                <c:pt idx="246">
                  <c:v>170</c:v>
                </c:pt>
                <c:pt idx="247">
                  <c:v>85</c:v>
                </c:pt>
                <c:pt idx="248">
                  <c:v>119</c:v>
                </c:pt>
                <c:pt idx="249">
                  <c:v>102</c:v>
                </c:pt>
                <c:pt idx="250">
                  <c:v>103</c:v>
                </c:pt>
                <c:pt idx="251">
                  <c:v>76</c:v>
                </c:pt>
                <c:pt idx="252">
                  <c:v>120</c:v>
                </c:pt>
                <c:pt idx="253">
                  <c:v>127</c:v>
                </c:pt>
                <c:pt idx="254">
                  <c:v>105</c:v>
                </c:pt>
                <c:pt idx="255">
                  <c:v>121</c:v>
                </c:pt>
                <c:pt idx="256">
                  <c:v>114</c:v>
                </c:pt>
                <c:pt idx="257">
                  <c:v>129</c:v>
                </c:pt>
                <c:pt idx="258">
                  <c:v>171</c:v>
                </c:pt>
                <c:pt idx="259">
                  <c:v>120</c:v>
                </c:pt>
                <c:pt idx="260">
                  <c:v>165</c:v>
                </c:pt>
                <c:pt idx="261">
                  <c:v>82</c:v>
                </c:pt>
                <c:pt idx="262">
                  <c:v>115</c:v>
                </c:pt>
                <c:pt idx="263">
                  <c:v>194</c:v>
                </c:pt>
                <c:pt idx="264">
                  <c:v>84</c:v>
                </c:pt>
                <c:pt idx="265">
                  <c:v>97</c:v>
                </c:pt>
                <c:pt idx="266">
                  <c:v>151</c:v>
                </c:pt>
                <c:pt idx="267">
                  <c:v>136</c:v>
                </c:pt>
                <c:pt idx="268">
                  <c:v>104</c:v>
                </c:pt>
                <c:pt idx="269">
                  <c:v>127</c:v>
                </c:pt>
                <c:pt idx="270">
                  <c:v>171</c:v>
                </c:pt>
                <c:pt idx="271">
                  <c:v>145</c:v>
                </c:pt>
                <c:pt idx="272">
                  <c:v>174</c:v>
                </c:pt>
                <c:pt idx="273">
                  <c:v>144</c:v>
                </c:pt>
                <c:pt idx="274">
                  <c:v>119</c:v>
                </c:pt>
                <c:pt idx="275">
                  <c:v>153</c:v>
                </c:pt>
                <c:pt idx="276">
                  <c:v>140</c:v>
                </c:pt>
                <c:pt idx="277">
                  <c:v>176</c:v>
                </c:pt>
                <c:pt idx="278">
                  <c:v>141</c:v>
                </c:pt>
                <c:pt idx="279">
                  <c:v>106</c:v>
                </c:pt>
                <c:pt idx="280">
                  <c:v>98</c:v>
                </c:pt>
                <c:pt idx="281">
                  <c:v>116</c:v>
                </c:pt>
                <c:pt idx="282">
                  <c:v>115</c:v>
                </c:pt>
                <c:pt idx="283">
                  <c:v>165</c:v>
                </c:pt>
                <c:pt idx="284">
                  <c:v>91</c:v>
                </c:pt>
                <c:pt idx="285">
                  <c:v>78</c:v>
                </c:pt>
                <c:pt idx="286">
                  <c:v>103</c:v>
                </c:pt>
                <c:pt idx="287">
                  <c:v>131</c:v>
                </c:pt>
                <c:pt idx="288">
                  <c:v>104</c:v>
                </c:pt>
                <c:pt idx="289">
                  <c:v>101</c:v>
                </c:pt>
                <c:pt idx="290">
                  <c:v>102</c:v>
                </c:pt>
                <c:pt idx="291">
                  <c:v>103</c:v>
                </c:pt>
                <c:pt idx="292">
                  <c:v>121</c:v>
                </c:pt>
                <c:pt idx="293">
                  <c:v>143</c:v>
                </c:pt>
                <c:pt idx="294">
                  <c:v>240</c:v>
                </c:pt>
                <c:pt idx="295">
                  <c:v>121</c:v>
                </c:pt>
                <c:pt idx="296">
                  <c:v>129</c:v>
                </c:pt>
                <c:pt idx="297">
                  <c:v>172</c:v>
                </c:pt>
                <c:pt idx="298">
                  <c:v>101</c:v>
                </c:pt>
                <c:pt idx="299">
                  <c:v>87</c:v>
                </c:pt>
                <c:pt idx="300">
                  <c:v>101</c:v>
                </c:pt>
                <c:pt idx="301">
                  <c:v>95</c:v>
                </c:pt>
                <c:pt idx="302">
                  <c:v>102</c:v>
                </c:pt>
                <c:pt idx="303">
                  <c:v>131</c:v>
                </c:pt>
                <c:pt idx="304">
                  <c:v>114</c:v>
                </c:pt>
                <c:pt idx="305">
                  <c:v>94</c:v>
                </c:pt>
                <c:pt idx="306">
                  <c:v>122</c:v>
                </c:pt>
                <c:pt idx="307">
                  <c:v>95</c:v>
                </c:pt>
                <c:pt idx="308">
                  <c:v>115</c:v>
                </c:pt>
                <c:pt idx="309">
                  <c:v>88</c:v>
                </c:pt>
                <c:pt idx="310">
                  <c:v>110</c:v>
                </c:pt>
                <c:pt idx="311">
                  <c:v>130</c:v>
                </c:pt>
                <c:pt idx="312">
                  <c:v>216</c:v>
                </c:pt>
                <c:pt idx="313">
                  <c:v>146</c:v>
                </c:pt>
                <c:pt idx="314">
                  <c:v>85</c:v>
                </c:pt>
                <c:pt idx="315">
                  <c:v>93</c:v>
                </c:pt>
                <c:pt idx="316">
                  <c:v>152</c:v>
                </c:pt>
                <c:pt idx="317">
                  <c:v>85</c:v>
                </c:pt>
                <c:pt idx="318">
                  <c:v>126</c:v>
                </c:pt>
                <c:pt idx="319">
                  <c:v>146</c:v>
                </c:pt>
                <c:pt idx="320">
                  <c:v>89</c:v>
                </c:pt>
                <c:pt idx="321">
                  <c:v>88</c:v>
                </c:pt>
                <c:pt idx="322">
                  <c:v>105</c:v>
                </c:pt>
                <c:pt idx="323">
                  <c:v>135</c:v>
                </c:pt>
                <c:pt idx="324">
                  <c:v>100</c:v>
                </c:pt>
                <c:pt idx="325">
                  <c:v>192</c:v>
                </c:pt>
                <c:pt idx="326">
                  <c:v>172</c:v>
                </c:pt>
                <c:pt idx="327">
                  <c:v>102</c:v>
                </c:pt>
                <c:pt idx="328">
                  <c:v>100</c:v>
                </c:pt>
                <c:pt idx="329">
                  <c:v>119</c:v>
                </c:pt>
                <c:pt idx="330">
                  <c:v>92</c:v>
                </c:pt>
                <c:pt idx="331">
                  <c:v>105</c:v>
                </c:pt>
                <c:pt idx="332">
                  <c:v>107</c:v>
                </c:pt>
                <c:pt idx="333">
                  <c:v>101</c:v>
                </c:pt>
                <c:pt idx="334">
                  <c:v>137</c:v>
                </c:pt>
                <c:pt idx="335">
                  <c:v>115</c:v>
                </c:pt>
                <c:pt idx="336">
                  <c:v>124</c:v>
                </c:pt>
                <c:pt idx="337">
                  <c:v>118</c:v>
                </c:pt>
                <c:pt idx="338">
                  <c:v>98</c:v>
                </c:pt>
                <c:pt idx="339">
                  <c:v>82</c:v>
                </c:pt>
                <c:pt idx="340">
                  <c:v>98</c:v>
                </c:pt>
                <c:pt idx="341">
                  <c:v>90</c:v>
                </c:pt>
                <c:pt idx="342">
                  <c:v>130</c:v>
                </c:pt>
                <c:pt idx="343">
                  <c:v>90</c:v>
                </c:pt>
                <c:pt idx="344">
                  <c:v>94</c:v>
                </c:pt>
                <c:pt idx="345">
                  <c:v>114</c:v>
                </c:pt>
                <c:pt idx="346">
                  <c:v>94</c:v>
                </c:pt>
                <c:pt idx="347">
                  <c:v>151</c:v>
                </c:pt>
                <c:pt idx="348">
                  <c:v>88</c:v>
                </c:pt>
                <c:pt idx="349">
                  <c:v>121</c:v>
                </c:pt>
                <c:pt idx="350">
                  <c:v>158</c:v>
                </c:pt>
                <c:pt idx="351">
                  <c:v>128</c:v>
                </c:pt>
                <c:pt idx="352">
                  <c:v>128</c:v>
                </c:pt>
                <c:pt idx="353">
                  <c:v>95</c:v>
                </c:pt>
                <c:pt idx="354">
                  <c:v>92</c:v>
                </c:pt>
                <c:pt idx="355">
                  <c:v>121</c:v>
                </c:pt>
                <c:pt idx="356">
                  <c:v>113</c:v>
                </c:pt>
                <c:pt idx="357">
                  <c:v>106</c:v>
                </c:pt>
                <c:pt idx="358">
                  <c:v>146</c:v>
                </c:pt>
                <c:pt idx="359">
                  <c:v>88</c:v>
                </c:pt>
                <c:pt idx="360">
                  <c:v>150</c:v>
                </c:pt>
                <c:pt idx="361">
                  <c:v>119</c:v>
                </c:pt>
                <c:pt idx="362">
                  <c:v>128</c:v>
                </c:pt>
                <c:pt idx="363">
                  <c:v>106</c:v>
                </c:pt>
                <c:pt idx="364">
                  <c:v>117</c:v>
                </c:pt>
                <c:pt idx="365">
                  <c:v>129</c:v>
                </c:pt>
                <c:pt idx="366">
                  <c:v>116</c:v>
                </c:pt>
                <c:pt idx="367">
                  <c:v>114</c:v>
                </c:pt>
                <c:pt idx="368">
                  <c:v>114</c:v>
                </c:pt>
                <c:pt idx="369">
                  <c:v>96</c:v>
                </c:pt>
                <c:pt idx="370">
                  <c:v>132</c:v>
                </c:pt>
                <c:pt idx="371">
                  <c:v>104</c:v>
                </c:pt>
                <c:pt idx="372">
                  <c:v>111</c:v>
                </c:pt>
                <c:pt idx="373">
                  <c:v>138</c:v>
                </c:pt>
                <c:pt idx="374">
                  <c:v>129</c:v>
                </c:pt>
                <c:pt idx="375">
                  <c:v>144</c:v>
                </c:pt>
                <c:pt idx="376">
                  <c:v>110</c:v>
                </c:pt>
                <c:pt idx="377">
                  <c:v>140</c:v>
                </c:pt>
                <c:pt idx="378">
                  <c:v>113</c:v>
                </c:pt>
                <c:pt idx="379">
                  <c:v>143</c:v>
                </c:pt>
                <c:pt idx="380">
                  <c:v>108</c:v>
                </c:pt>
                <c:pt idx="381">
                  <c:v>108</c:v>
                </c:pt>
                <c:pt idx="382">
                  <c:v>124</c:v>
                </c:pt>
                <c:pt idx="383">
                  <c:v>116</c:v>
                </c:pt>
                <c:pt idx="384">
                  <c:v>110</c:v>
                </c:pt>
                <c:pt idx="385">
                  <c:v>91</c:v>
                </c:pt>
                <c:pt idx="386">
                  <c:v>107</c:v>
                </c:pt>
                <c:pt idx="387">
                  <c:v>115</c:v>
                </c:pt>
                <c:pt idx="388">
                  <c:v>100</c:v>
                </c:pt>
                <c:pt idx="389">
                  <c:v>104</c:v>
                </c:pt>
                <c:pt idx="390">
                  <c:v>138</c:v>
                </c:pt>
                <c:pt idx="391">
                  <c:v>140</c:v>
                </c:pt>
                <c:pt idx="392">
                  <c:v>120</c:v>
                </c:pt>
                <c:pt idx="393">
                  <c:v>122</c:v>
                </c:pt>
                <c:pt idx="394">
                  <c:v>83</c:v>
                </c:pt>
                <c:pt idx="395">
                  <c:v>139</c:v>
                </c:pt>
                <c:pt idx="396">
                  <c:v>131</c:v>
                </c:pt>
                <c:pt idx="397">
                  <c:v>104</c:v>
                </c:pt>
                <c:pt idx="398">
                  <c:v>130</c:v>
                </c:pt>
                <c:pt idx="399">
                  <c:v>145</c:v>
                </c:pt>
                <c:pt idx="400">
                  <c:v>104</c:v>
                </c:pt>
                <c:pt idx="401">
                  <c:v>97</c:v>
                </c:pt>
                <c:pt idx="402">
                  <c:v>178</c:v>
                </c:pt>
                <c:pt idx="403">
                  <c:v>108</c:v>
                </c:pt>
                <c:pt idx="404">
                  <c:v>106</c:v>
                </c:pt>
                <c:pt idx="405">
                  <c:v>112</c:v>
                </c:pt>
                <c:pt idx="406">
                  <c:v>135</c:v>
                </c:pt>
                <c:pt idx="407">
                  <c:v>109</c:v>
                </c:pt>
                <c:pt idx="408">
                  <c:v>86</c:v>
                </c:pt>
                <c:pt idx="409">
                  <c:v>95</c:v>
                </c:pt>
                <c:pt idx="410">
                  <c:v>107</c:v>
                </c:pt>
                <c:pt idx="411">
                  <c:v>82</c:v>
                </c:pt>
                <c:pt idx="412">
                  <c:v>88</c:v>
                </c:pt>
                <c:pt idx="413">
                  <c:v>120</c:v>
                </c:pt>
                <c:pt idx="414">
                  <c:v>162</c:v>
                </c:pt>
                <c:pt idx="415">
                  <c:v>123</c:v>
                </c:pt>
                <c:pt idx="416">
                  <c:v>101</c:v>
                </c:pt>
                <c:pt idx="417">
                  <c:v>113</c:v>
                </c:pt>
                <c:pt idx="418">
                  <c:v>110</c:v>
                </c:pt>
                <c:pt idx="419">
                  <c:v>142</c:v>
                </c:pt>
                <c:pt idx="420">
                  <c:v>102</c:v>
                </c:pt>
                <c:pt idx="421">
                  <c:v>126</c:v>
                </c:pt>
                <c:pt idx="422">
                  <c:v>83</c:v>
                </c:pt>
                <c:pt idx="423">
                  <c:v>85</c:v>
                </c:pt>
                <c:pt idx="424">
                  <c:v>120</c:v>
                </c:pt>
                <c:pt idx="425">
                  <c:v>116</c:v>
                </c:pt>
                <c:pt idx="426">
                  <c:v>113</c:v>
                </c:pt>
                <c:pt idx="427">
                  <c:v>87</c:v>
                </c:pt>
                <c:pt idx="428">
                  <c:v>101</c:v>
                </c:pt>
                <c:pt idx="429">
                  <c:v>110</c:v>
                </c:pt>
                <c:pt idx="430">
                  <c:v>128</c:v>
                </c:pt>
                <c:pt idx="431">
                  <c:v>138</c:v>
                </c:pt>
                <c:pt idx="432">
                  <c:v>88</c:v>
                </c:pt>
                <c:pt idx="433">
                  <c:v>91</c:v>
                </c:pt>
                <c:pt idx="434">
                  <c:v>138</c:v>
                </c:pt>
                <c:pt idx="435">
                  <c:v>99</c:v>
                </c:pt>
                <c:pt idx="436">
                  <c:v>117</c:v>
                </c:pt>
                <c:pt idx="437">
                  <c:v>117</c:v>
                </c:pt>
                <c:pt idx="438">
                  <c:v>123</c:v>
                </c:pt>
                <c:pt idx="439">
                  <c:v>118</c:v>
                </c:pt>
                <c:pt idx="440">
                  <c:v>154</c:v>
                </c:pt>
                <c:pt idx="441">
                  <c:v>118</c:v>
                </c:pt>
                <c:pt idx="442">
                  <c:v>90</c:v>
                </c:pt>
                <c:pt idx="443">
                  <c:v>113</c:v>
                </c:pt>
                <c:pt idx="444">
                  <c:v>88</c:v>
                </c:pt>
                <c:pt idx="445">
                  <c:v>93</c:v>
                </c:pt>
                <c:pt idx="446">
                  <c:v>104</c:v>
                </c:pt>
                <c:pt idx="447">
                  <c:v>135</c:v>
                </c:pt>
                <c:pt idx="448">
                  <c:v>134</c:v>
                </c:pt>
                <c:pt idx="449">
                  <c:v>98</c:v>
                </c:pt>
                <c:pt idx="450">
                  <c:v>80</c:v>
                </c:pt>
                <c:pt idx="451">
                  <c:v>83</c:v>
                </c:pt>
                <c:pt idx="452">
                  <c:v>102</c:v>
                </c:pt>
                <c:pt idx="453">
                  <c:v>130</c:v>
                </c:pt>
                <c:pt idx="454">
                  <c:v>129</c:v>
                </c:pt>
                <c:pt idx="455">
                  <c:v>89</c:v>
                </c:pt>
                <c:pt idx="456">
                  <c:v>74</c:v>
                </c:pt>
                <c:pt idx="457">
                  <c:v>96</c:v>
                </c:pt>
                <c:pt idx="458">
                  <c:v>114</c:v>
                </c:pt>
                <c:pt idx="459">
                  <c:v>99</c:v>
                </c:pt>
                <c:pt idx="460">
                  <c:v>129</c:v>
                </c:pt>
                <c:pt idx="461">
                  <c:v>113</c:v>
                </c:pt>
                <c:pt idx="462">
                  <c:v>90</c:v>
                </c:pt>
                <c:pt idx="463">
                  <c:v>118</c:v>
                </c:pt>
                <c:pt idx="464">
                  <c:v>106</c:v>
                </c:pt>
                <c:pt idx="465">
                  <c:v>89</c:v>
                </c:pt>
                <c:pt idx="466">
                  <c:v>145</c:v>
                </c:pt>
                <c:pt idx="467">
                  <c:v>114</c:v>
                </c:pt>
                <c:pt idx="468">
                  <c:v>87</c:v>
                </c:pt>
                <c:pt idx="469">
                  <c:v>119</c:v>
                </c:pt>
                <c:pt idx="470">
                  <c:v>91</c:v>
                </c:pt>
                <c:pt idx="471">
                  <c:v>118</c:v>
                </c:pt>
                <c:pt idx="472">
                  <c:v>116</c:v>
                </c:pt>
                <c:pt idx="473">
                  <c:v>177</c:v>
                </c:pt>
                <c:pt idx="474">
                  <c:v>97</c:v>
                </c:pt>
                <c:pt idx="475">
                  <c:v>106</c:v>
                </c:pt>
                <c:pt idx="476">
                  <c:v>106</c:v>
                </c:pt>
                <c:pt idx="477">
                  <c:v>94</c:v>
                </c:pt>
                <c:pt idx="478">
                  <c:v>104</c:v>
                </c:pt>
                <c:pt idx="479">
                  <c:v>102</c:v>
                </c:pt>
                <c:pt idx="480">
                  <c:v>105</c:v>
                </c:pt>
                <c:pt idx="481">
                  <c:v>135</c:v>
                </c:pt>
                <c:pt idx="482">
                  <c:v>73</c:v>
                </c:pt>
                <c:pt idx="483">
                  <c:v>94</c:v>
                </c:pt>
                <c:pt idx="484">
                  <c:v>95</c:v>
                </c:pt>
                <c:pt idx="485">
                  <c:v>124</c:v>
                </c:pt>
                <c:pt idx="486">
                  <c:v>136</c:v>
                </c:pt>
                <c:pt idx="487">
                  <c:v>91</c:v>
                </c:pt>
                <c:pt idx="488">
                  <c:v>107</c:v>
                </c:pt>
                <c:pt idx="489">
                  <c:v>108</c:v>
                </c:pt>
                <c:pt idx="490">
                  <c:v>99</c:v>
                </c:pt>
                <c:pt idx="491">
                  <c:v>92</c:v>
                </c:pt>
                <c:pt idx="492">
                  <c:v>87</c:v>
                </c:pt>
                <c:pt idx="493">
                  <c:v>110</c:v>
                </c:pt>
                <c:pt idx="494">
                  <c:v>98</c:v>
                </c:pt>
                <c:pt idx="495">
                  <c:v>154</c:v>
                </c:pt>
                <c:pt idx="496">
                  <c:v>129</c:v>
                </c:pt>
                <c:pt idx="497">
                  <c:v>86</c:v>
                </c:pt>
                <c:pt idx="498">
                  <c:v>109</c:v>
                </c:pt>
                <c:pt idx="499">
                  <c:v>104</c:v>
                </c:pt>
                <c:pt idx="500">
                  <c:v>110</c:v>
                </c:pt>
                <c:pt idx="501">
                  <c:v>136</c:v>
                </c:pt>
                <c:pt idx="502">
                  <c:v>115</c:v>
                </c:pt>
                <c:pt idx="503">
                  <c:v>99</c:v>
                </c:pt>
                <c:pt idx="504">
                  <c:v>117</c:v>
                </c:pt>
                <c:pt idx="505">
                  <c:v>125</c:v>
                </c:pt>
                <c:pt idx="506">
                  <c:v>110</c:v>
                </c:pt>
                <c:pt idx="507">
                  <c:v>125</c:v>
                </c:pt>
                <c:pt idx="508">
                  <c:v>102</c:v>
                </c:pt>
                <c:pt idx="509">
                  <c:v>128</c:v>
                </c:pt>
                <c:pt idx="510">
                  <c:v>100</c:v>
                </c:pt>
                <c:pt idx="511">
                  <c:v>124</c:v>
                </c:pt>
                <c:pt idx="512">
                  <c:v>102</c:v>
                </c:pt>
                <c:pt idx="513">
                  <c:v>90</c:v>
                </c:pt>
                <c:pt idx="514">
                  <c:v>130</c:v>
                </c:pt>
                <c:pt idx="515">
                  <c:v>118</c:v>
                </c:pt>
                <c:pt idx="516">
                  <c:v>163</c:v>
                </c:pt>
                <c:pt idx="517">
                  <c:v>142</c:v>
                </c:pt>
                <c:pt idx="518">
                  <c:v>100</c:v>
                </c:pt>
                <c:pt idx="519">
                  <c:v>116</c:v>
                </c:pt>
                <c:pt idx="520">
                  <c:v>131</c:v>
                </c:pt>
                <c:pt idx="521">
                  <c:v>91</c:v>
                </c:pt>
                <c:pt idx="522">
                  <c:v>123</c:v>
                </c:pt>
                <c:pt idx="523">
                  <c:v>134</c:v>
                </c:pt>
                <c:pt idx="524">
                  <c:v>148</c:v>
                </c:pt>
                <c:pt idx="525">
                  <c:v>110</c:v>
                </c:pt>
                <c:pt idx="526">
                  <c:v>113</c:v>
                </c:pt>
                <c:pt idx="527">
                  <c:v>94</c:v>
                </c:pt>
                <c:pt idx="528">
                  <c:v>116</c:v>
                </c:pt>
                <c:pt idx="529">
                  <c:v>99</c:v>
                </c:pt>
                <c:pt idx="530">
                  <c:v>93</c:v>
                </c:pt>
                <c:pt idx="531">
                  <c:v>113</c:v>
                </c:pt>
                <c:pt idx="532">
                  <c:v>106</c:v>
                </c:pt>
                <c:pt idx="533">
                  <c:v>91</c:v>
                </c:pt>
                <c:pt idx="534">
                  <c:v>128</c:v>
                </c:pt>
                <c:pt idx="535">
                  <c:v>98</c:v>
                </c:pt>
                <c:pt idx="536">
                  <c:v>134</c:v>
                </c:pt>
                <c:pt idx="537">
                  <c:v>97</c:v>
                </c:pt>
                <c:pt idx="538">
                  <c:v>112</c:v>
                </c:pt>
                <c:pt idx="539">
                  <c:v>153</c:v>
                </c:pt>
                <c:pt idx="540">
                  <c:v>110</c:v>
                </c:pt>
                <c:pt idx="541">
                  <c:v>122</c:v>
                </c:pt>
                <c:pt idx="542">
                  <c:v>87</c:v>
                </c:pt>
                <c:pt idx="543">
                  <c:v>178</c:v>
                </c:pt>
                <c:pt idx="544">
                  <c:v>125</c:v>
                </c:pt>
                <c:pt idx="545">
                  <c:v>87</c:v>
                </c:pt>
                <c:pt idx="546">
                  <c:v>152</c:v>
                </c:pt>
                <c:pt idx="547">
                  <c:v>116</c:v>
                </c:pt>
                <c:pt idx="548">
                  <c:v>109</c:v>
                </c:pt>
                <c:pt idx="549">
                  <c:v>108</c:v>
                </c:pt>
                <c:pt idx="550">
                  <c:v>85</c:v>
                </c:pt>
                <c:pt idx="551">
                  <c:v>106</c:v>
                </c:pt>
                <c:pt idx="552">
                  <c:v>93</c:v>
                </c:pt>
                <c:pt idx="553">
                  <c:v>117</c:v>
                </c:pt>
                <c:pt idx="554">
                  <c:v>116</c:v>
                </c:pt>
                <c:pt idx="555">
                  <c:v>132</c:v>
                </c:pt>
                <c:pt idx="556">
                  <c:v>92</c:v>
                </c:pt>
                <c:pt idx="557">
                  <c:v>139</c:v>
                </c:pt>
                <c:pt idx="558">
                  <c:v>153</c:v>
                </c:pt>
                <c:pt idx="559">
                  <c:v>142</c:v>
                </c:pt>
                <c:pt idx="560">
                  <c:v>124</c:v>
                </c:pt>
                <c:pt idx="561">
                  <c:v>117</c:v>
                </c:pt>
                <c:pt idx="562">
                  <c:v>141</c:v>
                </c:pt>
                <c:pt idx="563">
                  <c:v>110</c:v>
                </c:pt>
                <c:pt idx="564">
                  <c:v>109</c:v>
                </c:pt>
                <c:pt idx="565">
                  <c:v>88</c:v>
                </c:pt>
                <c:pt idx="566">
                  <c:v>124</c:v>
                </c:pt>
                <c:pt idx="567">
                  <c:v>119</c:v>
                </c:pt>
                <c:pt idx="568">
                  <c:v>103</c:v>
                </c:pt>
                <c:pt idx="569">
                  <c:v>116</c:v>
                </c:pt>
                <c:pt idx="570">
                  <c:v>125</c:v>
                </c:pt>
                <c:pt idx="571">
                  <c:v>125</c:v>
                </c:pt>
                <c:pt idx="572">
                  <c:v>146</c:v>
                </c:pt>
                <c:pt idx="573">
                  <c:v>118</c:v>
                </c:pt>
                <c:pt idx="574">
                  <c:v>171</c:v>
                </c:pt>
                <c:pt idx="575">
                  <c:v>136</c:v>
                </c:pt>
                <c:pt idx="576">
                  <c:v>92</c:v>
                </c:pt>
                <c:pt idx="577">
                  <c:v>116</c:v>
                </c:pt>
                <c:pt idx="578">
                  <c:v>127</c:v>
                </c:pt>
                <c:pt idx="579">
                  <c:v>136</c:v>
                </c:pt>
                <c:pt idx="580">
                  <c:v>111</c:v>
                </c:pt>
                <c:pt idx="581">
                  <c:v>116</c:v>
                </c:pt>
                <c:pt idx="582">
                  <c:v>113</c:v>
                </c:pt>
                <c:pt idx="583">
                  <c:v>97</c:v>
                </c:pt>
                <c:pt idx="584">
                  <c:v>88</c:v>
                </c:pt>
                <c:pt idx="585">
                  <c:v>136</c:v>
                </c:pt>
                <c:pt idx="586">
                  <c:v>125</c:v>
                </c:pt>
                <c:pt idx="587">
                  <c:v>116</c:v>
                </c:pt>
                <c:pt idx="588">
                  <c:v>98</c:v>
                </c:pt>
                <c:pt idx="589">
                  <c:v>91</c:v>
                </c:pt>
                <c:pt idx="590">
                  <c:v>97</c:v>
                </c:pt>
                <c:pt idx="591">
                  <c:v>95</c:v>
                </c:pt>
                <c:pt idx="592">
                  <c:v>88</c:v>
                </c:pt>
                <c:pt idx="593">
                  <c:v>133</c:v>
                </c:pt>
                <c:pt idx="594">
                  <c:v>106</c:v>
                </c:pt>
                <c:pt idx="595">
                  <c:v>116</c:v>
                </c:pt>
                <c:pt idx="596">
                  <c:v>115</c:v>
                </c:pt>
                <c:pt idx="597">
                  <c:v>99</c:v>
                </c:pt>
                <c:pt idx="598">
                  <c:v>124</c:v>
                </c:pt>
                <c:pt idx="599">
                  <c:v>124</c:v>
                </c:pt>
                <c:pt idx="600">
                  <c:v>124</c:v>
                </c:pt>
                <c:pt idx="601">
                  <c:v>87</c:v>
                </c:pt>
                <c:pt idx="602">
                  <c:v>105</c:v>
                </c:pt>
                <c:pt idx="603">
                  <c:v>125</c:v>
                </c:pt>
                <c:pt idx="604">
                  <c:v>141</c:v>
                </c:pt>
                <c:pt idx="605">
                  <c:v>121</c:v>
                </c:pt>
                <c:pt idx="606">
                  <c:v>111</c:v>
                </c:pt>
                <c:pt idx="607">
                  <c:v>157</c:v>
                </c:pt>
                <c:pt idx="608">
                  <c:v>128</c:v>
                </c:pt>
                <c:pt idx="609">
                  <c:v>105</c:v>
                </c:pt>
                <c:pt idx="610">
                  <c:v>113</c:v>
                </c:pt>
                <c:pt idx="611">
                  <c:v>121</c:v>
                </c:pt>
                <c:pt idx="612">
                  <c:v>102</c:v>
                </c:pt>
                <c:pt idx="613">
                  <c:v>169</c:v>
                </c:pt>
                <c:pt idx="614">
                  <c:v>132</c:v>
                </c:pt>
                <c:pt idx="615">
                  <c:v>127</c:v>
                </c:pt>
                <c:pt idx="616">
                  <c:v>103</c:v>
                </c:pt>
                <c:pt idx="617">
                  <c:v>136</c:v>
                </c:pt>
                <c:pt idx="618">
                  <c:v>150</c:v>
                </c:pt>
                <c:pt idx="619">
                  <c:v>136</c:v>
                </c:pt>
                <c:pt idx="620">
                  <c:v>140</c:v>
                </c:pt>
                <c:pt idx="621">
                  <c:v>104</c:v>
                </c:pt>
                <c:pt idx="622">
                  <c:v>158</c:v>
                </c:pt>
                <c:pt idx="623">
                  <c:v>119</c:v>
                </c:pt>
                <c:pt idx="624">
                  <c:v>106</c:v>
                </c:pt>
                <c:pt idx="625">
                  <c:v>136</c:v>
                </c:pt>
                <c:pt idx="626">
                  <c:v>95</c:v>
                </c:pt>
                <c:pt idx="627">
                  <c:v>137</c:v>
                </c:pt>
                <c:pt idx="628">
                  <c:v>130</c:v>
                </c:pt>
                <c:pt idx="629">
                  <c:v>124</c:v>
                </c:pt>
                <c:pt idx="630">
                  <c:v>108</c:v>
                </c:pt>
                <c:pt idx="631">
                  <c:v>104</c:v>
                </c:pt>
                <c:pt idx="632">
                  <c:v>129</c:v>
                </c:pt>
                <c:pt idx="633">
                  <c:v>117</c:v>
                </c:pt>
                <c:pt idx="634">
                  <c:v>99</c:v>
                </c:pt>
                <c:pt idx="635">
                  <c:v>159</c:v>
                </c:pt>
                <c:pt idx="636">
                  <c:v>118</c:v>
                </c:pt>
                <c:pt idx="637">
                  <c:v>105</c:v>
                </c:pt>
                <c:pt idx="638">
                  <c:v>103</c:v>
                </c:pt>
                <c:pt idx="639">
                  <c:v>122</c:v>
                </c:pt>
                <c:pt idx="640">
                  <c:v>143</c:v>
                </c:pt>
                <c:pt idx="641">
                  <c:v>96</c:v>
                </c:pt>
                <c:pt idx="642">
                  <c:v>111</c:v>
                </c:pt>
                <c:pt idx="643">
                  <c:v>121</c:v>
                </c:pt>
                <c:pt idx="644">
                  <c:v>135</c:v>
                </c:pt>
                <c:pt idx="645">
                  <c:v>101</c:v>
                </c:pt>
                <c:pt idx="646">
                  <c:v>151</c:v>
                </c:pt>
                <c:pt idx="647">
                  <c:v>131</c:v>
                </c:pt>
                <c:pt idx="648">
                  <c:v>100</c:v>
                </c:pt>
                <c:pt idx="649">
                  <c:v>105</c:v>
                </c:pt>
                <c:pt idx="650">
                  <c:v>92</c:v>
                </c:pt>
                <c:pt idx="651">
                  <c:v>130</c:v>
                </c:pt>
                <c:pt idx="652">
                  <c:v>100</c:v>
                </c:pt>
                <c:pt idx="653">
                  <c:v>102</c:v>
                </c:pt>
                <c:pt idx="654">
                  <c:v>133</c:v>
                </c:pt>
                <c:pt idx="655">
                  <c:v>121</c:v>
                </c:pt>
                <c:pt idx="656">
                  <c:v>147</c:v>
                </c:pt>
                <c:pt idx="657">
                  <c:v>94</c:v>
                </c:pt>
                <c:pt idx="658">
                  <c:v>94</c:v>
                </c:pt>
                <c:pt idx="659">
                  <c:v>127</c:v>
                </c:pt>
                <c:pt idx="660">
                  <c:v>212</c:v>
                </c:pt>
                <c:pt idx="661">
                  <c:v>141</c:v>
                </c:pt>
                <c:pt idx="662">
                  <c:v>103</c:v>
                </c:pt>
                <c:pt idx="663">
                  <c:v>98</c:v>
                </c:pt>
                <c:pt idx="664">
                  <c:v>116</c:v>
                </c:pt>
                <c:pt idx="665">
                  <c:v>114</c:v>
                </c:pt>
                <c:pt idx="666">
                  <c:v>87</c:v>
                </c:pt>
                <c:pt idx="667">
                  <c:v>125</c:v>
                </c:pt>
                <c:pt idx="668">
                  <c:v>187</c:v>
                </c:pt>
                <c:pt idx="669">
                  <c:v>93</c:v>
                </c:pt>
                <c:pt idx="670">
                  <c:v>95</c:v>
                </c:pt>
                <c:pt idx="671">
                  <c:v>117</c:v>
                </c:pt>
                <c:pt idx="672">
                  <c:v>106</c:v>
                </c:pt>
                <c:pt idx="673">
                  <c:v>115</c:v>
                </c:pt>
                <c:pt idx="674">
                  <c:v>189</c:v>
                </c:pt>
                <c:pt idx="675">
                  <c:v>81</c:v>
                </c:pt>
                <c:pt idx="676">
                  <c:v>149</c:v>
                </c:pt>
                <c:pt idx="677">
                  <c:v>119</c:v>
                </c:pt>
                <c:pt idx="678">
                  <c:v>130</c:v>
                </c:pt>
                <c:pt idx="679">
                  <c:v>116</c:v>
                </c:pt>
                <c:pt idx="680">
                  <c:v>103</c:v>
                </c:pt>
                <c:pt idx="681">
                  <c:v>99</c:v>
                </c:pt>
                <c:pt idx="682">
                  <c:v>92</c:v>
                </c:pt>
                <c:pt idx="683">
                  <c:v>109</c:v>
                </c:pt>
                <c:pt idx="684">
                  <c:v>87</c:v>
                </c:pt>
                <c:pt idx="685">
                  <c:v>111</c:v>
                </c:pt>
                <c:pt idx="686">
                  <c:v>101</c:v>
                </c:pt>
                <c:pt idx="687">
                  <c:v>83</c:v>
                </c:pt>
                <c:pt idx="688">
                  <c:v>113</c:v>
                </c:pt>
                <c:pt idx="689">
                  <c:v>107</c:v>
                </c:pt>
                <c:pt idx="690">
                  <c:v>94</c:v>
                </c:pt>
                <c:pt idx="691">
                  <c:v>132</c:v>
                </c:pt>
                <c:pt idx="692">
                  <c:v>140</c:v>
                </c:pt>
                <c:pt idx="693">
                  <c:v>125</c:v>
                </c:pt>
                <c:pt idx="694">
                  <c:v>111</c:v>
                </c:pt>
                <c:pt idx="695">
                  <c:v>156</c:v>
                </c:pt>
                <c:pt idx="696">
                  <c:v>170</c:v>
                </c:pt>
                <c:pt idx="697">
                  <c:v>120</c:v>
                </c:pt>
                <c:pt idx="698">
                  <c:v>100</c:v>
                </c:pt>
                <c:pt idx="699">
                  <c:v>115</c:v>
                </c:pt>
                <c:pt idx="700">
                  <c:v>130</c:v>
                </c:pt>
                <c:pt idx="701">
                  <c:v>105</c:v>
                </c:pt>
                <c:pt idx="702">
                  <c:v>111</c:v>
                </c:pt>
                <c:pt idx="703">
                  <c:v>106</c:v>
                </c:pt>
                <c:pt idx="704">
                  <c:v>89</c:v>
                </c:pt>
                <c:pt idx="705">
                  <c:v>100</c:v>
                </c:pt>
                <c:pt idx="706">
                  <c:v>91</c:v>
                </c:pt>
                <c:pt idx="707">
                  <c:v>146</c:v>
                </c:pt>
                <c:pt idx="708">
                  <c:v>98</c:v>
                </c:pt>
                <c:pt idx="709">
                  <c:v>101</c:v>
                </c:pt>
                <c:pt idx="710">
                  <c:v>94</c:v>
                </c:pt>
                <c:pt idx="711">
                  <c:v>132</c:v>
                </c:pt>
                <c:pt idx="712">
                  <c:v>115</c:v>
                </c:pt>
                <c:pt idx="713">
                  <c:v>92</c:v>
                </c:pt>
                <c:pt idx="714">
                  <c:v>124</c:v>
                </c:pt>
                <c:pt idx="715">
                  <c:v>119</c:v>
                </c:pt>
                <c:pt idx="716">
                  <c:v>124</c:v>
                </c:pt>
                <c:pt idx="717">
                  <c:v>93</c:v>
                </c:pt>
                <c:pt idx="718">
                  <c:v>98</c:v>
                </c:pt>
                <c:pt idx="719">
                  <c:v>92</c:v>
                </c:pt>
                <c:pt idx="720">
                  <c:v>105</c:v>
                </c:pt>
                <c:pt idx="721">
                  <c:v>124</c:v>
                </c:pt>
                <c:pt idx="722">
                  <c:v>99</c:v>
                </c:pt>
                <c:pt idx="723">
                  <c:v>116</c:v>
                </c:pt>
                <c:pt idx="724">
                  <c:v>124</c:v>
                </c:pt>
                <c:pt idx="725">
                  <c:v>96</c:v>
                </c:pt>
                <c:pt idx="726">
                  <c:v>104</c:v>
                </c:pt>
                <c:pt idx="727">
                  <c:v>100</c:v>
                </c:pt>
                <c:pt idx="728">
                  <c:v>115</c:v>
                </c:pt>
                <c:pt idx="729">
                  <c:v>101</c:v>
                </c:pt>
                <c:pt idx="730">
                  <c:v>113</c:v>
                </c:pt>
                <c:pt idx="731">
                  <c:v>100</c:v>
                </c:pt>
                <c:pt idx="732">
                  <c:v>134</c:v>
                </c:pt>
                <c:pt idx="733">
                  <c:v>125</c:v>
                </c:pt>
                <c:pt idx="734">
                  <c:v>94</c:v>
                </c:pt>
                <c:pt idx="735">
                  <c:v>107</c:v>
                </c:pt>
                <c:pt idx="736">
                  <c:v>91</c:v>
                </c:pt>
                <c:pt idx="737">
                  <c:v>116</c:v>
                </c:pt>
                <c:pt idx="738">
                  <c:v>100</c:v>
                </c:pt>
                <c:pt idx="739">
                  <c:v>117</c:v>
                </c:pt>
                <c:pt idx="740">
                  <c:v>110</c:v>
                </c:pt>
                <c:pt idx="741">
                  <c:v>96</c:v>
                </c:pt>
                <c:pt idx="742">
                  <c:v>101</c:v>
                </c:pt>
                <c:pt idx="743">
                  <c:v>111</c:v>
                </c:pt>
                <c:pt idx="744">
                  <c:v>117</c:v>
                </c:pt>
                <c:pt idx="745">
                  <c:v>126</c:v>
                </c:pt>
                <c:pt idx="746">
                  <c:v>152</c:v>
                </c:pt>
                <c:pt idx="747">
                  <c:v>101</c:v>
                </c:pt>
                <c:pt idx="748">
                  <c:v>87</c:v>
                </c:pt>
                <c:pt idx="749">
                  <c:v>85</c:v>
                </c:pt>
                <c:pt idx="750">
                  <c:v>130</c:v>
                </c:pt>
                <c:pt idx="751">
                  <c:v>104</c:v>
                </c:pt>
                <c:pt idx="752">
                  <c:v>121</c:v>
                </c:pt>
                <c:pt idx="753">
                  <c:v>140</c:v>
                </c:pt>
                <c:pt idx="754">
                  <c:v>131</c:v>
                </c:pt>
                <c:pt idx="755">
                  <c:v>91</c:v>
                </c:pt>
                <c:pt idx="756">
                  <c:v>118</c:v>
                </c:pt>
                <c:pt idx="757">
                  <c:v>130</c:v>
                </c:pt>
                <c:pt idx="758">
                  <c:v>90</c:v>
                </c:pt>
                <c:pt idx="759">
                  <c:v>103</c:v>
                </c:pt>
                <c:pt idx="760">
                  <c:v>122</c:v>
                </c:pt>
                <c:pt idx="761">
                  <c:v>106</c:v>
                </c:pt>
                <c:pt idx="762">
                  <c:v>103</c:v>
                </c:pt>
                <c:pt idx="763">
                  <c:v>107</c:v>
                </c:pt>
                <c:pt idx="764">
                  <c:v>156</c:v>
                </c:pt>
                <c:pt idx="765">
                  <c:v>127</c:v>
                </c:pt>
                <c:pt idx="766">
                  <c:v>132</c:v>
                </c:pt>
                <c:pt idx="767">
                  <c:v>108</c:v>
                </c:pt>
                <c:pt idx="768">
                  <c:v>114</c:v>
                </c:pt>
                <c:pt idx="769">
                  <c:v>133</c:v>
                </c:pt>
                <c:pt idx="770">
                  <c:v>103</c:v>
                </c:pt>
                <c:pt idx="771">
                  <c:v>95</c:v>
                </c:pt>
                <c:pt idx="772">
                  <c:v>90</c:v>
                </c:pt>
                <c:pt idx="773">
                  <c:v>87</c:v>
                </c:pt>
                <c:pt idx="774">
                  <c:v>114</c:v>
                </c:pt>
                <c:pt idx="775">
                  <c:v>103</c:v>
                </c:pt>
                <c:pt idx="776">
                  <c:v>125</c:v>
                </c:pt>
                <c:pt idx="777">
                  <c:v>97</c:v>
                </c:pt>
                <c:pt idx="778">
                  <c:v>125</c:v>
                </c:pt>
                <c:pt idx="779">
                  <c:v>136</c:v>
                </c:pt>
                <c:pt idx="780">
                  <c:v>116</c:v>
                </c:pt>
                <c:pt idx="781">
                  <c:v>103</c:v>
                </c:pt>
                <c:pt idx="782">
                  <c:v>97</c:v>
                </c:pt>
                <c:pt idx="783">
                  <c:v>96</c:v>
                </c:pt>
                <c:pt idx="784">
                  <c:v>131</c:v>
                </c:pt>
                <c:pt idx="785">
                  <c:v>95</c:v>
                </c:pt>
                <c:pt idx="786">
                  <c:v>86</c:v>
                </c:pt>
                <c:pt idx="787">
                  <c:v>142</c:v>
                </c:pt>
                <c:pt idx="788">
                  <c:v>92</c:v>
                </c:pt>
                <c:pt idx="789">
                  <c:v>108</c:v>
                </c:pt>
                <c:pt idx="790">
                  <c:v>84</c:v>
                </c:pt>
                <c:pt idx="791">
                  <c:v>188</c:v>
                </c:pt>
                <c:pt idx="792">
                  <c:v>95</c:v>
                </c:pt>
                <c:pt idx="793">
                  <c:v>118</c:v>
                </c:pt>
                <c:pt idx="794">
                  <c:v>92</c:v>
                </c:pt>
                <c:pt idx="795">
                  <c:v>74</c:v>
                </c:pt>
                <c:pt idx="796">
                  <c:v>134</c:v>
                </c:pt>
                <c:pt idx="797">
                  <c:v>101</c:v>
                </c:pt>
                <c:pt idx="798">
                  <c:v>100</c:v>
                </c:pt>
                <c:pt idx="799">
                  <c:v>132</c:v>
                </c:pt>
                <c:pt idx="800">
                  <c:v>105</c:v>
                </c:pt>
                <c:pt idx="801">
                  <c:v>123</c:v>
                </c:pt>
                <c:pt idx="802">
                  <c:v>117</c:v>
                </c:pt>
                <c:pt idx="803">
                  <c:v>98</c:v>
                </c:pt>
                <c:pt idx="804">
                  <c:v>128</c:v>
                </c:pt>
                <c:pt idx="805">
                  <c:v>114</c:v>
                </c:pt>
                <c:pt idx="806">
                  <c:v>111</c:v>
                </c:pt>
                <c:pt idx="807">
                  <c:v>85</c:v>
                </c:pt>
                <c:pt idx="808">
                  <c:v>137</c:v>
                </c:pt>
                <c:pt idx="809">
                  <c:v>97</c:v>
                </c:pt>
                <c:pt idx="810">
                  <c:v>104</c:v>
                </c:pt>
                <c:pt idx="811">
                  <c:v>110</c:v>
                </c:pt>
                <c:pt idx="812">
                  <c:v>133</c:v>
                </c:pt>
                <c:pt idx="813">
                  <c:v>94</c:v>
                </c:pt>
                <c:pt idx="814">
                  <c:v>104</c:v>
                </c:pt>
                <c:pt idx="815">
                  <c:v>91</c:v>
                </c:pt>
                <c:pt idx="816">
                  <c:v>145</c:v>
                </c:pt>
                <c:pt idx="817">
                  <c:v>135</c:v>
                </c:pt>
                <c:pt idx="818">
                  <c:v>122</c:v>
                </c:pt>
                <c:pt idx="819">
                  <c:v>110</c:v>
                </c:pt>
                <c:pt idx="820">
                  <c:v>95</c:v>
                </c:pt>
                <c:pt idx="821">
                  <c:v>102</c:v>
                </c:pt>
                <c:pt idx="822">
                  <c:v>94</c:v>
                </c:pt>
                <c:pt idx="823">
                  <c:v>126</c:v>
                </c:pt>
                <c:pt idx="824">
                  <c:v>118</c:v>
                </c:pt>
                <c:pt idx="825">
                  <c:v>99</c:v>
                </c:pt>
                <c:pt idx="826">
                  <c:v>88</c:v>
                </c:pt>
                <c:pt idx="827">
                  <c:v>141</c:v>
                </c:pt>
                <c:pt idx="828">
                  <c:v>107</c:v>
                </c:pt>
                <c:pt idx="829">
                  <c:v>116</c:v>
                </c:pt>
                <c:pt idx="830">
                  <c:v>143</c:v>
                </c:pt>
                <c:pt idx="831">
                  <c:v>114</c:v>
                </c:pt>
                <c:pt idx="832">
                  <c:v>93</c:v>
                </c:pt>
                <c:pt idx="833">
                  <c:v>280</c:v>
                </c:pt>
                <c:pt idx="834">
                  <c:v>100</c:v>
                </c:pt>
                <c:pt idx="835">
                  <c:v>107</c:v>
                </c:pt>
                <c:pt idx="836">
                  <c:v>119</c:v>
                </c:pt>
                <c:pt idx="837">
                  <c:v>95</c:v>
                </c:pt>
                <c:pt idx="838">
                  <c:v>119</c:v>
                </c:pt>
                <c:pt idx="839">
                  <c:v>133</c:v>
                </c:pt>
                <c:pt idx="840">
                  <c:v>117</c:v>
                </c:pt>
                <c:pt idx="841">
                  <c:v>123</c:v>
                </c:pt>
                <c:pt idx="842">
                  <c:v>92</c:v>
                </c:pt>
                <c:pt idx="843">
                  <c:v>170</c:v>
                </c:pt>
                <c:pt idx="844">
                  <c:v>123</c:v>
                </c:pt>
                <c:pt idx="845">
                  <c:v>110</c:v>
                </c:pt>
                <c:pt idx="846">
                  <c:v>116</c:v>
                </c:pt>
                <c:pt idx="847">
                  <c:v>121</c:v>
                </c:pt>
                <c:pt idx="848">
                  <c:v>128</c:v>
                </c:pt>
                <c:pt idx="849">
                  <c:v>99</c:v>
                </c:pt>
                <c:pt idx="850">
                  <c:v>94</c:v>
                </c:pt>
                <c:pt idx="851">
                  <c:v>127</c:v>
                </c:pt>
                <c:pt idx="852">
                  <c:v>89</c:v>
                </c:pt>
                <c:pt idx="853">
                  <c:v>123</c:v>
                </c:pt>
                <c:pt idx="854">
                  <c:v>135</c:v>
                </c:pt>
                <c:pt idx="855">
                  <c:v>118</c:v>
                </c:pt>
                <c:pt idx="856">
                  <c:v>189</c:v>
                </c:pt>
                <c:pt idx="857">
                  <c:v>172</c:v>
                </c:pt>
                <c:pt idx="858">
                  <c:v>124</c:v>
                </c:pt>
                <c:pt idx="859">
                  <c:v>141</c:v>
                </c:pt>
                <c:pt idx="860">
                  <c:v>157</c:v>
                </c:pt>
                <c:pt idx="861">
                  <c:v>106</c:v>
                </c:pt>
                <c:pt idx="862">
                  <c:v>108</c:v>
                </c:pt>
                <c:pt idx="863">
                  <c:v>125</c:v>
                </c:pt>
                <c:pt idx="864">
                  <c:v>107</c:v>
                </c:pt>
                <c:pt idx="865">
                  <c:v>215</c:v>
                </c:pt>
                <c:pt idx="866">
                  <c:v>118</c:v>
                </c:pt>
                <c:pt idx="867">
                  <c:v>118</c:v>
                </c:pt>
                <c:pt idx="868">
                  <c:v>178</c:v>
                </c:pt>
                <c:pt idx="869">
                  <c:v>92</c:v>
                </c:pt>
                <c:pt idx="870">
                  <c:v>104</c:v>
                </c:pt>
                <c:pt idx="871">
                  <c:v>116</c:v>
                </c:pt>
                <c:pt idx="872">
                  <c:v>90</c:v>
                </c:pt>
                <c:pt idx="873">
                  <c:v>130</c:v>
                </c:pt>
                <c:pt idx="874">
                  <c:v>90</c:v>
                </c:pt>
                <c:pt idx="875">
                  <c:v>106</c:v>
                </c:pt>
                <c:pt idx="876">
                  <c:v>155</c:v>
                </c:pt>
                <c:pt idx="877">
                  <c:v>139</c:v>
                </c:pt>
                <c:pt idx="878">
                  <c:v>112</c:v>
                </c:pt>
                <c:pt idx="879">
                  <c:v>139</c:v>
                </c:pt>
                <c:pt idx="880">
                  <c:v>115</c:v>
                </c:pt>
                <c:pt idx="881">
                  <c:v>143</c:v>
                </c:pt>
                <c:pt idx="882">
                  <c:v>96</c:v>
                </c:pt>
                <c:pt idx="883">
                  <c:v>112</c:v>
                </c:pt>
                <c:pt idx="884">
                  <c:v>131</c:v>
                </c:pt>
                <c:pt idx="885">
                  <c:v>116</c:v>
                </c:pt>
                <c:pt idx="886">
                  <c:v>112</c:v>
                </c:pt>
                <c:pt idx="887">
                  <c:v>123</c:v>
                </c:pt>
                <c:pt idx="888">
                  <c:v>104</c:v>
                </c:pt>
                <c:pt idx="889">
                  <c:v>107</c:v>
                </c:pt>
                <c:pt idx="890">
                  <c:v>124</c:v>
                </c:pt>
                <c:pt idx="891">
                  <c:v>96</c:v>
                </c:pt>
                <c:pt idx="892">
                  <c:v>125</c:v>
                </c:pt>
                <c:pt idx="893">
                  <c:v>129</c:v>
                </c:pt>
                <c:pt idx="894">
                  <c:v>90</c:v>
                </c:pt>
                <c:pt idx="895">
                  <c:v>109</c:v>
                </c:pt>
                <c:pt idx="896">
                  <c:v>121</c:v>
                </c:pt>
                <c:pt idx="897">
                  <c:v>95</c:v>
                </c:pt>
                <c:pt idx="898">
                  <c:v>118</c:v>
                </c:pt>
                <c:pt idx="899">
                  <c:v>80</c:v>
                </c:pt>
                <c:pt idx="900">
                  <c:v>99</c:v>
                </c:pt>
                <c:pt idx="901">
                  <c:v>133</c:v>
                </c:pt>
                <c:pt idx="902">
                  <c:v>127</c:v>
                </c:pt>
                <c:pt idx="903">
                  <c:v>106</c:v>
                </c:pt>
                <c:pt idx="904">
                  <c:v>98</c:v>
                </c:pt>
                <c:pt idx="905">
                  <c:v>132</c:v>
                </c:pt>
                <c:pt idx="906">
                  <c:v>114</c:v>
                </c:pt>
                <c:pt idx="907">
                  <c:v>78</c:v>
                </c:pt>
                <c:pt idx="908">
                  <c:v>101</c:v>
                </c:pt>
                <c:pt idx="909">
                  <c:v>113</c:v>
                </c:pt>
                <c:pt idx="910">
                  <c:v>98</c:v>
                </c:pt>
                <c:pt idx="911">
                  <c:v>124</c:v>
                </c:pt>
                <c:pt idx="912">
                  <c:v>109</c:v>
                </c:pt>
                <c:pt idx="913">
                  <c:v>128</c:v>
                </c:pt>
                <c:pt idx="914">
                  <c:v>144</c:v>
                </c:pt>
                <c:pt idx="915">
                  <c:v>95</c:v>
                </c:pt>
                <c:pt idx="916">
                  <c:v>105</c:v>
                </c:pt>
                <c:pt idx="917">
                  <c:v>121</c:v>
                </c:pt>
                <c:pt idx="918">
                  <c:v>125</c:v>
                </c:pt>
                <c:pt idx="919">
                  <c:v>129</c:v>
                </c:pt>
                <c:pt idx="920">
                  <c:v>132</c:v>
                </c:pt>
                <c:pt idx="921">
                  <c:v>118</c:v>
                </c:pt>
                <c:pt idx="922">
                  <c:v>113</c:v>
                </c:pt>
                <c:pt idx="923">
                  <c:v>140</c:v>
                </c:pt>
                <c:pt idx="924">
                  <c:v>89</c:v>
                </c:pt>
                <c:pt idx="925">
                  <c:v>104</c:v>
                </c:pt>
                <c:pt idx="926">
                  <c:v>106</c:v>
                </c:pt>
                <c:pt idx="927">
                  <c:v>141</c:v>
                </c:pt>
                <c:pt idx="928">
                  <c:v>124</c:v>
                </c:pt>
                <c:pt idx="929">
                  <c:v>98</c:v>
                </c:pt>
                <c:pt idx="930">
                  <c:v>108</c:v>
                </c:pt>
                <c:pt idx="931">
                  <c:v>114</c:v>
                </c:pt>
                <c:pt idx="932">
                  <c:v>101</c:v>
                </c:pt>
                <c:pt idx="933">
                  <c:v>93</c:v>
                </c:pt>
                <c:pt idx="934">
                  <c:v>119</c:v>
                </c:pt>
                <c:pt idx="935">
                  <c:v>119</c:v>
                </c:pt>
                <c:pt idx="936">
                  <c:v>99</c:v>
                </c:pt>
                <c:pt idx="937">
                  <c:v>137</c:v>
                </c:pt>
                <c:pt idx="938">
                  <c:v>117</c:v>
                </c:pt>
                <c:pt idx="939">
                  <c:v>87</c:v>
                </c:pt>
                <c:pt idx="940">
                  <c:v>129</c:v>
                </c:pt>
                <c:pt idx="941">
                  <c:v>115</c:v>
                </c:pt>
                <c:pt idx="942">
                  <c:v>132</c:v>
                </c:pt>
                <c:pt idx="943">
                  <c:v>131</c:v>
                </c:pt>
                <c:pt idx="944">
                  <c:v>95</c:v>
                </c:pt>
                <c:pt idx="945">
                  <c:v>125</c:v>
                </c:pt>
                <c:pt idx="946">
                  <c:v>98</c:v>
                </c:pt>
                <c:pt idx="947">
                  <c:v>110</c:v>
                </c:pt>
                <c:pt idx="948">
                  <c:v>118</c:v>
                </c:pt>
                <c:pt idx="949">
                  <c:v>101</c:v>
                </c:pt>
                <c:pt idx="950">
                  <c:v>90</c:v>
                </c:pt>
                <c:pt idx="951">
                  <c:v>119</c:v>
                </c:pt>
                <c:pt idx="952">
                  <c:v>139</c:v>
                </c:pt>
                <c:pt idx="953">
                  <c:v>130</c:v>
                </c:pt>
                <c:pt idx="954">
                  <c:v>100</c:v>
                </c:pt>
                <c:pt idx="955">
                  <c:v>114</c:v>
                </c:pt>
                <c:pt idx="956">
                  <c:v>96</c:v>
                </c:pt>
                <c:pt idx="957">
                  <c:v>110</c:v>
                </c:pt>
                <c:pt idx="958">
                  <c:v>158</c:v>
                </c:pt>
                <c:pt idx="959">
                  <c:v>102</c:v>
                </c:pt>
                <c:pt idx="960">
                  <c:v>84</c:v>
                </c:pt>
                <c:pt idx="961">
                  <c:v>115</c:v>
                </c:pt>
                <c:pt idx="962">
                  <c:v>99</c:v>
                </c:pt>
                <c:pt idx="963">
                  <c:v>135</c:v>
                </c:pt>
                <c:pt idx="964">
                  <c:v>108</c:v>
                </c:pt>
                <c:pt idx="965">
                  <c:v>127</c:v>
                </c:pt>
                <c:pt idx="966">
                  <c:v>107</c:v>
                </c:pt>
                <c:pt idx="967">
                  <c:v>95</c:v>
                </c:pt>
                <c:pt idx="968">
                  <c:v>124</c:v>
                </c:pt>
                <c:pt idx="969">
                  <c:v>109</c:v>
                </c:pt>
                <c:pt idx="970">
                  <c:v>102</c:v>
                </c:pt>
                <c:pt idx="971">
                  <c:v>88</c:v>
                </c:pt>
                <c:pt idx="972">
                  <c:v>87</c:v>
                </c:pt>
                <c:pt idx="973">
                  <c:v>104</c:v>
                </c:pt>
                <c:pt idx="974">
                  <c:v>96</c:v>
                </c:pt>
                <c:pt idx="975">
                  <c:v>85</c:v>
                </c:pt>
                <c:pt idx="976">
                  <c:v>104</c:v>
                </c:pt>
                <c:pt idx="977">
                  <c:v>190</c:v>
                </c:pt>
                <c:pt idx="978">
                  <c:v>127</c:v>
                </c:pt>
                <c:pt idx="979">
                  <c:v>120</c:v>
                </c:pt>
                <c:pt idx="980">
                  <c:v>118</c:v>
                </c:pt>
                <c:pt idx="981">
                  <c:v>112</c:v>
                </c:pt>
                <c:pt idx="982">
                  <c:v>114</c:v>
                </c:pt>
                <c:pt idx="983">
                  <c:v>137</c:v>
                </c:pt>
                <c:pt idx="984">
                  <c:v>112</c:v>
                </c:pt>
                <c:pt idx="985">
                  <c:v>120</c:v>
                </c:pt>
                <c:pt idx="986">
                  <c:v>123</c:v>
                </c:pt>
                <c:pt idx="987">
                  <c:v>93</c:v>
                </c:pt>
                <c:pt idx="988">
                  <c:v>123</c:v>
                </c:pt>
                <c:pt idx="989">
                  <c:v>122</c:v>
                </c:pt>
                <c:pt idx="990">
                  <c:v>115</c:v>
                </c:pt>
                <c:pt idx="991">
                  <c:v>123</c:v>
                </c:pt>
                <c:pt idx="992">
                  <c:v>96</c:v>
                </c:pt>
                <c:pt idx="993">
                  <c:v>105</c:v>
                </c:pt>
                <c:pt idx="994">
                  <c:v>113</c:v>
                </c:pt>
                <c:pt idx="995">
                  <c:v>132</c:v>
                </c:pt>
                <c:pt idx="996">
                  <c:v>75</c:v>
                </c:pt>
                <c:pt idx="997">
                  <c:v>108</c:v>
                </c:pt>
                <c:pt idx="998">
                  <c:v>105</c:v>
                </c:pt>
                <c:pt idx="999">
                  <c:v>102</c:v>
                </c:pt>
                <c:pt idx="1000">
                  <c:v>118</c:v>
                </c:pt>
                <c:pt idx="1001">
                  <c:v>111</c:v>
                </c:pt>
                <c:pt idx="1002">
                  <c:v>81</c:v>
                </c:pt>
                <c:pt idx="1003">
                  <c:v>116</c:v>
                </c:pt>
                <c:pt idx="1004">
                  <c:v>86</c:v>
                </c:pt>
                <c:pt idx="1005">
                  <c:v>127</c:v>
                </c:pt>
                <c:pt idx="1006">
                  <c:v>91</c:v>
                </c:pt>
                <c:pt idx="1007">
                  <c:v>98</c:v>
                </c:pt>
                <c:pt idx="1008">
                  <c:v>84</c:v>
                </c:pt>
                <c:pt idx="1009">
                  <c:v>109</c:v>
                </c:pt>
                <c:pt idx="1010">
                  <c:v>93</c:v>
                </c:pt>
                <c:pt idx="1011">
                  <c:v>113</c:v>
                </c:pt>
                <c:pt idx="1012">
                  <c:v>141</c:v>
                </c:pt>
                <c:pt idx="1013">
                  <c:v>119</c:v>
                </c:pt>
                <c:pt idx="1014">
                  <c:v>97</c:v>
                </c:pt>
                <c:pt idx="1015">
                  <c:v>117</c:v>
                </c:pt>
                <c:pt idx="1016">
                  <c:v>101</c:v>
                </c:pt>
                <c:pt idx="1017">
                  <c:v>153</c:v>
                </c:pt>
                <c:pt idx="1018">
                  <c:v>122</c:v>
                </c:pt>
                <c:pt idx="1019">
                  <c:v>102</c:v>
                </c:pt>
                <c:pt idx="1020">
                  <c:v>83</c:v>
                </c:pt>
                <c:pt idx="1021">
                  <c:v>103</c:v>
                </c:pt>
                <c:pt idx="1022">
                  <c:v>110</c:v>
                </c:pt>
                <c:pt idx="1023">
                  <c:v>136</c:v>
                </c:pt>
                <c:pt idx="1024">
                  <c:v>91</c:v>
                </c:pt>
                <c:pt idx="1025">
                  <c:v>89</c:v>
                </c:pt>
                <c:pt idx="1026">
                  <c:v>107</c:v>
                </c:pt>
                <c:pt idx="1027">
                  <c:v>129</c:v>
                </c:pt>
                <c:pt idx="1028">
                  <c:v>95</c:v>
                </c:pt>
                <c:pt idx="1029">
                  <c:v>122</c:v>
                </c:pt>
                <c:pt idx="1030">
                  <c:v>110</c:v>
                </c:pt>
                <c:pt idx="1031">
                  <c:v>135</c:v>
                </c:pt>
                <c:pt idx="1032">
                  <c:v>95</c:v>
                </c:pt>
                <c:pt idx="1033">
                  <c:v>109</c:v>
                </c:pt>
                <c:pt idx="1034">
                  <c:v>93</c:v>
                </c:pt>
                <c:pt idx="1035">
                  <c:v>94</c:v>
                </c:pt>
                <c:pt idx="1036">
                  <c:v>117</c:v>
                </c:pt>
                <c:pt idx="1037">
                  <c:v>112</c:v>
                </c:pt>
                <c:pt idx="1038">
                  <c:v>111</c:v>
                </c:pt>
                <c:pt idx="1039">
                  <c:v>96</c:v>
                </c:pt>
                <c:pt idx="1040">
                  <c:v>141</c:v>
                </c:pt>
                <c:pt idx="1041">
                  <c:v>94</c:v>
                </c:pt>
                <c:pt idx="1042">
                  <c:v>87</c:v>
                </c:pt>
                <c:pt idx="1043">
                  <c:v>88</c:v>
                </c:pt>
                <c:pt idx="1044">
                  <c:v>177</c:v>
                </c:pt>
                <c:pt idx="1045">
                  <c:v>133</c:v>
                </c:pt>
                <c:pt idx="1046">
                  <c:v>119</c:v>
                </c:pt>
                <c:pt idx="1047">
                  <c:v>102</c:v>
                </c:pt>
                <c:pt idx="1048">
                  <c:v>101</c:v>
                </c:pt>
                <c:pt idx="1049">
                  <c:v>91</c:v>
                </c:pt>
                <c:pt idx="1050">
                  <c:v>117</c:v>
                </c:pt>
                <c:pt idx="1051">
                  <c:v>86</c:v>
                </c:pt>
                <c:pt idx="1052">
                  <c:v>124</c:v>
                </c:pt>
                <c:pt idx="1053">
                  <c:v>134</c:v>
                </c:pt>
                <c:pt idx="1054">
                  <c:v>100</c:v>
                </c:pt>
                <c:pt idx="1055">
                  <c:v>220</c:v>
                </c:pt>
                <c:pt idx="1056">
                  <c:v>212</c:v>
                </c:pt>
                <c:pt idx="1057">
                  <c:v>128</c:v>
                </c:pt>
                <c:pt idx="1058">
                  <c:v>106</c:v>
                </c:pt>
                <c:pt idx="1059">
                  <c:v>160</c:v>
                </c:pt>
                <c:pt idx="1060">
                  <c:v>114</c:v>
                </c:pt>
                <c:pt idx="1061">
                  <c:v>99</c:v>
                </c:pt>
                <c:pt idx="1062">
                  <c:v>74</c:v>
                </c:pt>
                <c:pt idx="1063">
                  <c:v>139</c:v>
                </c:pt>
                <c:pt idx="1064">
                  <c:v>103</c:v>
                </c:pt>
                <c:pt idx="1065">
                  <c:v>101</c:v>
                </c:pt>
                <c:pt idx="1066">
                  <c:v>130</c:v>
                </c:pt>
                <c:pt idx="1067">
                  <c:v>130</c:v>
                </c:pt>
                <c:pt idx="1068">
                  <c:v>110</c:v>
                </c:pt>
                <c:pt idx="1069">
                  <c:v>147</c:v>
                </c:pt>
                <c:pt idx="1070">
                  <c:v>96</c:v>
                </c:pt>
                <c:pt idx="1071">
                  <c:v>118</c:v>
                </c:pt>
                <c:pt idx="1072">
                  <c:v>88</c:v>
                </c:pt>
                <c:pt idx="1073">
                  <c:v>325</c:v>
                </c:pt>
                <c:pt idx="1074">
                  <c:v>102</c:v>
                </c:pt>
                <c:pt idx="1075">
                  <c:v>110</c:v>
                </c:pt>
                <c:pt idx="1076">
                  <c:v>136</c:v>
                </c:pt>
                <c:pt idx="1077">
                  <c:v>103</c:v>
                </c:pt>
                <c:pt idx="1078">
                  <c:v>103</c:v>
                </c:pt>
                <c:pt idx="1079">
                  <c:v>90</c:v>
                </c:pt>
                <c:pt idx="1080">
                  <c:v>154</c:v>
                </c:pt>
                <c:pt idx="1081">
                  <c:v>99</c:v>
                </c:pt>
                <c:pt idx="1082">
                  <c:v>93</c:v>
                </c:pt>
                <c:pt idx="1083">
                  <c:v>109</c:v>
                </c:pt>
                <c:pt idx="1084">
                  <c:v>124</c:v>
                </c:pt>
                <c:pt idx="1085">
                  <c:v>84</c:v>
                </c:pt>
                <c:pt idx="1086">
                  <c:v>90</c:v>
                </c:pt>
                <c:pt idx="1087">
                  <c:v>117</c:v>
                </c:pt>
                <c:pt idx="1088">
                  <c:v>123</c:v>
                </c:pt>
                <c:pt idx="1089">
                  <c:v>251</c:v>
                </c:pt>
                <c:pt idx="1090">
                  <c:v>105</c:v>
                </c:pt>
                <c:pt idx="1091">
                  <c:v>115</c:v>
                </c:pt>
                <c:pt idx="1092">
                  <c:v>122</c:v>
                </c:pt>
                <c:pt idx="1093">
                  <c:v>119</c:v>
                </c:pt>
                <c:pt idx="1094">
                  <c:v>81</c:v>
                </c:pt>
                <c:pt idx="1095">
                  <c:v>133</c:v>
                </c:pt>
                <c:pt idx="1096">
                  <c:v>100</c:v>
                </c:pt>
                <c:pt idx="1097">
                  <c:v>120</c:v>
                </c:pt>
                <c:pt idx="1098">
                  <c:v>104</c:v>
                </c:pt>
                <c:pt idx="1099">
                  <c:v>122</c:v>
                </c:pt>
                <c:pt idx="1100">
                  <c:v>80</c:v>
                </c:pt>
                <c:pt idx="1101">
                  <c:v>91</c:v>
                </c:pt>
                <c:pt idx="1102">
                  <c:v>112</c:v>
                </c:pt>
                <c:pt idx="1103">
                  <c:v>100</c:v>
                </c:pt>
                <c:pt idx="1104">
                  <c:v>105</c:v>
                </c:pt>
                <c:pt idx="1105">
                  <c:v>110</c:v>
                </c:pt>
                <c:pt idx="1106">
                  <c:v>144</c:v>
                </c:pt>
                <c:pt idx="1107">
                  <c:v>108</c:v>
                </c:pt>
                <c:pt idx="1108">
                  <c:v>107</c:v>
                </c:pt>
                <c:pt idx="1109">
                  <c:v>102</c:v>
                </c:pt>
                <c:pt idx="1110">
                  <c:v>100</c:v>
                </c:pt>
                <c:pt idx="1111">
                  <c:v>126</c:v>
                </c:pt>
                <c:pt idx="1112">
                  <c:v>138</c:v>
                </c:pt>
                <c:pt idx="1113">
                  <c:v>108</c:v>
                </c:pt>
                <c:pt idx="1114">
                  <c:v>105</c:v>
                </c:pt>
                <c:pt idx="1115">
                  <c:v>108</c:v>
                </c:pt>
                <c:pt idx="1116">
                  <c:v>89</c:v>
                </c:pt>
                <c:pt idx="1117">
                  <c:v>129</c:v>
                </c:pt>
                <c:pt idx="1118">
                  <c:v>84</c:v>
                </c:pt>
                <c:pt idx="1119">
                  <c:v>149</c:v>
                </c:pt>
                <c:pt idx="1120">
                  <c:v>94</c:v>
                </c:pt>
                <c:pt idx="1121">
                  <c:v>121</c:v>
                </c:pt>
                <c:pt idx="1122">
                  <c:v>128</c:v>
                </c:pt>
                <c:pt idx="1123">
                  <c:v>134</c:v>
                </c:pt>
                <c:pt idx="1124">
                  <c:v>120</c:v>
                </c:pt>
                <c:pt idx="1125">
                  <c:v>129</c:v>
                </c:pt>
                <c:pt idx="1126">
                  <c:v>89</c:v>
                </c:pt>
                <c:pt idx="1127">
                  <c:v>116</c:v>
                </c:pt>
                <c:pt idx="1128">
                  <c:v>118</c:v>
                </c:pt>
                <c:pt idx="1129">
                  <c:v>107</c:v>
                </c:pt>
                <c:pt idx="1130">
                  <c:v>155</c:v>
                </c:pt>
                <c:pt idx="1131">
                  <c:v>123</c:v>
                </c:pt>
                <c:pt idx="1132">
                  <c:v>128</c:v>
                </c:pt>
                <c:pt idx="1133">
                  <c:v>139</c:v>
                </c:pt>
                <c:pt idx="1134">
                  <c:v>109</c:v>
                </c:pt>
                <c:pt idx="1135">
                  <c:v>120</c:v>
                </c:pt>
                <c:pt idx="1136">
                  <c:v>121</c:v>
                </c:pt>
                <c:pt idx="1137">
                  <c:v>102</c:v>
                </c:pt>
                <c:pt idx="1138">
                  <c:v>117</c:v>
                </c:pt>
                <c:pt idx="1139">
                  <c:v>178</c:v>
                </c:pt>
                <c:pt idx="1140">
                  <c:v>147</c:v>
                </c:pt>
                <c:pt idx="1141">
                  <c:v>90</c:v>
                </c:pt>
                <c:pt idx="1142">
                  <c:v>105</c:v>
                </c:pt>
                <c:pt idx="1143">
                  <c:v>114</c:v>
                </c:pt>
                <c:pt idx="1144">
                  <c:v>206</c:v>
                </c:pt>
                <c:pt idx="1145">
                  <c:v>99</c:v>
                </c:pt>
                <c:pt idx="1146">
                  <c:v>123</c:v>
                </c:pt>
                <c:pt idx="1147">
                  <c:v>102</c:v>
                </c:pt>
                <c:pt idx="1148">
                  <c:v>109</c:v>
                </c:pt>
                <c:pt idx="1149">
                  <c:v>82</c:v>
                </c:pt>
                <c:pt idx="1150">
                  <c:v>142</c:v>
                </c:pt>
                <c:pt idx="1151">
                  <c:v>106</c:v>
                </c:pt>
                <c:pt idx="1152">
                  <c:v>106</c:v>
                </c:pt>
                <c:pt idx="1153">
                  <c:v>108</c:v>
                </c:pt>
                <c:pt idx="1154">
                  <c:v>98</c:v>
                </c:pt>
                <c:pt idx="1155">
                  <c:v>131</c:v>
                </c:pt>
                <c:pt idx="1156">
                  <c:v>118</c:v>
                </c:pt>
                <c:pt idx="1157">
                  <c:v>113</c:v>
                </c:pt>
                <c:pt idx="1158">
                  <c:v>130</c:v>
                </c:pt>
                <c:pt idx="1159">
                  <c:v>116</c:v>
                </c:pt>
                <c:pt idx="1160">
                  <c:v>89</c:v>
                </c:pt>
                <c:pt idx="1161">
                  <c:v>139</c:v>
                </c:pt>
                <c:pt idx="1162">
                  <c:v>130</c:v>
                </c:pt>
                <c:pt idx="1163">
                  <c:v>107</c:v>
                </c:pt>
                <c:pt idx="1164">
                  <c:v>116</c:v>
                </c:pt>
                <c:pt idx="1165">
                  <c:v>96</c:v>
                </c:pt>
                <c:pt idx="1166">
                  <c:v>99</c:v>
                </c:pt>
                <c:pt idx="1167">
                  <c:v>104</c:v>
                </c:pt>
                <c:pt idx="1168">
                  <c:v>105</c:v>
                </c:pt>
                <c:pt idx="1169">
                  <c:v>101</c:v>
                </c:pt>
                <c:pt idx="1170">
                  <c:v>134</c:v>
                </c:pt>
                <c:pt idx="1171">
                  <c:v>135</c:v>
                </c:pt>
                <c:pt idx="1172">
                  <c:v>98</c:v>
                </c:pt>
                <c:pt idx="1173">
                  <c:v>155</c:v>
                </c:pt>
                <c:pt idx="1174">
                  <c:v>106</c:v>
                </c:pt>
                <c:pt idx="1175">
                  <c:v>102</c:v>
                </c:pt>
                <c:pt idx="1176">
                  <c:v>95</c:v>
                </c:pt>
                <c:pt idx="1177">
                  <c:v>103</c:v>
                </c:pt>
                <c:pt idx="1178">
                  <c:v>109</c:v>
                </c:pt>
                <c:pt idx="1179">
                  <c:v>95</c:v>
                </c:pt>
                <c:pt idx="1180">
                  <c:v>111</c:v>
                </c:pt>
                <c:pt idx="1181">
                  <c:v>123</c:v>
                </c:pt>
                <c:pt idx="1182">
                  <c:v>140</c:v>
                </c:pt>
                <c:pt idx="1183">
                  <c:v>94</c:v>
                </c:pt>
                <c:pt idx="1184">
                  <c:v>94</c:v>
                </c:pt>
                <c:pt idx="1185">
                  <c:v>92</c:v>
                </c:pt>
                <c:pt idx="1186">
                  <c:v>102</c:v>
                </c:pt>
                <c:pt idx="1187">
                  <c:v>123</c:v>
                </c:pt>
                <c:pt idx="1188">
                  <c:v>104</c:v>
                </c:pt>
                <c:pt idx="1189">
                  <c:v>102</c:v>
                </c:pt>
                <c:pt idx="1190">
                  <c:v>136</c:v>
                </c:pt>
                <c:pt idx="1191">
                  <c:v>93</c:v>
                </c:pt>
                <c:pt idx="1192">
                  <c:v>129</c:v>
                </c:pt>
                <c:pt idx="1193">
                  <c:v>107</c:v>
                </c:pt>
                <c:pt idx="1194">
                  <c:v>117</c:v>
                </c:pt>
                <c:pt idx="1195">
                  <c:v>116</c:v>
                </c:pt>
                <c:pt idx="1196">
                  <c:v>135</c:v>
                </c:pt>
                <c:pt idx="1197">
                  <c:v>107</c:v>
                </c:pt>
                <c:pt idx="1198">
                  <c:v>90</c:v>
                </c:pt>
                <c:pt idx="1199">
                  <c:v>99</c:v>
                </c:pt>
                <c:pt idx="1200">
                  <c:v>104</c:v>
                </c:pt>
                <c:pt idx="1201">
                  <c:v>115</c:v>
                </c:pt>
                <c:pt idx="1202">
                  <c:v>119</c:v>
                </c:pt>
                <c:pt idx="1203">
                  <c:v>99</c:v>
                </c:pt>
                <c:pt idx="1204">
                  <c:v>112</c:v>
                </c:pt>
                <c:pt idx="1205">
                  <c:v>128</c:v>
                </c:pt>
                <c:pt idx="1206">
                  <c:v>112</c:v>
                </c:pt>
                <c:pt idx="1207">
                  <c:v>86</c:v>
                </c:pt>
                <c:pt idx="1208">
                  <c:v>108</c:v>
                </c:pt>
                <c:pt idx="1209">
                  <c:v>128</c:v>
                </c:pt>
                <c:pt idx="1210">
                  <c:v>84</c:v>
                </c:pt>
                <c:pt idx="1211">
                  <c:v>111</c:v>
                </c:pt>
                <c:pt idx="1212">
                  <c:v>131</c:v>
                </c:pt>
                <c:pt idx="1213">
                  <c:v>123</c:v>
                </c:pt>
                <c:pt idx="1214">
                  <c:v>101</c:v>
                </c:pt>
                <c:pt idx="1215">
                  <c:v>102</c:v>
                </c:pt>
                <c:pt idx="1216">
                  <c:v>114</c:v>
                </c:pt>
                <c:pt idx="1217">
                  <c:v>107</c:v>
                </c:pt>
                <c:pt idx="1218">
                  <c:v>87</c:v>
                </c:pt>
                <c:pt idx="1219">
                  <c:v>103</c:v>
                </c:pt>
                <c:pt idx="1220">
                  <c:v>99</c:v>
                </c:pt>
                <c:pt idx="1221">
                  <c:v>122</c:v>
                </c:pt>
                <c:pt idx="1222">
                  <c:v>91</c:v>
                </c:pt>
                <c:pt idx="1223">
                  <c:v>103</c:v>
                </c:pt>
                <c:pt idx="1224">
                  <c:v>107</c:v>
                </c:pt>
                <c:pt idx="1225">
                  <c:v>106</c:v>
                </c:pt>
                <c:pt idx="1226">
                  <c:v>101</c:v>
                </c:pt>
                <c:pt idx="1227">
                  <c:v>109</c:v>
                </c:pt>
                <c:pt idx="1228">
                  <c:v>89</c:v>
                </c:pt>
                <c:pt idx="1229">
                  <c:v>119</c:v>
                </c:pt>
                <c:pt idx="1230">
                  <c:v>83</c:v>
                </c:pt>
                <c:pt idx="1231">
                  <c:v>108</c:v>
                </c:pt>
                <c:pt idx="1232">
                  <c:v>102</c:v>
                </c:pt>
                <c:pt idx="1233">
                  <c:v>93</c:v>
                </c:pt>
                <c:pt idx="1234">
                  <c:v>84</c:v>
                </c:pt>
                <c:pt idx="1235">
                  <c:v>107</c:v>
                </c:pt>
                <c:pt idx="1236">
                  <c:v>91</c:v>
                </c:pt>
                <c:pt idx="1237">
                  <c:v>94</c:v>
                </c:pt>
                <c:pt idx="1238">
                  <c:v>115</c:v>
                </c:pt>
                <c:pt idx="1239">
                  <c:v>93</c:v>
                </c:pt>
                <c:pt idx="1240">
                  <c:v>105</c:v>
                </c:pt>
                <c:pt idx="1241">
                  <c:v>107</c:v>
                </c:pt>
                <c:pt idx="1242">
                  <c:v>101</c:v>
                </c:pt>
                <c:pt idx="1243">
                  <c:v>111</c:v>
                </c:pt>
                <c:pt idx="1244">
                  <c:v>113</c:v>
                </c:pt>
                <c:pt idx="1245">
                  <c:v>112</c:v>
                </c:pt>
                <c:pt idx="1246">
                  <c:v>126</c:v>
                </c:pt>
                <c:pt idx="1247">
                  <c:v>98</c:v>
                </c:pt>
                <c:pt idx="1248">
                  <c:v>159</c:v>
                </c:pt>
                <c:pt idx="1249">
                  <c:v>107</c:v>
                </c:pt>
                <c:pt idx="1250">
                  <c:v>87</c:v>
                </c:pt>
                <c:pt idx="1251">
                  <c:v>119</c:v>
                </c:pt>
                <c:pt idx="1252">
                  <c:v>110</c:v>
                </c:pt>
                <c:pt idx="1253">
                  <c:v>125</c:v>
                </c:pt>
                <c:pt idx="1254">
                  <c:v>113</c:v>
                </c:pt>
                <c:pt idx="1255">
                  <c:v>150</c:v>
                </c:pt>
                <c:pt idx="1256">
                  <c:v>108</c:v>
                </c:pt>
                <c:pt idx="1257">
                  <c:v>96</c:v>
                </c:pt>
                <c:pt idx="1258">
                  <c:v>93</c:v>
                </c:pt>
                <c:pt idx="1259">
                  <c:v>100</c:v>
                </c:pt>
                <c:pt idx="1260">
                  <c:v>118</c:v>
                </c:pt>
                <c:pt idx="1261">
                  <c:v>122</c:v>
                </c:pt>
                <c:pt idx="1262">
                  <c:v>120</c:v>
                </c:pt>
                <c:pt idx="1263">
                  <c:v>146</c:v>
                </c:pt>
                <c:pt idx="1264">
                  <c:v>115</c:v>
                </c:pt>
                <c:pt idx="1265">
                  <c:v>123</c:v>
                </c:pt>
                <c:pt idx="1266">
                  <c:v>94</c:v>
                </c:pt>
                <c:pt idx="1267">
                  <c:v>102</c:v>
                </c:pt>
                <c:pt idx="1268">
                  <c:v>98</c:v>
                </c:pt>
                <c:pt idx="1269">
                  <c:v>133</c:v>
                </c:pt>
                <c:pt idx="1270">
                  <c:v>118</c:v>
                </c:pt>
                <c:pt idx="1271">
                  <c:v>105</c:v>
                </c:pt>
                <c:pt idx="1272">
                  <c:v>109</c:v>
                </c:pt>
                <c:pt idx="1273">
                  <c:v>129</c:v>
                </c:pt>
                <c:pt idx="1274">
                  <c:v>109</c:v>
                </c:pt>
                <c:pt idx="1275">
                  <c:v>127</c:v>
                </c:pt>
                <c:pt idx="1276">
                  <c:v>118</c:v>
                </c:pt>
                <c:pt idx="1277">
                  <c:v>110</c:v>
                </c:pt>
                <c:pt idx="1278">
                  <c:v>90</c:v>
                </c:pt>
                <c:pt idx="1279">
                  <c:v>144</c:v>
                </c:pt>
                <c:pt idx="1280">
                  <c:v>130</c:v>
                </c:pt>
                <c:pt idx="1281">
                  <c:v>112</c:v>
                </c:pt>
                <c:pt idx="1282">
                  <c:v>133</c:v>
                </c:pt>
                <c:pt idx="1283">
                  <c:v>150</c:v>
                </c:pt>
                <c:pt idx="1284">
                  <c:v>110</c:v>
                </c:pt>
                <c:pt idx="1285">
                  <c:v>96</c:v>
                </c:pt>
                <c:pt idx="1286">
                  <c:v>96</c:v>
                </c:pt>
                <c:pt idx="1287">
                  <c:v>123</c:v>
                </c:pt>
                <c:pt idx="1288">
                  <c:v>188</c:v>
                </c:pt>
                <c:pt idx="1289">
                  <c:v>107</c:v>
                </c:pt>
                <c:pt idx="1290">
                  <c:v>110</c:v>
                </c:pt>
                <c:pt idx="1291">
                  <c:v>113</c:v>
                </c:pt>
                <c:pt idx="1292">
                  <c:v>122</c:v>
                </c:pt>
                <c:pt idx="1293">
                  <c:v>116</c:v>
                </c:pt>
                <c:pt idx="1294">
                  <c:v>93</c:v>
                </c:pt>
                <c:pt idx="1295">
                  <c:v>118</c:v>
                </c:pt>
                <c:pt idx="1296">
                  <c:v>93</c:v>
                </c:pt>
                <c:pt idx="1297">
                  <c:v>121</c:v>
                </c:pt>
                <c:pt idx="1298">
                  <c:v>101</c:v>
                </c:pt>
                <c:pt idx="1299">
                  <c:v>107</c:v>
                </c:pt>
                <c:pt idx="1300">
                  <c:v>124</c:v>
                </c:pt>
                <c:pt idx="1301">
                  <c:v>109</c:v>
                </c:pt>
                <c:pt idx="1302">
                  <c:v>105</c:v>
                </c:pt>
                <c:pt idx="1303">
                  <c:v>130</c:v>
                </c:pt>
                <c:pt idx="1304">
                  <c:v>127</c:v>
                </c:pt>
                <c:pt idx="1305">
                  <c:v>114</c:v>
                </c:pt>
                <c:pt idx="1306">
                  <c:v>106</c:v>
                </c:pt>
                <c:pt idx="1307">
                  <c:v>95</c:v>
                </c:pt>
                <c:pt idx="1308">
                  <c:v>81</c:v>
                </c:pt>
                <c:pt idx="1309">
                  <c:v>95</c:v>
                </c:pt>
                <c:pt idx="1310">
                  <c:v>108</c:v>
                </c:pt>
                <c:pt idx="1311">
                  <c:v>105</c:v>
                </c:pt>
                <c:pt idx="1312">
                  <c:v>95</c:v>
                </c:pt>
                <c:pt idx="1313">
                  <c:v>126</c:v>
                </c:pt>
                <c:pt idx="1314">
                  <c:v>102</c:v>
                </c:pt>
                <c:pt idx="1315">
                  <c:v>121</c:v>
                </c:pt>
                <c:pt idx="1316">
                  <c:v>129</c:v>
                </c:pt>
                <c:pt idx="1317">
                  <c:v>88</c:v>
                </c:pt>
                <c:pt idx="1318">
                  <c:v>106</c:v>
                </c:pt>
                <c:pt idx="1319">
                  <c:v>110</c:v>
                </c:pt>
                <c:pt idx="1320">
                  <c:v>109</c:v>
                </c:pt>
                <c:pt idx="1321">
                  <c:v>143</c:v>
                </c:pt>
                <c:pt idx="1322">
                  <c:v>120</c:v>
                </c:pt>
                <c:pt idx="1323">
                  <c:v>128</c:v>
                </c:pt>
                <c:pt idx="1324">
                  <c:v>123</c:v>
                </c:pt>
                <c:pt idx="1325">
                  <c:v>129</c:v>
                </c:pt>
                <c:pt idx="1326">
                  <c:v>105</c:v>
                </c:pt>
                <c:pt idx="1327">
                  <c:v>162</c:v>
                </c:pt>
                <c:pt idx="1328">
                  <c:v>138</c:v>
                </c:pt>
                <c:pt idx="1329">
                  <c:v>100</c:v>
                </c:pt>
                <c:pt idx="1330">
                  <c:v>90</c:v>
                </c:pt>
                <c:pt idx="1331">
                  <c:v>108</c:v>
                </c:pt>
                <c:pt idx="1332">
                  <c:v>101</c:v>
                </c:pt>
                <c:pt idx="1333">
                  <c:v>109</c:v>
                </c:pt>
                <c:pt idx="1334">
                  <c:v>132</c:v>
                </c:pt>
                <c:pt idx="1335">
                  <c:v>123</c:v>
                </c:pt>
                <c:pt idx="1336">
                  <c:v>87</c:v>
                </c:pt>
                <c:pt idx="1337">
                  <c:v>109</c:v>
                </c:pt>
                <c:pt idx="1338">
                  <c:v>109</c:v>
                </c:pt>
                <c:pt idx="1339">
                  <c:v>92</c:v>
                </c:pt>
                <c:pt idx="1340">
                  <c:v>125</c:v>
                </c:pt>
                <c:pt idx="1341">
                  <c:v>202</c:v>
                </c:pt>
                <c:pt idx="1342">
                  <c:v>134</c:v>
                </c:pt>
                <c:pt idx="1343">
                  <c:v>88</c:v>
                </c:pt>
                <c:pt idx="1344">
                  <c:v>92</c:v>
                </c:pt>
                <c:pt idx="1345">
                  <c:v>91</c:v>
                </c:pt>
                <c:pt idx="1346">
                  <c:v>75</c:v>
                </c:pt>
                <c:pt idx="1347">
                  <c:v>98</c:v>
                </c:pt>
                <c:pt idx="1348">
                  <c:v>147</c:v>
                </c:pt>
                <c:pt idx="1349">
                  <c:v>100</c:v>
                </c:pt>
                <c:pt idx="1350">
                  <c:v>120</c:v>
                </c:pt>
                <c:pt idx="1351">
                  <c:v>104</c:v>
                </c:pt>
                <c:pt idx="1352">
                  <c:v>103</c:v>
                </c:pt>
                <c:pt idx="1353">
                  <c:v>109</c:v>
                </c:pt>
                <c:pt idx="1354">
                  <c:v>104</c:v>
                </c:pt>
                <c:pt idx="1355">
                  <c:v>112</c:v>
                </c:pt>
                <c:pt idx="1356">
                  <c:v>95</c:v>
                </c:pt>
                <c:pt idx="1357">
                  <c:v>102</c:v>
                </c:pt>
                <c:pt idx="1358">
                  <c:v>150</c:v>
                </c:pt>
                <c:pt idx="1359">
                  <c:v>101</c:v>
                </c:pt>
                <c:pt idx="1360">
                  <c:v>108</c:v>
                </c:pt>
                <c:pt idx="1361">
                  <c:v>98</c:v>
                </c:pt>
                <c:pt idx="1362">
                  <c:v>137</c:v>
                </c:pt>
                <c:pt idx="1363">
                  <c:v>112</c:v>
                </c:pt>
                <c:pt idx="1364">
                  <c:v>101</c:v>
                </c:pt>
                <c:pt idx="1365">
                  <c:v>103</c:v>
                </c:pt>
                <c:pt idx="1366">
                  <c:v>101</c:v>
                </c:pt>
                <c:pt idx="1367">
                  <c:v>112</c:v>
                </c:pt>
                <c:pt idx="1368">
                  <c:v>102</c:v>
                </c:pt>
                <c:pt idx="1369">
                  <c:v>101</c:v>
                </c:pt>
                <c:pt idx="1370">
                  <c:v>155</c:v>
                </c:pt>
                <c:pt idx="1371">
                  <c:v>109</c:v>
                </c:pt>
                <c:pt idx="1372">
                  <c:v>140</c:v>
                </c:pt>
                <c:pt idx="1373">
                  <c:v>108</c:v>
                </c:pt>
                <c:pt idx="1374">
                  <c:v>96</c:v>
                </c:pt>
                <c:pt idx="1375">
                  <c:v>123</c:v>
                </c:pt>
                <c:pt idx="1376">
                  <c:v>106</c:v>
                </c:pt>
                <c:pt idx="1377">
                  <c:v>76</c:v>
                </c:pt>
                <c:pt idx="1378">
                  <c:v>107</c:v>
                </c:pt>
                <c:pt idx="1379">
                  <c:v>82</c:v>
                </c:pt>
                <c:pt idx="1380">
                  <c:v>109</c:v>
                </c:pt>
                <c:pt idx="1381">
                  <c:v>99</c:v>
                </c:pt>
                <c:pt idx="1382">
                  <c:v>91</c:v>
                </c:pt>
                <c:pt idx="1383">
                  <c:v>87</c:v>
                </c:pt>
                <c:pt idx="1384">
                  <c:v>125</c:v>
                </c:pt>
                <c:pt idx="1385">
                  <c:v>118</c:v>
                </c:pt>
                <c:pt idx="1386">
                  <c:v>98</c:v>
                </c:pt>
                <c:pt idx="1387">
                  <c:v>92</c:v>
                </c:pt>
                <c:pt idx="1388">
                  <c:v>92</c:v>
                </c:pt>
                <c:pt idx="1389">
                  <c:v>115</c:v>
                </c:pt>
                <c:pt idx="1390">
                  <c:v>120</c:v>
                </c:pt>
                <c:pt idx="1391">
                  <c:v>111</c:v>
                </c:pt>
                <c:pt idx="1392">
                  <c:v>94</c:v>
                </c:pt>
                <c:pt idx="1393">
                  <c:v>100</c:v>
                </c:pt>
                <c:pt idx="1394">
                  <c:v>101</c:v>
                </c:pt>
                <c:pt idx="1395">
                  <c:v>139</c:v>
                </c:pt>
                <c:pt idx="1396">
                  <c:v>91</c:v>
                </c:pt>
                <c:pt idx="1397">
                  <c:v>109</c:v>
                </c:pt>
                <c:pt idx="1398">
                  <c:v>102</c:v>
                </c:pt>
                <c:pt idx="1399">
                  <c:v>103</c:v>
                </c:pt>
                <c:pt idx="1400">
                  <c:v>83</c:v>
                </c:pt>
                <c:pt idx="1401">
                  <c:v>123</c:v>
                </c:pt>
                <c:pt idx="1402">
                  <c:v>101</c:v>
                </c:pt>
                <c:pt idx="1403">
                  <c:v>117</c:v>
                </c:pt>
                <c:pt idx="1404">
                  <c:v>114</c:v>
                </c:pt>
                <c:pt idx="1405">
                  <c:v>330</c:v>
                </c:pt>
                <c:pt idx="1406">
                  <c:v>121</c:v>
                </c:pt>
                <c:pt idx="1407">
                  <c:v>114</c:v>
                </c:pt>
                <c:pt idx="1408">
                  <c:v>148</c:v>
                </c:pt>
                <c:pt idx="1409">
                  <c:v>113</c:v>
                </c:pt>
                <c:pt idx="1410">
                  <c:v>91</c:v>
                </c:pt>
                <c:pt idx="1411">
                  <c:v>139</c:v>
                </c:pt>
                <c:pt idx="1412">
                  <c:v>96</c:v>
                </c:pt>
                <c:pt idx="1413">
                  <c:v>102</c:v>
                </c:pt>
                <c:pt idx="1414">
                  <c:v>96</c:v>
                </c:pt>
                <c:pt idx="1415">
                  <c:v>101</c:v>
                </c:pt>
                <c:pt idx="1416">
                  <c:v>128</c:v>
                </c:pt>
                <c:pt idx="1417">
                  <c:v>109</c:v>
                </c:pt>
                <c:pt idx="1418">
                  <c:v>114</c:v>
                </c:pt>
                <c:pt idx="1419">
                  <c:v>105</c:v>
                </c:pt>
                <c:pt idx="1420">
                  <c:v>141</c:v>
                </c:pt>
                <c:pt idx="1421">
                  <c:v>138</c:v>
                </c:pt>
                <c:pt idx="1422">
                  <c:v>101</c:v>
                </c:pt>
                <c:pt idx="1423">
                  <c:v>99</c:v>
                </c:pt>
                <c:pt idx="1424">
                  <c:v>85</c:v>
                </c:pt>
                <c:pt idx="1425">
                  <c:v>89</c:v>
                </c:pt>
                <c:pt idx="1426">
                  <c:v>99</c:v>
                </c:pt>
                <c:pt idx="1427">
                  <c:v>105</c:v>
                </c:pt>
                <c:pt idx="1428">
                  <c:v>97</c:v>
                </c:pt>
                <c:pt idx="1429">
                  <c:v>140</c:v>
                </c:pt>
                <c:pt idx="1430">
                  <c:v>118</c:v>
                </c:pt>
                <c:pt idx="1431">
                  <c:v>94</c:v>
                </c:pt>
                <c:pt idx="1432">
                  <c:v>124</c:v>
                </c:pt>
                <c:pt idx="1433">
                  <c:v>134</c:v>
                </c:pt>
                <c:pt idx="1434">
                  <c:v>113</c:v>
                </c:pt>
                <c:pt idx="1435">
                  <c:v>124</c:v>
                </c:pt>
                <c:pt idx="1436">
                  <c:v>97</c:v>
                </c:pt>
                <c:pt idx="1437">
                  <c:v>123</c:v>
                </c:pt>
                <c:pt idx="1438">
                  <c:v>99</c:v>
                </c:pt>
                <c:pt idx="1439">
                  <c:v>101</c:v>
                </c:pt>
                <c:pt idx="1440">
                  <c:v>92</c:v>
                </c:pt>
                <c:pt idx="1441">
                  <c:v>131</c:v>
                </c:pt>
                <c:pt idx="1442">
                  <c:v>107</c:v>
                </c:pt>
                <c:pt idx="1443">
                  <c:v>103</c:v>
                </c:pt>
                <c:pt idx="1444">
                  <c:v>129</c:v>
                </c:pt>
                <c:pt idx="1445">
                  <c:v>107</c:v>
                </c:pt>
                <c:pt idx="1446">
                  <c:v>89</c:v>
                </c:pt>
                <c:pt idx="1447">
                  <c:v>113</c:v>
                </c:pt>
                <c:pt idx="1448">
                  <c:v>93</c:v>
                </c:pt>
                <c:pt idx="1449">
                  <c:v>120</c:v>
                </c:pt>
                <c:pt idx="1450">
                  <c:v>98</c:v>
                </c:pt>
                <c:pt idx="1451">
                  <c:v>105</c:v>
                </c:pt>
                <c:pt idx="1452">
                  <c:v>98</c:v>
                </c:pt>
                <c:pt idx="1453">
                  <c:v>96</c:v>
                </c:pt>
                <c:pt idx="1454">
                  <c:v>87</c:v>
                </c:pt>
                <c:pt idx="1455">
                  <c:v>107</c:v>
                </c:pt>
                <c:pt idx="1456">
                  <c:v>90</c:v>
                </c:pt>
                <c:pt idx="1457">
                  <c:v>121</c:v>
                </c:pt>
                <c:pt idx="1458">
                  <c:v>119</c:v>
                </c:pt>
                <c:pt idx="1459">
                  <c:v>107</c:v>
                </c:pt>
                <c:pt idx="1460">
                  <c:v>110</c:v>
                </c:pt>
                <c:pt idx="1461">
                  <c:v>100</c:v>
                </c:pt>
                <c:pt idx="1462">
                  <c:v>75</c:v>
                </c:pt>
                <c:pt idx="1463">
                  <c:v>132</c:v>
                </c:pt>
                <c:pt idx="1464">
                  <c:v>105</c:v>
                </c:pt>
                <c:pt idx="1465">
                  <c:v>289</c:v>
                </c:pt>
                <c:pt idx="1466">
                  <c:v>102</c:v>
                </c:pt>
                <c:pt idx="1467">
                  <c:v>143</c:v>
                </c:pt>
                <c:pt idx="1468">
                  <c:v>113</c:v>
                </c:pt>
                <c:pt idx="1469">
                  <c:v>161</c:v>
                </c:pt>
                <c:pt idx="1470">
                  <c:v>138</c:v>
                </c:pt>
                <c:pt idx="1471">
                  <c:v>126</c:v>
                </c:pt>
                <c:pt idx="1472">
                  <c:v>99</c:v>
                </c:pt>
                <c:pt idx="1473">
                  <c:v>101</c:v>
                </c:pt>
                <c:pt idx="1474">
                  <c:v>103</c:v>
                </c:pt>
                <c:pt idx="1475">
                  <c:v>118</c:v>
                </c:pt>
                <c:pt idx="1476">
                  <c:v>99</c:v>
                </c:pt>
                <c:pt idx="1477">
                  <c:v>105</c:v>
                </c:pt>
                <c:pt idx="1478">
                  <c:v>113</c:v>
                </c:pt>
                <c:pt idx="1479">
                  <c:v>93</c:v>
                </c:pt>
                <c:pt idx="1480">
                  <c:v>108</c:v>
                </c:pt>
                <c:pt idx="1481">
                  <c:v>74</c:v>
                </c:pt>
                <c:pt idx="1482">
                  <c:v>116</c:v>
                </c:pt>
                <c:pt idx="1483">
                  <c:v>104</c:v>
                </c:pt>
                <c:pt idx="1484">
                  <c:v>106</c:v>
                </c:pt>
                <c:pt idx="1485">
                  <c:v>120</c:v>
                </c:pt>
                <c:pt idx="1486">
                  <c:v>135</c:v>
                </c:pt>
                <c:pt idx="1487">
                  <c:v>132</c:v>
                </c:pt>
                <c:pt idx="1488">
                  <c:v>92</c:v>
                </c:pt>
                <c:pt idx="1489">
                  <c:v>99</c:v>
                </c:pt>
                <c:pt idx="1490">
                  <c:v>90</c:v>
                </c:pt>
                <c:pt idx="1491">
                  <c:v>111</c:v>
                </c:pt>
                <c:pt idx="1492">
                  <c:v>103</c:v>
                </c:pt>
                <c:pt idx="1493">
                  <c:v>127</c:v>
                </c:pt>
                <c:pt idx="1494">
                  <c:v>112</c:v>
                </c:pt>
                <c:pt idx="1495">
                  <c:v>87</c:v>
                </c:pt>
                <c:pt idx="1496">
                  <c:v>138</c:v>
                </c:pt>
                <c:pt idx="1497">
                  <c:v>132</c:v>
                </c:pt>
                <c:pt idx="1498">
                  <c:v>103</c:v>
                </c:pt>
                <c:pt idx="1499">
                  <c:v>123</c:v>
                </c:pt>
                <c:pt idx="1500">
                  <c:v>111</c:v>
                </c:pt>
                <c:pt idx="1501">
                  <c:v>102</c:v>
                </c:pt>
                <c:pt idx="1502">
                  <c:v>78</c:v>
                </c:pt>
                <c:pt idx="1503">
                  <c:v>132</c:v>
                </c:pt>
                <c:pt idx="1504">
                  <c:v>133</c:v>
                </c:pt>
                <c:pt idx="1505">
                  <c:v>108</c:v>
                </c:pt>
                <c:pt idx="1506">
                  <c:v>125</c:v>
                </c:pt>
                <c:pt idx="1507">
                  <c:v>98</c:v>
                </c:pt>
                <c:pt idx="1508">
                  <c:v>119</c:v>
                </c:pt>
                <c:pt idx="1509">
                  <c:v>87</c:v>
                </c:pt>
                <c:pt idx="1510">
                  <c:v>91</c:v>
                </c:pt>
                <c:pt idx="1511">
                  <c:v>100</c:v>
                </c:pt>
                <c:pt idx="1512">
                  <c:v>118</c:v>
                </c:pt>
                <c:pt idx="1513">
                  <c:v>109</c:v>
                </c:pt>
                <c:pt idx="1514">
                  <c:v>99</c:v>
                </c:pt>
                <c:pt idx="1515">
                  <c:v>114</c:v>
                </c:pt>
                <c:pt idx="1516">
                  <c:v>89</c:v>
                </c:pt>
                <c:pt idx="1517">
                  <c:v>95</c:v>
                </c:pt>
                <c:pt idx="1518">
                  <c:v>98</c:v>
                </c:pt>
                <c:pt idx="1519">
                  <c:v>94</c:v>
                </c:pt>
                <c:pt idx="1520">
                  <c:v>85</c:v>
                </c:pt>
                <c:pt idx="1521">
                  <c:v>124</c:v>
                </c:pt>
                <c:pt idx="1522">
                  <c:v>131</c:v>
                </c:pt>
                <c:pt idx="1523">
                  <c:v>107</c:v>
                </c:pt>
                <c:pt idx="1524">
                  <c:v>99</c:v>
                </c:pt>
                <c:pt idx="1525">
                  <c:v>83</c:v>
                </c:pt>
                <c:pt idx="1526">
                  <c:v>131</c:v>
                </c:pt>
                <c:pt idx="1527">
                  <c:v>85</c:v>
                </c:pt>
                <c:pt idx="1528">
                  <c:v>126</c:v>
                </c:pt>
                <c:pt idx="1529">
                  <c:v>123</c:v>
                </c:pt>
                <c:pt idx="1530">
                  <c:v>105</c:v>
                </c:pt>
                <c:pt idx="1531">
                  <c:v>125</c:v>
                </c:pt>
                <c:pt idx="1532">
                  <c:v>77</c:v>
                </c:pt>
                <c:pt idx="1533">
                  <c:v>121</c:v>
                </c:pt>
                <c:pt idx="1534">
                  <c:v>124</c:v>
                </c:pt>
                <c:pt idx="1535">
                  <c:v>99</c:v>
                </c:pt>
                <c:pt idx="1536">
                  <c:v>112</c:v>
                </c:pt>
                <c:pt idx="1537">
                  <c:v>111</c:v>
                </c:pt>
                <c:pt idx="1538">
                  <c:v>107</c:v>
                </c:pt>
                <c:pt idx="1539">
                  <c:v>104</c:v>
                </c:pt>
                <c:pt idx="1540">
                  <c:v>113</c:v>
                </c:pt>
                <c:pt idx="1541">
                  <c:v>113</c:v>
                </c:pt>
                <c:pt idx="1542">
                  <c:v>95</c:v>
                </c:pt>
                <c:pt idx="1543">
                  <c:v>86</c:v>
                </c:pt>
                <c:pt idx="1544">
                  <c:v>126</c:v>
                </c:pt>
                <c:pt idx="1545">
                  <c:v>101</c:v>
                </c:pt>
                <c:pt idx="1546">
                  <c:v>102</c:v>
                </c:pt>
                <c:pt idx="1547">
                  <c:v>111</c:v>
                </c:pt>
                <c:pt idx="1548">
                  <c:v>95</c:v>
                </c:pt>
                <c:pt idx="1549">
                  <c:v>98</c:v>
                </c:pt>
                <c:pt idx="1550">
                  <c:v>100</c:v>
                </c:pt>
                <c:pt idx="1551">
                  <c:v>118</c:v>
                </c:pt>
                <c:pt idx="1552">
                  <c:v>125</c:v>
                </c:pt>
                <c:pt idx="1553">
                  <c:v>94</c:v>
                </c:pt>
                <c:pt idx="1554">
                  <c:v>79</c:v>
                </c:pt>
                <c:pt idx="1555">
                  <c:v>106</c:v>
                </c:pt>
                <c:pt idx="1556">
                  <c:v>63</c:v>
                </c:pt>
                <c:pt idx="1557">
                  <c:v>85</c:v>
                </c:pt>
                <c:pt idx="1558">
                  <c:v>108</c:v>
                </c:pt>
                <c:pt idx="1559">
                  <c:v>139</c:v>
                </c:pt>
                <c:pt idx="1560">
                  <c:v>127</c:v>
                </c:pt>
                <c:pt idx="1561">
                  <c:v>106</c:v>
                </c:pt>
                <c:pt idx="1562">
                  <c:v>95</c:v>
                </c:pt>
                <c:pt idx="1563">
                  <c:v>118</c:v>
                </c:pt>
                <c:pt idx="1564">
                  <c:v>108</c:v>
                </c:pt>
                <c:pt idx="1565">
                  <c:v>105</c:v>
                </c:pt>
                <c:pt idx="1566">
                  <c:v>131</c:v>
                </c:pt>
                <c:pt idx="1567">
                  <c:v>104</c:v>
                </c:pt>
                <c:pt idx="1568">
                  <c:v>133</c:v>
                </c:pt>
                <c:pt idx="1569">
                  <c:v>94</c:v>
                </c:pt>
                <c:pt idx="1570">
                  <c:v>109</c:v>
                </c:pt>
                <c:pt idx="1571">
                  <c:v>96</c:v>
                </c:pt>
                <c:pt idx="1572">
                  <c:v>105</c:v>
                </c:pt>
                <c:pt idx="1573">
                  <c:v>99</c:v>
                </c:pt>
                <c:pt idx="1574">
                  <c:v>112</c:v>
                </c:pt>
                <c:pt idx="1575">
                  <c:v>108</c:v>
                </c:pt>
                <c:pt idx="1576">
                  <c:v>126</c:v>
                </c:pt>
                <c:pt idx="1577">
                  <c:v>98</c:v>
                </c:pt>
                <c:pt idx="1578">
                  <c:v>104</c:v>
                </c:pt>
                <c:pt idx="1579">
                  <c:v>110</c:v>
                </c:pt>
                <c:pt idx="1580">
                  <c:v>130</c:v>
                </c:pt>
                <c:pt idx="1581">
                  <c:v>93</c:v>
                </c:pt>
                <c:pt idx="1582">
                  <c:v>96</c:v>
                </c:pt>
                <c:pt idx="1583">
                  <c:v>114</c:v>
                </c:pt>
                <c:pt idx="1584">
                  <c:v>106</c:v>
                </c:pt>
                <c:pt idx="1585">
                  <c:v>150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107</c:v>
                </c:pt>
                <c:pt idx="1590">
                  <c:v>102</c:v>
                </c:pt>
                <c:pt idx="1591">
                  <c:v>101</c:v>
                </c:pt>
                <c:pt idx="1592">
                  <c:v>86</c:v>
                </c:pt>
                <c:pt idx="1593">
                  <c:v>108</c:v>
                </c:pt>
                <c:pt idx="1594">
                  <c:v>123</c:v>
                </c:pt>
                <c:pt idx="1595">
                  <c:v>88</c:v>
                </c:pt>
                <c:pt idx="1596">
                  <c:v>109</c:v>
                </c:pt>
                <c:pt idx="1597">
                  <c:v>122</c:v>
                </c:pt>
                <c:pt idx="1598">
                  <c:v>251</c:v>
                </c:pt>
                <c:pt idx="1599">
                  <c:v>118</c:v>
                </c:pt>
                <c:pt idx="1600">
                  <c:v>131</c:v>
                </c:pt>
                <c:pt idx="1601">
                  <c:v>109</c:v>
                </c:pt>
                <c:pt idx="1602">
                  <c:v>88</c:v>
                </c:pt>
                <c:pt idx="1603">
                  <c:v>103</c:v>
                </c:pt>
                <c:pt idx="1604">
                  <c:v>87</c:v>
                </c:pt>
                <c:pt idx="1605">
                  <c:v>160</c:v>
                </c:pt>
                <c:pt idx="1606">
                  <c:v>121</c:v>
                </c:pt>
                <c:pt idx="1607">
                  <c:v>129</c:v>
                </c:pt>
                <c:pt idx="1608">
                  <c:v>115</c:v>
                </c:pt>
                <c:pt idx="1609">
                  <c:v>153</c:v>
                </c:pt>
                <c:pt idx="1610">
                  <c:v>128</c:v>
                </c:pt>
                <c:pt idx="1611">
                  <c:v>89</c:v>
                </c:pt>
                <c:pt idx="1612">
                  <c:v>122</c:v>
                </c:pt>
                <c:pt idx="1613">
                  <c:v>99</c:v>
                </c:pt>
                <c:pt idx="1614">
                  <c:v>99</c:v>
                </c:pt>
                <c:pt idx="1615">
                  <c:v>147</c:v>
                </c:pt>
                <c:pt idx="1616">
                  <c:v>112</c:v>
                </c:pt>
                <c:pt idx="1617">
                  <c:v>88</c:v>
                </c:pt>
                <c:pt idx="1618">
                  <c:v>94</c:v>
                </c:pt>
                <c:pt idx="1619">
                  <c:v>90</c:v>
                </c:pt>
                <c:pt idx="1620">
                  <c:v>167</c:v>
                </c:pt>
                <c:pt idx="1621">
                  <c:v>118</c:v>
                </c:pt>
                <c:pt idx="1622">
                  <c:v>83</c:v>
                </c:pt>
                <c:pt idx="1623">
                  <c:v>104</c:v>
                </c:pt>
                <c:pt idx="1624">
                  <c:v>102</c:v>
                </c:pt>
                <c:pt idx="1625">
                  <c:v>131</c:v>
                </c:pt>
                <c:pt idx="1626">
                  <c:v>101</c:v>
                </c:pt>
                <c:pt idx="1627">
                  <c:v>130</c:v>
                </c:pt>
                <c:pt idx="1628">
                  <c:v>120</c:v>
                </c:pt>
                <c:pt idx="1629">
                  <c:v>135</c:v>
                </c:pt>
                <c:pt idx="1630">
                  <c:v>110</c:v>
                </c:pt>
                <c:pt idx="1631">
                  <c:v>103</c:v>
                </c:pt>
                <c:pt idx="1632">
                  <c:v>110</c:v>
                </c:pt>
                <c:pt idx="1633">
                  <c:v>91</c:v>
                </c:pt>
                <c:pt idx="1634">
                  <c:v>105</c:v>
                </c:pt>
                <c:pt idx="1635">
                  <c:v>127</c:v>
                </c:pt>
                <c:pt idx="1636">
                  <c:v>82</c:v>
                </c:pt>
                <c:pt idx="1637">
                  <c:v>99</c:v>
                </c:pt>
                <c:pt idx="1638">
                  <c:v>90</c:v>
                </c:pt>
                <c:pt idx="1639">
                  <c:v>115</c:v>
                </c:pt>
                <c:pt idx="1640">
                  <c:v>96</c:v>
                </c:pt>
                <c:pt idx="1641">
                  <c:v>104</c:v>
                </c:pt>
                <c:pt idx="1642">
                  <c:v>117</c:v>
                </c:pt>
                <c:pt idx="1643">
                  <c:v>83</c:v>
                </c:pt>
                <c:pt idx="1644">
                  <c:v>99</c:v>
                </c:pt>
                <c:pt idx="1645">
                  <c:v>81</c:v>
                </c:pt>
                <c:pt idx="1646">
                  <c:v>135</c:v>
                </c:pt>
                <c:pt idx="1647">
                  <c:v>117</c:v>
                </c:pt>
                <c:pt idx="1648">
                  <c:v>139</c:v>
                </c:pt>
                <c:pt idx="1649">
                  <c:v>123</c:v>
                </c:pt>
                <c:pt idx="1650">
                  <c:v>117</c:v>
                </c:pt>
                <c:pt idx="1651">
                  <c:v>97</c:v>
                </c:pt>
                <c:pt idx="1652">
                  <c:v>81</c:v>
                </c:pt>
                <c:pt idx="1653">
                  <c:v>103</c:v>
                </c:pt>
                <c:pt idx="1654">
                  <c:v>119</c:v>
                </c:pt>
                <c:pt idx="1655">
                  <c:v>94</c:v>
                </c:pt>
                <c:pt idx="1656">
                  <c:v>89</c:v>
                </c:pt>
                <c:pt idx="1657">
                  <c:v>98</c:v>
                </c:pt>
                <c:pt idx="1658">
                  <c:v>107</c:v>
                </c:pt>
                <c:pt idx="1659">
                  <c:v>108</c:v>
                </c:pt>
                <c:pt idx="1660">
                  <c:v>134</c:v>
                </c:pt>
                <c:pt idx="1661">
                  <c:v>110</c:v>
                </c:pt>
                <c:pt idx="1662">
                  <c:v>103</c:v>
                </c:pt>
                <c:pt idx="1663">
                  <c:v>100</c:v>
                </c:pt>
                <c:pt idx="1664">
                  <c:v>131</c:v>
                </c:pt>
                <c:pt idx="1665">
                  <c:v>133</c:v>
                </c:pt>
                <c:pt idx="1666">
                  <c:v>109</c:v>
                </c:pt>
                <c:pt idx="1667">
                  <c:v>114</c:v>
                </c:pt>
                <c:pt idx="1668">
                  <c:v>164</c:v>
                </c:pt>
                <c:pt idx="1669">
                  <c:v>92</c:v>
                </c:pt>
                <c:pt idx="1670">
                  <c:v>122</c:v>
                </c:pt>
                <c:pt idx="1671">
                  <c:v>110</c:v>
                </c:pt>
                <c:pt idx="1672">
                  <c:v>116</c:v>
                </c:pt>
                <c:pt idx="1673">
                  <c:v>115</c:v>
                </c:pt>
                <c:pt idx="1674">
                  <c:v>148</c:v>
                </c:pt>
                <c:pt idx="1675">
                  <c:v>118</c:v>
                </c:pt>
                <c:pt idx="1676">
                  <c:v>101</c:v>
                </c:pt>
                <c:pt idx="1677">
                  <c:v>82</c:v>
                </c:pt>
                <c:pt idx="1678">
                  <c:v>110</c:v>
                </c:pt>
                <c:pt idx="1679">
                  <c:v>193</c:v>
                </c:pt>
                <c:pt idx="1680">
                  <c:v>130</c:v>
                </c:pt>
                <c:pt idx="1681">
                  <c:v>111</c:v>
                </c:pt>
                <c:pt idx="1682">
                  <c:v>110</c:v>
                </c:pt>
                <c:pt idx="1683">
                  <c:v>123</c:v>
                </c:pt>
                <c:pt idx="1684">
                  <c:v>109</c:v>
                </c:pt>
                <c:pt idx="1685">
                  <c:v>99</c:v>
                </c:pt>
                <c:pt idx="1686">
                  <c:v>106</c:v>
                </c:pt>
                <c:pt idx="1687">
                  <c:v>89</c:v>
                </c:pt>
                <c:pt idx="1688">
                  <c:v>98</c:v>
                </c:pt>
                <c:pt idx="1689">
                  <c:v>93</c:v>
                </c:pt>
                <c:pt idx="1690">
                  <c:v>112</c:v>
                </c:pt>
                <c:pt idx="1691">
                  <c:v>101</c:v>
                </c:pt>
                <c:pt idx="1692">
                  <c:v>104</c:v>
                </c:pt>
                <c:pt idx="1693">
                  <c:v>120</c:v>
                </c:pt>
                <c:pt idx="1694">
                  <c:v>91</c:v>
                </c:pt>
                <c:pt idx="1695">
                  <c:v>97</c:v>
                </c:pt>
                <c:pt idx="1696">
                  <c:v>133</c:v>
                </c:pt>
                <c:pt idx="1697">
                  <c:v>123</c:v>
                </c:pt>
                <c:pt idx="1698">
                  <c:v>114</c:v>
                </c:pt>
                <c:pt idx="1699">
                  <c:v>111</c:v>
                </c:pt>
                <c:pt idx="1700">
                  <c:v>117</c:v>
                </c:pt>
                <c:pt idx="1701">
                  <c:v>121</c:v>
                </c:pt>
                <c:pt idx="1702">
                  <c:v>139</c:v>
                </c:pt>
                <c:pt idx="1703">
                  <c:v>115</c:v>
                </c:pt>
                <c:pt idx="1704">
                  <c:v>175</c:v>
                </c:pt>
                <c:pt idx="1705">
                  <c:v>85</c:v>
                </c:pt>
                <c:pt idx="1706">
                  <c:v>90</c:v>
                </c:pt>
                <c:pt idx="1707">
                  <c:v>107</c:v>
                </c:pt>
                <c:pt idx="1708">
                  <c:v>100</c:v>
                </c:pt>
                <c:pt idx="1709">
                  <c:v>129</c:v>
                </c:pt>
                <c:pt idx="1710">
                  <c:v>109</c:v>
                </c:pt>
                <c:pt idx="1711">
                  <c:v>94</c:v>
                </c:pt>
                <c:pt idx="1712">
                  <c:v>133</c:v>
                </c:pt>
                <c:pt idx="1713">
                  <c:v>105</c:v>
                </c:pt>
                <c:pt idx="1714">
                  <c:v>100</c:v>
                </c:pt>
                <c:pt idx="1715">
                  <c:v>113</c:v>
                </c:pt>
                <c:pt idx="1716">
                  <c:v>118</c:v>
                </c:pt>
                <c:pt idx="1717">
                  <c:v>110</c:v>
                </c:pt>
                <c:pt idx="1718">
                  <c:v>110</c:v>
                </c:pt>
                <c:pt idx="1719">
                  <c:v>99</c:v>
                </c:pt>
                <c:pt idx="1720">
                  <c:v>101</c:v>
                </c:pt>
                <c:pt idx="1721">
                  <c:v>103</c:v>
                </c:pt>
                <c:pt idx="1722">
                  <c:v>95</c:v>
                </c:pt>
                <c:pt idx="1723">
                  <c:v>117</c:v>
                </c:pt>
                <c:pt idx="1724">
                  <c:v>129</c:v>
                </c:pt>
                <c:pt idx="1725">
                  <c:v>120</c:v>
                </c:pt>
                <c:pt idx="1726">
                  <c:v>125</c:v>
                </c:pt>
                <c:pt idx="1727">
                  <c:v>133</c:v>
                </c:pt>
                <c:pt idx="1728">
                  <c:v>116</c:v>
                </c:pt>
                <c:pt idx="1729">
                  <c:v>129</c:v>
                </c:pt>
                <c:pt idx="1730">
                  <c:v>93</c:v>
                </c:pt>
                <c:pt idx="1731">
                  <c:v>118</c:v>
                </c:pt>
                <c:pt idx="1732">
                  <c:v>129</c:v>
                </c:pt>
                <c:pt idx="1733">
                  <c:v>185</c:v>
                </c:pt>
                <c:pt idx="1734">
                  <c:v>146</c:v>
                </c:pt>
                <c:pt idx="1735">
                  <c:v>128</c:v>
                </c:pt>
                <c:pt idx="1736">
                  <c:v>93</c:v>
                </c:pt>
                <c:pt idx="1737">
                  <c:v>97</c:v>
                </c:pt>
                <c:pt idx="1738">
                  <c:v>82</c:v>
                </c:pt>
                <c:pt idx="1739">
                  <c:v>85</c:v>
                </c:pt>
                <c:pt idx="1740">
                  <c:v>88</c:v>
                </c:pt>
                <c:pt idx="1741">
                  <c:v>119</c:v>
                </c:pt>
                <c:pt idx="1742">
                  <c:v>122</c:v>
                </c:pt>
                <c:pt idx="1743">
                  <c:v>99</c:v>
                </c:pt>
                <c:pt idx="1744">
                  <c:v>97</c:v>
                </c:pt>
                <c:pt idx="1745">
                  <c:v>121</c:v>
                </c:pt>
                <c:pt idx="1746">
                  <c:v>95</c:v>
                </c:pt>
                <c:pt idx="1747">
                  <c:v>105</c:v>
                </c:pt>
                <c:pt idx="1748">
                  <c:v>108</c:v>
                </c:pt>
                <c:pt idx="1749">
                  <c:v>134</c:v>
                </c:pt>
                <c:pt idx="1750">
                  <c:v>115</c:v>
                </c:pt>
                <c:pt idx="1751">
                  <c:v>86</c:v>
                </c:pt>
                <c:pt idx="1752">
                  <c:v>101</c:v>
                </c:pt>
                <c:pt idx="1753">
                  <c:v>96</c:v>
                </c:pt>
                <c:pt idx="1754">
                  <c:v>101</c:v>
                </c:pt>
                <c:pt idx="1755">
                  <c:v>100</c:v>
                </c:pt>
                <c:pt idx="1756">
                  <c:v>117</c:v>
                </c:pt>
                <c:pt idx="1757">
                  <c:v>101</c:v>
                </c:pt>
                <c:pt idx="1758">
                  <c:v>98</c:v>
                </c:pt>
                <c:pt idx="1759">
                  <c:v>146</c:v>
                </c:pt>
                <c:pt idx="1760">
                  <c:v>102</c:v>
                </c:pt>
                <c:pt idx="1761">
                  <c:v>97</c:v>
                </c:pt>
                <c:pt idx="1762">
                  <c:v>142</c:v>
                </c:pt>
                <c:pt idx="1763">
                  <c:v>98</c:v>
                </c:pt>
                <c:pt idx="1764">
                  <c:v>219</c:v>
                </c:pt>
                <c:pt idx="1765">
                  <c:v>109</c:v>
                </c:pt>
                <c:pt idx="1766">
                  <c:v>97</c:v>
                </c:pt>
                <c:pt idx="1767">
                  <c:v>158</c:v>
                </c:pt>
                <c:pt idx="1768">
                  <c:v>85</c:v>
                </c:pt>
                <c:pt idx="1769">
                  <c:v>80</c:v>
                </c:pt>
                <c:pt idx="1770">
                  <c:v>86</c:v>
                </c:pt>
                <c:pt idx="1771">
                  <c:v>119</c:v>
                </c:pt>
                <c:pt idx="1772">
                  <c:v>98</c:v>
                </c:pt>
                <c:pt idx="1773">
                  <c:v>97</c:v>
                </c:pt>
                <c:pt idx="1774">
                  <c:v>124</c:v>
                </c:pt>
                <c:pt idx="1775">
                  <c:v>97</c:v>
                </c:pt>
                <c:pt idx="1776">
                  <c:v>105</c:v>
                </c:pt>
                <c:pt idx="1777">
                  <c:v>104</c:v>
                </c:pt>
                <c:pt idx="1778">
                  <c:v>101</c:v>
                </c:pt>
                <c:pt idx="1779">
                  <c:v>101</c:v>
                </c:pt>
                <c:pt idx="1780">
                  <c:v>114</c:v>
                </c:pt>
                <c:pt idx="1781">
                  <c:v>105</c:v>
                </c:pt>
                <c:pt idx="1782">
                  <c:v>90</c:v>
                </c:pt>
                <c:pt idx="1783">
                  <c:v>97</c:v>
                </c:pt>
                <c:pt idx="1784">
                  <c:v>144</c:v>
                </c:pt>
                <c:pt idx="1785">
                  <c:v>114</c:v>
                </c:pt>
                <c:pt idx="1786">
                  <c:v>124</c:v>
                </c:pt>
                <c:pt idx="1787">
                  <c:v>89</c:v>
                </c:pt>
                <c:pt idx="1788">
                  <c:v>160</c:v>
                </c:pt>
                <c:pt idx="1789">
                  <c:v>93</c:v>
                </c:pt>
                <c:pt idx="1790">
                  <c:v>88</c:v>
                </c:pt>
                <c:pt idx="1791">
                  <c:v>142</c:v>
                </c:pt>
                <c:pt idx="1792">
                  <c:v>92</c:v>
                </c:pt>
                <c:pt idx="1793">
                  <c:v>117</c:v>
                </c:pt>
                <c:pt idx="1794">
                  <c:v>111</c:v>
                </c:pt>
                <c:pt idx="1795">
                  <c:v>121</c:v>
                </c:pt>
                <c:pt idx="1796">
                  <c:v>107</c:v>
                </c:pt>
                <c:pt idx="1797">
                  <c:v>106</c:v>
                </c:pt>
                <c:pt idx="1798">
                  <c:v>136</c:v>
                </c:pt>
                <c:pt idx="1799">
                  <c:v>97</c:v>
                </c:pt>
                <c:pt idx="1800">
                  <c:v>108</c:v>
                </c:pt>
                <c:pt idx="1801">
                  <c:v>97</c:v>
                </c:pt>
                <c:pt idx="1802">
                  <c:v>99</c:v>
                </c:pt>
                <c:pt idx="1803">
                  <c:v>103</c:v>
                </c:pt>
                <c:pt idx="1804">
                  <c:v>95</c:v>
                </c:pt>
                <c:pt idx="1805">
                  <c:v>93</c:v>
                </c:pt>
                <c:pt idx="1806">
                  <c:v>98</c:v>
                </c:pt>
                <c:pt idx="1807">
                  <c:v>90</c:v>
                </c:pt>
                <c:pt idx="1808">
                  <c:v>107</c:v>
                </c:pt>
                <c:pt idx="1809">
                  <c:v>90</c:v>
                </c:pt>
                <c:pt idx="1810">
                  <c:v>115</c:v>
                </c:pt>
                <c:pt idx="1811">
                  <c:v>93</c:v>
                </c:pt>
                <c:pt idx="1812">
                  <c:v>99</c:v>
                </c:pt>
                <c:pt idx="1813">
                  <c:v>107</c:v>
                </c:pt>
                <c:pt idx="1814">
                  <c:v>110</c:v>
                </c:pt>
                <c:pt idx="1815">
                  <c:v>101</c:v>
                </c:pt>
                <c:pt idx="1816">
                  <c:v>85</c:v>
                </c:pt>
                <c:pt idx="1817">
                  <c:v>132</c:v>
                </c:pt>
                <c:pt idx="1818">
                  <c:v>90</c:v>
                </c:pt>
                <c:pt idx="1819">
                  <c:v>145</c:v>
                </c:pt>
                <c:pt idx="1820">
                  <c:v>110</c:v>
                </c:pt>
                <c:pt idx="1821">
                  <c:v>122</c:v>
                </c:pt>
                <c:pt idx="1822">
                  <c:v>107</c:v>
                </c:pt>
                <c:pt idx="1823">
                  <c:v>127</c:v>
                </c:pt>
                <c:pt idx="1824">
                  <c:v>99</c:v>
                </c:pt>
                <c:pt idx="1825">
                  <c:v>140</c:v>
                </c:pt>
                <c:pt idx="1826">
                  <c:v>133</c:v>
                </c:pt>
                <c:pt idx="1827">
                  <c:v>271</c:v>
                </c:pt>
                <c:pt idx="1828">
                  <c:v>112</c:v>
                </c:pt>
                <c:pt idx="1829">
                  <c:v>99</c:v>
                </c:pt>
                <c:pt idx="1830">
                  <c:v>100</c:v>
                </c:pt>
                <c:pt idx="1831">
                  <c:v>92</c:v>
                </c:pt>
                <c:pt idx="1832">
                  <c:v>105</c:v>
                </c:pt>
                <c:pt idx="1833">
                  <c:v>110</c:v>
                </c:pt>
                <c:pt idx="1834">
                  <c:v>116</c:v>
                </c:pt>
                <c:pt idx="1835">
                  <c:v>88</c:v>
                </c:pt>
                <c:pt idx="1836">
                  <c:v>111</c:v>
                </c:pt>
                <c:pt idx="1837">
                  <c:v>95</c:v>
                </c:pt>
                <c:pt idx="1838">
                  <c:v>95</c:v>
                </c:pt>
                <c:pt idx="1839">
                  <c:v>127</c:v>
                </c:pt>
                <c:pt idx="1840">
                  <c:v>104</c:v>
                </c:pt>
                <c:pt idx="1841">
                  <c:v>95</c:v>
                </c:pt>
                <c:pt idx="1842">
                  <c:v>121</c:v>
                </c:pt>
                <c:pt idx="1843">
                  <c:v>92</c:v>
                </c:pt>
                <c:pt idx="1844">
                  <c:v>107</c:v>
                </c:pt>
                <c:pt idx="1845">
                  <c:v>117</c:v>
                </c:pt>
                <c:pt idx="1846">
                  <c:v>107</c:v>
                </c:pt>
                <c:pt idx="1847">
                  <c:v>131</c:v>
                </c:pt>
                <c:pt idx="1848">
                  <c:v>122</c:v>
                </c:pt>
                <c:pt idx="1849">
                  <c:v>134</c:v>
                </c:pt>
                <c:pt idx="1850">
                  <c:v>117</c:v>
                </c:pt>
                <c:pt idx="1851">
                  <c:v>138</c:v>
                </c:pt>
                <c:pt idx="1852">
                  <c:v>100</c:v>
                </c:pt>
                <c:pt idx="1853">
                  <c:v>119</c:v>
                </c:pt>
                <c:pt idx="1854">
                  <c:v>137</c:v>
                </c:pt>
                <c:pt idx="1855">
                  <c:v>119</c:v>
                </c:pt>
                <c:pt idx="1856">
                  <c:v>139</c:v>
                </c:pt>
                <c:pt idx="1857">
                  <c:v>120</c:v>
                </c:pt>
                <c:pt idx="1858">
                  <c:v>98</c:v>
                </c:pt>
                <c:pt idx="1859">
                  <c:v>106</c:v>
                </c:pt>
                <c:pt idx="1860">
                  <c:v>98</c:v>
                </c:pt>
                <c:pt idx="1861">
                  <c:v>107</c:v>
                </c:pt>
                <c:pt idx="1862">
                  <c:v>88</c:v>
                </c:pt>
                <c:pt idx="1863">
                  <c:v>137</c:v>
                </c:pt>
                <c:pt idx="1864">
                  <c:v>100</c:v>
                </c:pt>
                <c:pt idx="1865">
                  <c:v>115</c:v>
                </c:pt>
                <c:pt idx="1866">
                  <c:v>101</c:v>
                </c:pt>
                <c:pt idx="1867">
                  <c:v>110</c:v>
                </c:pt>
                <c:pt idx="1868">
                  <c:v>94</c:v>
                </c:pt>
                <c:pt idx="1869">
                  <c:v>88</c:v>
                </c:pt>
                <c:pt idx="1870">
                  <c:v>127</c:v>
                </c:pt>
                <c:pt idx="1871">
                  <c:v>95</c:v>
                </c:pt>
                <c:pt idx="1872">
                  <c:v>87</c:v>
                </c:pt>
                <c:pt idx="1873">
                  <c:v>118</c:v>
                </c:pt>
                <c:pt idx="1874">
                  <c:v>107</c:v>
                </c:pt>
                <c:pt idx="1875">
                  <c:v>124</c:v>
                </c:pt>
                <c:pt idx="1876">
                  <c:v>89</c:v>
                </c:pt>
                <c:pt idx="1877">
                  <c:v>88</c:v>
                </c:pt>
                <c:pt idx="1878">
                  <c:v>118</c:v>
                </c:pt>
                <c:pt idx="1879">
                  <c:v>93</c:v>
                </c:pt>
                <c:pt idx="1880">
                  <c:v>80</c:v>
                </c:pt>
                <c:pt idx="1881">
                  <c:v>120</c:v>
                </c:pt>
                <c:pt idx="1882">
                  <c:v>98</c:v>
                </c:pt>
                <c:pt idx="1883">
                  <c:v>119</c:v>
                </c:pt>
                <c:pt idx="1884">
                  <c:v>88</c:v>
                </c:pt>
                <c:pt idx="1885">
                  <c:v>90</c:v>
                </c:pt>
                <c:pt idx="1886">
                  <c:v>127</c:v>
                </c:pt>
                <c:pt idx="1887">
                  <c:v>119</c:v>
                </c:pt>
                <c:pt idx="1888">
                  <c:v>85</c:v>
                </c:pt>
                <c:pt idx="1889">
                  <c:v>98</c:v>
                </c:pt>
                <c:pt idx="1890">
                  <c:v>101</c:v>
                </c:pt>
                <c:pt idx="1891">
                  <c:v>112</c:v>
                </c:pt>
                <c:pt idx="1892">
                  <c:v>97</c:v>
                </c:pt>
                <c:pt idx="1893">
                  <c:v>126</c:v>
                </c:pt>
                <c:pt idx="1894">
                  <c:v>97</c:v>
                </c:pt>
                <c:pt idx="1895">
                  <c:v>100</c:v>
                </c:pt>
                <c:pt idx="1896">
                  <c:v>114</c:v>
                </c:pt>
                <c:pt idx="1897">
                  <c:v>88</c:v>
                </c:pt>
                <c:pt idx="1898">
                  <c:v>93</c:v>
                </c:pt>
                <c:pt idx="1899">
                  <c:v>92</c:v>
                </c:pt>
                <c:pt idx="1900">
                  <c:v>98</c:v>
                </c:pt>
                <c:pt idx="1901">
                  <c:v>94</c:v>
                </c:pt>
                <c:pt idx="1902">
                  <c:v>102</c:v>
                </c:pt>
                <c:pt idx="1903">
                  <c:v>98</c:v>
                </c:pt>
                <c:pt idx="1904">
                  <c:v>111</c:v>
                </c:pt>
                <c:pt idx="1905">
                  <c:v>100</c:v>
                </c:pt>
                <c:pt idx="1906">
                  <c:v>141</c:v>
                </c:pt>
                <c:pt idx="1907">
                  <c:v>114</c:v>
                </c:pt>
                <c:pt idx="1908">
                  <c:v>96</c:v>
                </c:pt>
                <c:pt idx="1909">
                  <c:v>111</c:v>
                </c:pt>
                <c:pt idx="1910">
                  <c:v>127</c:v>
                </c:pt>
                <c:pt idx="1911">
                  <c:v>107</c:v>
                </c:pt>
                <c:pt idx="1912">
                  <c:v>97</c:v>
                </c:pt>
                <c:pt idx="1913">
                  <c:v>127</c:v>
                </c:pt>
                <c:pt idx="1914">
                  <c:v>110</c:v>
                </c:pt>
                <c:pt idx="1915">
                  <c:v>135</c:v>
                </c:pt>
                <c:pt idx="1916">
                  <c:v>84</c:v>
                </c:pt>
                <c:pt idx="1917">
                  <c:v>122</c:v>
                </c:pt>
                <c:pt idx="1918">
                  <c:v>114</c:v>
                </c:pt>
                <c:pt idx="1919">
                  <c:v>132</c:v>
                </c:pt>
                <c:pt idx="1920">
                  <c:v>170</c:v>
                </c:pt>
                <c:pt idx="1921">
                  <c:v>133</c:v>
                </c:pt>
                <c:pt idx="1922">
                  <c:v>112</c:v>
                </c:pt>
                <c:pt idx="1923">
                  <c:v>108</c:v>
                </c:pt>
                <c:pt idx="1924">
                  <c:v>115</c:v>
                </c:pt>
                <c:pt idx="1925">
                  <c:v>83</c:v>
                </c:pt>
                <c:pt idx="1926">
                  <c:v>105</c:v>
                </c:pt>
                <c:pt idx="1927">
                  <c:v>96</c:v>
                </c:pt>
                <c:pt idx="1928">
                  <c:v>94</c:v>
                </c:pt>
                <c:pt idx="1929">
                  <c:v>142</c:v>
                </c:pt>
                <c:pt idx="1930">
                  <c:v>104</c:v>
                </c:pt>
                <c:pt idx="1931">
                  <c:v>106</c:v>
                </c:pt>
                <c:pt idx="1932">
                  <c:v>106</c:v>
                </c:pt>
                <c:pt idx="1933">
                  <c:v>98</c:v>
                </c:pt>
                <c:pt idx="1934">
                  <c:v>100</c:v>
                </c:pt>
                <c:pt idx="1935">
                  <c:v>95</c:v>
                </c:pt>
                <c:pt idx="1936">
                  <c:v>107</c:v>
                </c:pt>
                <c:pt idx="1937">
                  <c:v>104</c:v>
                </c:pt>
                <c:pt idx="1938">
                  <c:v>104</c:v>
                </c:pt>
                <c:pt idx="1939">
                  <c:v>143</c:v>
                </c:pt>
                <c:pt idx="1940">
                  <c:v>77</c:v>
                </c:pt>
                <c:pt idx="1941">
                  <c:v>96</c:v>
                </c:pt>
                <c:pt idx="1942">
                  <c:v>145</c:v>
                </c:pt>
                <c:pt idx="1943">
                  <c:v>116</c:v>
                </c:pt>
                <c:pt idx="1944">
                  <c:v>100</c:v>
                </c:pt>
                <c:pt idx="1945">
                  <c:v>104</c:v>
                </c:pt>
                <c:pt idx="1946">
                  <c:v>92</c:v>
                </c:pt>
                <c:pt idx="1947">
                  <c:v>105</c:v>
                </c:pt>
                <c:pt idx="1948">
                  <c:v>120</c:v>
                </c:pt>
                <c:pt idx="1949">
                  <c:v>116</c:v>
                </c:pt>
                <c:pt idx="1950">
                  <c:v>119</c:v>
                </c:pt>
                <c:pt idx="1951">
                  <c:v>101</c:v>
                </c:pt>
                <c:pt idx="1952">
                  <c:v>117</c:v>
                </c:pt>
                <c:pt idx="1953">
                  <c:v>112</c:v>
                </c:pt>
                <c:pt idx="1954">
                  <c:v>136</c:v>
                </c:pt>
                <c:pt idx="1955">
                  <c:v>81</c:v>
                </c:pt>
                <c:pt idx="1956">
                  <c:v>87</c:v>
                </c:pt>
                <c:pt idx="1957">
                  <c:v>96</c:v>
                </c:pt>
                <c:pt idx="1958">
                  <c:v>106</c:v>
                </c:pt>
                <c:pt idx="1959">
                  <c:v>122</c:v>
                </c:pt>
                <c:pt idx="1960">
                  <c:v>123</c:v>
                </c:pt>
                <c:pt idx="1961">
                  <c:v>92</c:v>
                </c:pt>
                <c:pt idx="1962">
                  <c:v>110</c:v>
                </c:pt>
                <c:pt idx="1963">
                  <c:v>104</c:v>
                </c:pt>
                <c:pt idx="1964">
                  <c:v>98</c:v>
                </c:pt>
                <c:pt idx="1965">
                  <c:v>120</c:v>
                </c:pt>
                <c:pt idx="1966">
                  <c:v>112</c:v>
                </c:pt>
                <c:pt idx="1967">
                  <c:v>127</c:v>
                </c:pt>
                <c:pt idx="1968">
                  <c:v>102</c:v>
                </c:pt>
                <c:pt idx="1969">
                  <c:v>91</c:v>
                </c:pt>
                <c:pt idx="1970">
                  <c:v>114</c:v>
                </c:pt>
                <c:pt idx="1971">
                  <c:v>115</c:v>
                </c:pt>
                <c:pt idx="1972">
                  <c:v>115</c:v>
                </c:pt>
                <c:pt idx="1973">
                  <c:v>120</c:v>
                </c:pt>
                <c:pt idx="1974">
                  <c:v>135</c:v>
                </c:pt>
                <c:pt idx="1975">
                  <c:v>90</c:v>
                </c:pt>
                <c:pt idx="1976">
                  <c:v>100</c:v>
                </c:pt>
                <c:pt idx="1977">
                  <c:v>105</c:v>
                </c:pt>
                <c:pt idx="1978">
                  <c:v>138</c:v>
                </c:pt>
                <c:pt idx="1979">
                  <c:v>94</c:v>
                </c:pt>
                <c:pt idx="1980">
                  <c:v>101</c:v>
                </c:pt>
                <c:pt idx="1981">
                  <c:v>131</c:v>
                </c:pt>
                <c:pt idx="1982">
                  <c:v>91</c:v>
                </c:pt>
                <c:pt idx="1983">
                  <c:v>112</c:v>
                </c:pt>
                <c:pt idx="1984">
                  <c:v>95</c:v>
                </c:pt>
                <c:pt idx="1985">
                  <c:v>100</c:v>
                </c:pt>
                <c:pt idx="1986">
                  <c:v>108</c:v>
                </c:pt>
                <c:pt idx="1987">
                  <c:v>101</c:v>
                </c:pt>
                <c:pt idx="1988">
                  <c:v>109</c:v>
                </c:pt>
                <c:pt idx="1989">
                  <c:v>115</c:v>
                </c:pt>
                <c:pt idx="1990">
                  <c:v>117</c:v>
                </c:pt>
                <c:pt idx="1991">
                  <c:v>107</c:v>
                </c:pt>
                <c:pt idx="1992">
                  <c:v>134</c:v>
                </c:pt>
                <c:pt idx="1993">
                  <c:v>118</c:v>
                </c:pt>
                <c:pt idx="1994">
                  <c:v>121</c:v>
                </c:pt>
                <c:pt idx="1995">
                  <c:v>105</c:v>
                </c:pt>
                <c:pt idx="1996">
                  <c:v>110</c:v>
                </c:pt>
                <c:pt idx="1997">
                  <c:v>114</c:v>
                </c:pt>
                <c:pt idx="1998">
                  <c:v>100</c:v>
                </c:pt>
                <c:pt idx="1999">
                  <c:v>85</c:v>
                </c:pt>
                <c:pt idx="2000">
                  <c:v>72</c:v>
                </c:pt>
                <c:pt idx="2001">
                  <c:v>128</c:v>
                </c:pt>
                <c:pt idx="2002">
                  <c:v>72</c:v>
                </c:pt>
                <c:pt idx="2003">
                  <c:v>89</c:v>
                </c:pt>
                <c:pt idx="2004">
                  <c:v>96</c:v>
                </c:pt>
                <c:pt idx="2005">
                  <c:v>77</c:v>
                </c:pt>
                <c:pt idx="2006">
                  <c:v>111</c:v>
                </c:pt>
                <c:pt idx="2007">
                  <c:v>93</c:v>
                </c:pt>
                <c:pt idx="2008">
                  <c:v>128</c:v>
                </c:pt>
                <c:pt idx="2009">
                  <c:v>110</c:v>
                </c:pt>
                <c:pt idx="2010">
                  <c:v>137</c:v>
                </c:pt>
                <c:pt idx="2011">
                  <c:v>124</c:v>
                </c:pt>
                <c:pt idx="2012">
                  <c:v>93</c:v>
                </c:pt>
                <c:pt idx="2013">
                  <c:v>115</c:v>
                </c:pt>
                <c:pt idx="2014">
                  <c:v>105</c:v>
                </c:pt>
                <c:pt idx="2015">
                  <c:v>127</c:v>
                </c:pt>
                <c:pt idx="2016">
                  <c:v>82</c:v>
                </c:pt>
                <c:pt idx="2017">
                  <c:v>143</c:v>
                </c:pt>
                <c:pt idx="2018">
                  <c:v>103</c:v>
                </c:pt>
                <c:pt idx="2019">
                  <c:v>104</c:v>
                </c:pt>
                <c:pt idx="2020">
                  <c:v>98</c:v>
                </c:pt>
                <c:pt idx="2021">
                  <c:v>92</c:v>
                </c:pt>
                <c:pt idx="2022">
                  <c:v>123</c:v>
                </c:pt>
                <c:pt idx="2023">
                  <c:v>88</c:v>
                </c:pt>
                <c:pt idx="2024">
                  <c:v>128</c:v>
                </c:pt>
                <c:pt idx="2025">
                  <c:v>107</c:v>
                </c:pt>
                <c:pt idx="2026">
                  <c:v>91</c:v>
                </c:pt>
                <c:pt idx="2027">
                  <c:v>90</c:v>
                </c:pt>
                <c:pt idx="2028">
                  <c:v>115</c:v>
                </c:pt>
                <c:pt idx="2029">
                  <c:v>113</c:v>
                </c:pt>
                <c:pt idx="2030">
                  <c:v>113</c:v>
                </c:pt>
                <c:pt idx="2031">
                  <c:v>87</c:v>
                </c:pt>
                <c:pt idx="2032">
                  <c:v>101</c:v>
                </c:pt>
                <c:pt idx="2033">
                  <c:v>111</c:v>
                </c:pt>
                <c:pt idx="2034">
                  <c:v>108</c:v>
                </c:pt>
                <c:pt idx="2035">
                  <c:v>105</c:v>
                </c:pt>
                <c:pt idx="2036">
                  <c:v>109</c:v>
                </c:pt>
                <c:pt idx="2037">
                  <c:v>109</c:v>
                </c:pt>
                <c:pt idx="2038">
                  <c:v>99</c:v>
                </c:pt>
                <c:pt idx="2039">
                  <c:v>98</c:v>
                </c:pt>
                <c:pt idx="2040">
                  <c:v>104</c:v>
                </c:pt>
                <c:pt idx="2041">
                  <c:v>109</c:v>
                </c:pt>
                <c:pt idx="2042">
                  <c:v>75</c:v>
                </c:pt>
                <c:pt idx="2043">
                  <c:v>119</c:v>
                </c:pt>
                <c:pt idx="2044">
                  <c:v>90</c:v>
                </c:pt>
                <c:pt idx="2045">
                  <c:v>97</c:v>
                </c:pt>
                <c:pt idx="2046">
                  <c:v>89</c:v>
                </c:pt>
                <c:pt idx="2047">
                  <c:v>106</c:v>
                </c:pt>
                <c:pt idx="2048">
                  <c:v>96</c:v>
                </c:pt>
                <c:pt idx="2049">
                  <c:v>104</c:v>
                </c:pt>
                <c:pt idx="2050">
                  <c:v>108</c:v>
                </c:pt>
                <c:pt idx="2051">
                  <c:v>112</c:v>
                </c:pt>
                <c:pt idx="2052">
                  <c:v>104</c:v>
                </c:pt>
                <c:pt idx="2053">
                  <c:v>113</c:v>
                </c:pt>
                <c:pt idx="2054">
                  <c:v>98</c:v>
                </c:pt>
                <c:pt idx="2055">
                  <c:v>114</c:v>
                </c:pt>
                <c:pt idx="2056">
                  <c:v>124</c:v>
                </c:pt>
                <c:pt idx="2057">
                  <c:v>148</c:v>
                </c:pt>
                <c:pt idx="2058">
                  <c:v>108</c:v>
                </c:pt>
                <c:pt idx="2059">
                  <c:v>95</c:v>
                </c:pt>
                <c:pt idx="2060">
                  <c:v>108</c:v>
                </c:pt>
                <c:pt idx="2061">
                  <c:v>68</c:v>
                </c:pt>
                <c:pt idx="2062">
                  <c:v>103</c:v>
                </c:pt>
                <c:pt idx="2063">
                  <c:v>99</c:v>
                </c:pt>
                <c:pt idx="2064">
                  <c:v>88</c:v>
                </c:pt>
                <c:pt idx="2065">
                  <c:v>128</c:v>
                </c:pt>
                <c:pt idx="2066">
                  <c:v>124</c:v>
                </c:pt>
                <c:pt idx="2067">
                  <c:v>84</c:v>
                </c:pt>
                <c:pt idx="2068">
                  <c:v>101</c:v>
                </c:pt>
                <c:pt idx="2069">
                  <c:v>98</c:v>
                </c:pt>
                <c:pt idx="2070">
                  <c:v>225</c:v>
                </c:pt>
                <c:pt idx="2071">
                  <c:v>88</c:v>
                </c:pt>
                <c:pt idx="2072">
                  <c:v>88</c:v>
                </c:pt>
                <c:pt idx="2073">
                  <c:v>94</c:v>
                </c:pt>
                <c:pt idx="2074">
                  <c:v>117</c:v>
                </c:pt>
                <c:pt idx="2075">
                  <c:v>95</c:v>
                </c:pt>
                <c:pt idx="2076">
                  <c:v>99</c:v>
                </c:pt>
                <c:pt idx="2077">
                  <c:v>96</c:v>
                </c:pt>
                <c:pt idx="2078">
                  <c:v>98</c:v>
                </c:pt>
                <c:pt idx="2079">
                  <c:v>123</c:v>
                </c:pt>
                <c:pt idx="2080">
                  <c:v>101</c:v>
                </c:pt>
                <c:pt idx="2081">
                  <c:v>102</c:v>
                </c:pt>
                <c:pt idx="2082">
                  <c:v>94</c:v>
                </c:pt>
                <c:pt idx="2083">
                  <c:v>102</c:v>
                </c:pt>
                <c:pt idx="2084">
                  <c:v>108</c:v>
                </c:pt>
                <c:pt idx="2085">
                  <c:v>116</c:v>
                </c:pt>
                <c:pt idx="2086">
                  <c:v>93</c:v>
                </c:pt>
                <c:pt idx="2087">
                  <c:v>102</c:v>
                </c:pt>
                <c:pt idx="2088">
                  <c:v>103</c:v>
                </c:pt>
                <c:pt idx="2089">
                  <c:v>115</c:v>
                </c:pt>
                <c:pt idx="2090">
                  <c:v>96</c:v>
                </c:pt>
                <c:pt idx="2091">
                  <c:v>98</c:v>
                </c:pt>
                <c:pt idx="2092">
                  <c:v>101</c:v>
                </c:pt>
                <c:pt idx="2093">
                  <c:v>106</c:v>
                </c:pt>
                <c:pt idx="2094">
                  <c:v>101</c:v>
                </c:pt>
                <c:pt idx="2095">
                  <c:v>111</c:v>
                </c:pt>
                <c:pt idx="2096">
                  <c:v>99</c:v>
                </c:pt>
                <c:pt idx="2097">
                  <c:v>88</c:v>
                </c:pt>
                <c:pt idx="2098">
                  <c:v>83</c:v>
                </c:pt>
                <c:pt idx="2099">
                  <c:v>91</c:v>
                </c:pt>
                <c:pt idx="2100">
                  <c:v>108</c:v>
                </c:pt>
                <c:pt idx="2101">
                  <c:v>148</c:v>
                </c:pt>
                <c:pt idx="2102">
                  <c:v>77</c:v>
                </c:pt>
                <c:pt idx="2103">
                  <c:v>110</c:v>
                </c:pt>
                <c:pt idx="2104">
                  <c:v>83</c:v>
                </c:pt>
                <c:pt idx="2105">
                  <c:v>107</c:v>
                </c:pt>
                <c:pt idx="2106">
                  <c:v>100</c:v>
                </c:pt>
                <c:pt idx="2107">
                  <c:v>87</c:v>
                </c:pt>
                <c:pt idx="2108">
                  <c:v>154</c:v>
                </c:pt>
                <c:pt idx="2109">
                  <c:v>106</c:v>
                </c:pt>
                <c:pt idx="2110">
                  <c:v>99</c:v>
                </c:pt>
                <c:pt idx="2111">
                  <c:v>100</c:v>
                </c:pt>
                <c:pt idx="2112">
                  <c:v>116</c:v>
                </c:pt>
                <c:pt idx="2113">
                  <c:v>94</c:v>
                </c:pt>
                <c:pt idx="2114">
                  <c:v>111</c:v>
                </c:pt>
                <c:pt idx="2115">
                  <c:v>100</c:v>
                </c:pt>
                <c:pt idx="2116">
                  <c:v>125</c:v>
                </c:pt>
                <c:pt idx="2117">
                  <c:v>119</c:v>
                </c:pt>
                <c:pt idx="2118">
                  <c:v>135</c:v>
                </c:pt>
                <c:pt idx="2119">
                  <c:v>93</c:v>
                </c:pt>
                <c:pt idx="2120">
                  <c:v>114</c:v>
                </c:pt>
                <c:pt idx="2121">
                  <c:v>124</c:v>
                </c:pt>
                <c:pt idx="2122">
                  <c:v>134</c:v>
                </c:pt>
                <c:pt idx="2123">
                  <c:v>114</c:v>
                </c:pt>
                <c:pt idx="2124">
                  <c:v>124</c:v>
                </c:pt>
                <c:pt idx="2125">
                  <c:v>104</c:v>
                </c:pt>
                <c:pt idx="2126">
                  <c:v>118</c:v>
                </c:pt>
                <c:pt idx="2127">
                  <c:v>80</c:v>
                </c:pt>
                <c:pt idx="2128">
                  <c:v>107</c:v>
                </c:pt>
                <c:pt idx="2129">
                  <c:v>125</c:v>
                </c:pt>
                <c:pt idx="2130">
                  <c:v>115</c:v>
                </c:pt>
                <c:pt idx="2131">
                  <c:v>88</c:v>
                </c:pt>
                <c:pt idx="2132">
                  <c:v>122</c:v>
                </c:pt>
                <c:pt idx="2133">
                  <c:v>103</c:v>
                </c:pt>
                <c:pt idx="2134">
                  <c:v>101</c:v>
                </c:pt>
                <c:pt idx="2135">
                  <c:v>107</c:v>
                </c:pt>
                <c:pt idx="2136">
                  <c:v>118</c:v>
                </c:pt>
                <c:pt idx="2137">
                  <c:v>107</c:v>
                </c:pt>
                <c:pt idx="2138">
                  <c:v>100</c:v>
                </c:pt>
                <c:pt idx="2139">
                  <c:v>110</c:v>
                </c:pt>
                <c:pt idx="2140">
                  <c:v>125</c:v>
                </c:pt>
                <c:pt idx="2141">
                  <c:v>184</c:v>
                </c:pt>
                <c:pt idx="2142">
                  <c:v>236</c:v>
                </c:pt>
                <c:pt idx="2143">
                  <c:v>97</c:v>
                </c:pt>
                <c:pt idx="2144">
                  <c:v>113</c:v>
                </c:pt>
                <c:pt idx="2145">
                  <c:v>95</c:v>
                </c:pt>
                <c:pt idx="2146">
                  <c:v>103</c:v>
                </c:pt>
                <c:pt idx="2147">
                  <c:v>91</c:v>
                </c:pt>
                <c:pt idx="2148">
                  <c:v>116</c:v>
                </c:pt>
                <c:pt idx="2149">
                  <c:v>93</c:v>
                </c:pt>
                <c:pt idx="2150">
                  <c:v>113</c:v>
                </c:pt>
                <c:pt idx="2151">
                  <c:v>101</c:v>
                </c:pt>
                <c:pt idx="2152">
                  <c:v>95</c:v>
                </c:pt>
                <c:pt idx="2153">
                  <c:v>109</c:v>
                </c:pt>
                <c:pt idx="2154">
                  <c:v>85</c:v>
                </c:pt>
                <c:pt idx="2155">
                  <c:v>101</c:v>
                </c:pt>
                <c:pt idx="2156">
                  <c:v>125</c:v>
                </c:pt>
                <c:pt idx="2157">
                  <c:v>132</c:v>
                </c:pt>
                <c:pt idx="2158">
                  <c:v>131</c:v>
                </c:pt>
                <c:pt idx="2159">
                  <c:v>129</c:v>
                </c:pt>
                <c:pt idx="2160">
                  <c:v>100</c:v>
                </c:pt>
                <c:pt idx="2161">
                  <c:v>97</c:v>
                </c:pt>
                <c:pt idx="2162">
                  <c:v>92</c:v>
                </c:pt>
                <c:pt idx="2163">
                  <c:v>116</c:v>
                </c:pt>
                <c:pt idx="2164">
                  <c:v>90</c:v>
                </c:pt>
                <c:pt idx="2165">
                  <c:v>81</c:v>
                </c:pt>
                <c:pt idx="2166">
                  <c:v>97</c:v>
                </c:pt>
                <c:pt idx="2167">
                  <c:v>118</c:v>
                </c:pt>
                <c:pt idx="2168">
                  <c:v>100</c:v>
                </c:pt>
                <c:pt idx="2169">
                  <c:v>97</c:v>
                </c:pt>
                <c:pt idx="2170">
                  <c:v>114</c:v>
                </c:pt>
                <c:pt idx="2171">
                  <c:v>130</c:v>
                </c:pt>
                <c:pt idx="2172">
                  <c:v>82</c:v>
                </c:pt>
                <c:pt idx="2173">
                  <c:v>96</c:v>
                </c:pt>
                <c:pt idx="2174">
                  <c:v>105</c:v>
                </c:pt>
                <c:pt idx="2175">
                  <c:v>122</c:v>
                </c:pt>
                <c:pt idx="2176">
                  <c:v>88</c:v>
                </c:pt>
                <c:pt idx="2177">
                  <c:v>110</c:v>
                </c:pt>
                <c:pt idx="2178">
                  <c:v>103</c:v>
                </c:pt>
                <c:pt idx="2179">
                  <c:v>106</c:v>
                </c:pt>
                <c:pt idx="2180">
                  <c:v>98</c:v>
                </c:pt>
                <c:pt idx="2181">
                  <c:v>68</c:v>
                </c:pt>
                <c:pt idx="2182">
                  <c:v>94</c:v>
                </c:pt>
                <c:pt idx="2183">
                  <c:v>99</c:v>
                </c:pt>
                <c:pt idx="2184">
                  <c:v>107</c:v>
                </c:pt>
                <c:pt idx="2185">
                  <c:v>180</c:v>
                </c:pt>
                <c:pt idx="2186">
                  <c:v>89</c:v>
                </c:pt>
                <c:pt idx="2187">
                  <c:v>97</c:v>
                </c:pt>
                <c:pt idx="2188">
                  <c:v>113</c:v>
                </c:pt>
                <c:pt idx="2189">
                  <c:v>131</c:v>
                </c:pt>
                <c:pt idx="2190">
                  <c:v>103</c:v>
                </c:pt>
                <c:pt idx="2191">
                  <c:v>119</c:v>
                </c:pt>
                <c:pt idx="2192">
                  <c:v>98</c:v>
                </c:pt>
                <c:pt idx="2193">
                  <c:v>111</c:v>
                </c:pt>
                <c:pt idx="2194">
                  <c:v>94</c:v>
                </c:pt>
                <c:pt idx="2195">
                  <c:v>81</c:v>
                </c:pt>
                <c:pt idx="2196">
                  <c:v>89</c:v>
                </c:pt>
                <c:pt idx="2197">
                  <c:v>106</c:v>
                </c:pt>
                <c:pt idx="2198">
                  <c:v>86</c:v>
                </c:pt>
                <c:pt idx="2199">
                  <c:v>103</c:v>
                </c:pt>
                <c:pt idx="2200">
                  <c:v>121</c:v>
                </c:pt>
                <c:pt idx="2201">
                  <c:v>109</c:v>
                </c:pt>
                <c:pt idx="2202">
                  <c:v>109</c:v>
                </c:pt>
                <c:pt idx="2203">
                  <c:v>123</c:v>
                </c:pt>
                <c:pt idx="2204">
                  <c:v>94</c:v>
                </c:pt>
                <c:pt idx="2205">
                  <c:v>94</c:v>
                </c:pt>
                <c:pt idx="2206">
                  <c:v>115</c:v>
                </c:pt>
                <c:pt idx="2207">
                  <c:v>107</c:v>
                </c:pt>
                <c:pt idx="2208">
                  <c:v>91</c:v>
                </c:pt>
                <c:pt idx="2209">
                  <c:v>125</c:v>
                </c:pt>
                <c:pt idx="2210">
                  <c:v>122</c:v>
                </c:pt>
                <c:pt idx="2211">
                  <c:v>102</c:v>
                </c:pt>
                <c:pt idx="2212">
                  <c:v>90</c:v>
                </c:pt>
                <c:pt idx="2213">
                  <c:v>98</c:v>
                </c:pt>
                <c:pt idx="2214">
                  <c:v>109</c:v>
                </c:pt>
                <c:pt idx="2215">
                  <c:v>90</c:v>
                </c:pt>
                <c:pt idx="2216">
                  <c:v>112</c:v>
                </c:pt>
                <c:pt idx="2217">
                  <c:v>94</c:v>
                </c:pt>
                <c:pt idx="2218">
                  <c:v>105</c:v>
                </c:pt>
                <c:pt idx="2219">
                  <c:v>104</c:v>
                </c:pt>
                <c:pt idx="2220">
                  <c:v>112</c:v>
                </c:pt>
                <c:pt idx="2221">
                  <c:v>108</c:v>
                </c:pt>
                <c:pt idx="2222">
                  <c:v>112</c:v>
                </c:pt>
                <c:pt idx="2223">
                  <c:v>127</c:v>
                </c:pt>
                <c:pt idx="2224">
                  <c:v>111</c:v>
                </c:pt>
                <c:pt idx="2225">
                  <c:v>126</c:v>
                </c:pt>
                <c:pt idx="2226">
                  <c:v>114</c:v>
                </c:pt>
                <c:pt idx="2227">
                  <c:v>99</c:v>
                </c:pt>
                <c:pt idx="2228">
                  <c:v>150</c:v>
                </c:pt>
                <c:pt idx="2229">
                  <c:v>112</c:v>
                </c:pt>
                <c:pt idx="2230">
                  <c:v>108</c:v>
                </c:pt>
                <c:pt idx="2231">
                  <c:v>116</c:v>
                </c:pt>
                <c:pt idx="2232">
                  <c:v>144</c:v>
                </c:pt>
                <c:pt idx="2233">
                  <c:v>93</c:v>
                </c:pt>
                <c:pt idx="2234">
                  <c:v>103</c:v>
                </c:pt>
                <c:pt idx="2235">
                  <c:v>121</c:v>
                </c:pt>
                <c:pt idx="2236">
                  <c:v>105</c:v>
                </c:pt>
                <c:pt idx="2237">
                  <c:v>119</c:v>
                </c:pt>
                <c:pt idx="2238">
                  <c:v>98</c:v>
                </c:pt>
                <c:pt idx="2239">
                  <c:v>80</c:v>
                </c:pt>
                <c:pt idx="2240">
                  <c:v>121</c:v>
                </c:pt>
                <c:pt idx="2241">
                  <c:v>94</c:v>
                </c:pt>
                <c:pt idx="2242">
                  <c:v>93</c:v>
                </c:pt>
                <c:pt idx="2243">
                  <c:v>116</c:v>
                </c:pt>
                <c:pt idx="2244">
                  <c:v>101</c:v>
                </c:pt>
                <c:pt idx="2245">
                  <c:v>154</c:v>
                </c:pt>
                <c:pt idx="2246">
                  <c:v>170</c:v>
                </c:pt>
                <c:pt idx="2247">
                  <c:v>99</c:v>
                </c:pt>
                <c:pt idx="2248">
                  <c:v>104</c:v>
                </c:pt>
                <c:pt idx="2249">
                  <c:v>126</c:v>
                </c:pt>
                <c:pt idx="2250">
                  <c:v>110</c:v>
                </c:pt>
                <c:pt idx="2251">
                  <c:v>101</c:v>
                </c:pt>
                <c:pt idx="2252">
                  <c:v>87</c:v>
                </c:pt>
                <c:pt idx="2253">
                  <c:v>123</c:v>
                </c:pt>
                <c:pt idx="2254">
                  <c:v>109</c:v>
                </c:pt>
                <c:pt idx="2255">
                  <c:v>90</c:v>
                </c:pt>
                <c:pt idx="2256">
                  <c:v>96</c:v>
                </c:pt>
                <c:pt idx="2257">
                  <c:v>82</c:v>
                </c:pt>
                <c:pt idx="2258">
                  <c:v>86</c:v>
                </c:pt>
                <c:pt idx="2259">
                  <c:v>108</c:v>
                </c:pt>
                <c:pt idx="2260">
                  <c:v>98</c:v>
                </c:pt>
                <c:pt idx="2261">
                  <c:v>129</c:v>
                </c:pt>
                <c:pt idx="2262">
                  <c:v>112</c:v>
                </c:pt>
                <c:pt idx="2263">
                  <c:v>108</c:v>
                </c:pt>
                <c:pt idx="2264">
                  <c:v>121</c:v>
                </c:pt>
                <c:pt idx="2265">
                  <c:v>89</c:v>
                </c:pt>
                <c:pt idx="2266">
                  <c:v>89</c:v>
                </c:pt>
                <c:pt idx="2267">
                  <c:v>73</c:v>
                </c:pt>
                <c:pt idx="2268">
                  <c:v>132</c:v>
                </c:pt>
                <c:pt idx="2269">
                  <c:v>96</c:v>
                </c:pt>
                <c:pt idx="2270">
                  <c:v>98</c:v>
                </c:pt>
                <c:pt idx="2271">
                  <c:v>107</c:v>
                </c:pt>
                <c:pt idx="2272">
                  <c:v>134</c:v>
                </c:pt>
                <c:pt idx="2273">
                  <c:v>122</c:v>
                </c:pt>
                <c:pt idx="2274">
                  <c:v>97</c:v>
                </c:pt>
                <c:pt idx="2275">
                  <c:v>110</c:v>
                </c:pt>
                <c:pt idx="2276">
                  <c:v>102</c:v>
                </c:pt>
                <c:pt idx="2277">
                  <c:v>98</c:v>
                </c:pt>
                <c:pt idx="2278">
                  <c:v>120</c:v>
                </c:pt>
                <c:pt idx="2279">
                  <c:v>160</c:v>
                </c:pt>
                <c:pt idx="2280">
                  <c:v>83</c:v>
                </c:pt>
                <c:pt idx="2281">
                  <c:v>102</c:v>
                </c:pt>
                <c:pt idx="2282">
                  <c:v>122</c:v>
                </c:pt>
                <c:pt idx="2283">
                  <c:v>126</c:v>
                </c:pt>
                <c:pt idx="2284">
                  <c:v>136</c:v>
                </c:pt>
                <c:pt idx="2285">
                  <c:v>120</c:v>
                </c:pt>
                <c:pt idx="2286">
                  <c:v>108</c:v>
                </c:pt>
                <c:pt idx="2287">
                  <c:v>126</c:v>
                </c:pt>
                <c:pt idx="2288">
                  <c:v>128</c:v>
                </c:pt>
                <c:pt idx="2289">
                  <c:v>113</c:v>
                </c:pt>
                <c:pt idx="2290">
                  <c:v>89</c:v>
                </c:pt>
                <c:pt idx="2291">
                  <c:v>129</c:v>
                </c:pt>
                <c:pt idx="2292">
                  <c:v>94</c:v>
                </c:pt>
                <c:pt idx="2293">
                  <c:v>106</c:v>
                </c:pt>
                <c:pt idx="2294">
                  <c:v>100</c:v>
                </c:pt>
                <c:pt idx="2295">
                  <c:v>89</c:v>
                </c:pt>
                <c:pt idx="2296">
                  <c:v>94</c:v>
                </c:pt>
                <c:pt idx="2297">
                  <c:v>83</c:v>
                </c:pt>
                <c:pt idx="2298">
                  <c:v>111</c:v>
                </c:pt>
                <c:pt idx="2299">
                  <c:v>80</c:v>
                </c:pt>
                <c:pt idx="2300">
                  <c:v>112</c:v>
                </c:pt>
                <c:pt idx="2301">
                  <c:v>94</c:v>
                </c:pt>
                <c:pt idx="2302">
                  <c:v>130</c:v>
                </c:pt>
                <c:pt idx="2303">
                  <c:v>91</c:v>
                </c:pt>
                <c:pt idx="2304">
                  <c:v>91</c:v>
                </c:pt>
                <c:pt idx="2305">
                  <c:v>110</c:v>
                </c:pt>
                <c:pt idx="2306">
                  <c:v>121</c:v>
                </c:pt>
                <c:pt idx="2307">
                  <c:v>114</c:v>
                </c:pt>
                <c:pt idx="2308">
                  <c:v>96</c:v>
                </c:pt>
                <c:pt idx="2309">
                  <c:v>94</c:v>
                </c:pt>
                <c:pt idx="2310">
                  <c:v>109</c:v>
                </c:pt>
                <c:pt idx="2311">
                  <c:v>107</c:v>
                </c:pt>
                <c:pt idx="2312">
                  <c:v>96</c:v>
                </c:pt>
                <c:pt idx="2313">
                  <c:v>88</c:v>
                </c:pt>
                <c:pt idx="2314">
                  <c:v>113</c:v>
                </c:pt>
                <c:pt idx="2315">
                  <c:v>101</c:v>
                </c:pt>
                <c:pt idx="2316">
                  <c:v>105</c:v>
                </c:pt>
                <c:pt idx="2317">
                  <c:v>125</c:v>
                </c:pt>
                <c:pt idx="2318">
                  <c:v>100</c:v>
                </c:pt>
                <c:pt idx="2319">
                  <c:v>112</c:v>
                </c:pt>
                <c:pt idx="2320">
                  <c:v>112</c:v>
                </c:pt>
                <c:pt idx="2321">
                  <c:v>95</c:v>
                </c:pt>
                <c:pt idx="2322">
                  <c:v>110</c:v>
                </c:pt>
                <c:pt idx="2323">
                  <c:v>118</c:v>
                </c:pt>
                <c:pt idx="2324">
                  <c:v>97</c:v>
                </c:pt>
                <c:pt idx="2325">
                  <c:v>120</c:v>
                </c:pt>
                <c:pt idx="2326">
                  <c:v>135</c:v>
                </c:pt>
                <c:pt idx="2327">
                  <c:v>101</c:v>
                </c:pt>
                <c:pt idx="2328">
                  <c:v>92</c:v>
                </c:pt>
                <c:pt idx="2329">
                  <c:v>92</c:v>
                </c:pt>
                <c:pt idx="2330">
                  <c:v>161</c:v>
                </c:pt>
                <c:pt idx="2331">
                  <c:v>92</c:v>
                </c:pt>
                <c:pt idx="2332">
                  <c:v>122</c:v>
                </c:pt>
                <c:pt idx="2333">
                  <c:v>91</c:v>
                </c:pt>
                <c:pt idx="2334">
                  <c:v>93</c:v>
                </c:pt>
                <c:pt idx="2335">
                  <c:v>94</c:v>
                </c:pt>
                <c:pt idx="2336">
                  <c:v>95</c:v>
                </c:pt>
                <c:pt idx="2337">
                  <c:v>105</c:v>
                </c:pt>
                <c:pt idx="2338">
                  <c:v>103</c:v>
                </c:pt>
                <c:pt idx="2339">
                  <c:v>102</c:v>
                </c:pt>
                <c:pt idx="2340">
                  <c:v>116</c:v>
                </c:pt>
                <c:pt idx="2341">
                  <c:v>110</c:v>
                </c:pt>
                <c:pt idx="2342">
                  <c:v>120</c:v>
                </c:pt>
                <c:pt idx="2343">
                  <c:v>122</c:v>
                </c:pt>
                <c:pt idx="2344">
                  <c:v>118</c:v>
                </c:pt>
                <c:pt idx="2345">
                  <c:v>107</c:v>
                </c:pt>
                <c:pt idx="2346">
                  <c:v>102</c:v>
                </c:pt>
                <c:pt idx="2347">
                  <c:v>154</c:v>
                </c:pt>
                <c:pt idx="2348">
                  <c:v>114</c:v>
                </c:pt>
                <c:pt idx="2349">
                  <c:v>109</c:v>
                </c:pt>
                <c:pt idx="2350">
                  <c:v>94</c:v>
                </c:pt>
                <c:pt idx="2351">
                  <c:v>100</c:v>
                </c:pt>
                <c:pt idx="2352">
                  <c:v>98</c:v>
                </c:pt>
                <c:pt idx="2353">
                  <c:v>102</c:v>
                </c:pt>
                <c:pt idx="2354">
                  <c:v>94</c:v>
                </c:pt>
                <c:pt idx="2355">
                  <c:v>92</c:v>
                </c:pt>
                <c:pt idx="2356">
                  <c:v>113</c:v>
                </c:pt>
                <c:pt idx="2357">
                  <c:v>115</c:v>
                </c:pt>
                <c:pt idx="2358">
                  <c:v>95</c:v>
                </c:pt>
                <c:pt idx="2359">
                  <c:v>87</c:v>
                </c:pt>
                <c:pt idx="2360">
                  <c:v>88</c:v>
                </c:pt>
                <c:pt idx="2361">
                  <c:v>97</c:v>
                </c:pt>
                <c:pt idx="2362">
                  <c:v>94</c:v>
                </c:pt>
                <c:pt idx="2363">
                  <c:v>112</c:v>
                </c:pt>
                <c:pt idx="2364">
                  <c:v>98</c:v>
                </c:pt>
                <c:pt idx="2365">
                  <c:v>104</c:v>
                </c:pt>
                <c:pt idx="2366">
                  <c:v>120</c:v>
                </c:pt>
                <c:pt idx="2367">
                  <c:v>99</c:v>
                </c:pt>
                <c:pt idx="2368">
                  <c:v>109</c:v>
                </c:pt>
                <c:pt idx="2369">
                  <c:v>106</c:v>
                </c:pt>
                <c:pt idx="2370">
                  <c:v>123</c:v>
                </c:pt>
                <c:pt idx="2371">
                  <c:v>86</c:v>
                </c:pt>
                <c:pt idx="2372">
                  <c:v>120</c:v>
                </c:pt>
                <c:pt idx="2373">
                  <c:v>227</c:v>
                </c:pt>
                <c:pt idx="2374">
                  <c:v>119</c:v>
                </c:pt>
                <c:pt idx="2375">
                  <c:v>115</c:v>
                </c:pt>
                <c:pt idx="2376">
                  <c:v>114</c:v>
                </c:pt>
                <c:pt idx="2377">
                  <c:v>90</c:v>
                </c:pt>
                <c:pt idx="2378">
                  <c:v>94</c:v>
                </c:pt>
                <c:pt idx="2379">
                  <c:v>98</c:v>
                </c:pt>
                <c:pt idx="2380">
                  <c:v>126</c:v>
                </c:pt>
                <c:pt idx="2381">
                  <c:v>100</c:v>
                </c:pt>
                <c:pt idx="2382">
                  <c:v>89</c:v>
                </c:pt>
                <c:pt idx="2383">
                  <c:v>111</c:v>
                </c:pt>
                <c:pt idx="2384">
                  <c:v>100</c:v>
                </c:pt>
                <c:pt idx="2385">
                  <c:v>115</c:v>
                </c:pt>
                <c:pt idx="2386">
                  <c:v>106</c:v>
                </c:pt>
                <c:pt idx="2387">
                  <c:v>124</c:v>
                </c:pt>
                <c:pt idx="2388">
                  <c:v>107</c:v>
                </c:pt>
                <c:pt idx="2389">
                  <c:v>99</c:v>
                </c:pt>
                <c:pt idx="2390">
                  <c:v>90</c:v>
                </c:pt>
                <c:pt idx="2391">
                  <c:v>101</c:v>
                </c:pt>
                <c:pt idx="2392">
                  <c:v>119</c:v>
                </c:pt>
                <c:pt idx="2393">
                  <c:v>103</c:v>
                </c:pt>
                <c:pt idx="2394">
                  <c:v>134</c:v>
                </c:pt>
                <c:pt idx="2395">
                  <c:v>155</c:v>
                </c:pt>
                <c:pt idx="2396">
                  <c:v>94</c:v>
                </c:pt>
                <c:pt idx="2397">
                  <c:v>95</c:v>
                </c:pt>
                <c:pt idx="2398">
                  <c:v>89</c:v>
                </c:pt>
                <c:pt idx="2399">
                  <c:v>97</c:v>
                </c:pt>
                <c:pt idx="2400">
                  <c:v>90</c:v>
                </c:pt>
                <c:pt idx="2401">
                  <c:v>92</c:v>
                </c:pt>
                <c:pt idx="2402">
                  <c:v>100</c:v>
                </c:pt>
                <c:pt idx="2403">
                  <c:v>117</c:v>
                </c:pt>
                <c:pt idx="2404">
                  <c:v>84</c:v>
                </c:pt>
                <c:pt idx="2405">
                  <c:v>140</c:v>
                </c:pt>
                <c:pt idx="2406">
                  <c:v>108</c:v>
                </c:pt>
                <c:pt idx="2407">
                  <c:v>109</c:v>
                </c:pt>
                <c:pt idx="2408">
                  <c:v>131</c:v>
                </c:pt>
                <c:pt idx="2409">
                  <c:v>114</c:v>
                </c:pt>
                <c:pt idx="2410">
                  <c:v>97</c:v>
                </c:pt>
                <c:pt idx="2411">
                  <c:v>122</c:v>
                </c:pt>
                <c:pt idx="2412">
                  <c:v>87</c:v>
                </c:pt>
                <c:pt idx="2413">
                  <c:v>85</c:v>
                </c:pt>
                <c:pt idx="2414">
                  <c:v>101</c:v>
                </c:pt>
                <c:pt idx="2415">
                  <c:v>121</c:v>
                </c:pt>
                <c:pt idx="2416">
                  <c:v>107</c:v>
                </c:pt>
                <c:pt idx="2417">
                  <c:v>111</c:v>
                </c:pt>
                <c:pt idx="2418">
                  <c:v>97</c:v>
                </c:pt>
                <c:pt idx="2419">
                  <c:v>97</c:v>
                </c:pt>
                <c:pt idx="2420">
                  <c:v>125</c:v>
                </c:pt>
                <c:pt idx="2421">
                  <c:v>124</c:v>
                </c:pt>
                <c:pt idx="2422">
                  <c:v>76</c:v>
                </c:pt>
                <c:pt idx="2423">
                  <c:v>107</c:v>
                </c:pt>
                <c:pt idx="2424">
                  <c:v>91</c:v>
                </c:pt>
                <c:pt idx="2425">
                  <c:v>96</c:v>
                </c:pt>
                <c:pt idx="2426">
                  <c:v>142</c:v>
                </c:pt>
                <c:pt idx="2427">
                  <c:v>103</c:v>
                </c:pt>
                <c:pt idx="2428">
                  <c:v>117</c:v>
                </c:pt>
                <c:pt idx="2429">
                  <c:v>116</c:v>
                </c:pt>
                <c:pt idx="2430">
                  <c:v>118</c:v>
                </c:pt>
                <c:pt idx="2431">
                  <c:v>108</c:v>
                </c:pt>
                <c:pt idx="2432">
                  <c:v>94</c:v>
                </c:pt>
                <c:pt idx="2433">
                  <c:v>97</c:v>
                </c:pt>
                <c:pt idx="2434">
                  <c:v>97</c:v>
                </c:pt>
                <c:pt idx="2435">
                  <c:v>91</c:v>
                </c:pt>
                <c:pt idx="2436">
                  <c:v>107</c:v>
                </c:pt>
                <c:pt idx="2437">
                  <c:v>95</c:v>
                </c:pt>
                <c:pt idx="2438">
                  <c:v>102</c:v>
                </c:pt>
                <c:pt idx="2439">
                  <c:v>88</c:v>
                </c:pt>
                <c:pt idx="2440">
                  <c:v>106</c:v>
                </c:pt>
                <c:pt idx="2441">
                  <c:v>92</c:v>
                </c:pt>
                <c:pt idx="2442">
                  <c:v>105</c:v>
                </c:pt>
                <c:pt idx="2443">
                  <c:v>107</c:v>
                </c:pt>
                <c:pt idx="2444">
                  <c:v>120</c:v>
                </c:pt>
                <c:pt idx="2445">
                  <c:v>103</c:v>
                </c:pt>
                <c:pt idx="2446">
                  <c:v>92</c:v>
                </c:pt>
                <c:pt idx="2447">
                  <c:v>147</c:v>
                </c:pt>
                <c:pt idx="2448">
                  <c:v>98</c:v>
                </c:pt>
                <c:pt idx="2449">
                  <c:v>103</c:v>
                </c:pt>
                <c:pt idx="2450">
                  <c:v>111</c:v>
                </c:pt>
                <c:pt idx="2451">
                  <c:v>98</c:v>
                </c:pt>
                <c:pt idx="2452">
                  <c:v>111</c:v>
                </c:pt>
                <c:pt idx="2453">
                  <c:v>111</c:v>
                </c:pt>
                <c:pt idx="2454">
                  <c:v>145</c:v>
                </c:pt>
                <c:pt idx="2455">
                  <c:v>84</c:v>
                </c:pt>
                <c:pt idx="2456">
                  <c:v>115</c:v>
                </c:pt>
                <c:pt idx="2457">
                  <c:v>105</c:v>
                </c:pt>
                <c:pt idx="2458">
                  <c:v>98</c:v>
                </c:pt>
                <c:pt idx="2459">
                  <c:v>110</c:v>
                </c:pt>
                <c:pt idx="2460">
                  <c:v>103</c:v>
                </c:pt>
                <c:pt idx="2461">
                  <c:v>90</c:v>
                </c:pt>
                <c:pt idx="2462">
                  <c:v>105</c:v>
                </c:pt>
                <c:pt idx="2463">
                  <c:v>93</c:v>
                </c:pt>
                <c:pt idx="2464">
                  <c:v>101</c:v>
                </c:pt>
                <c:pt idx="2465">
                  <c:v>115</c:v>
                </c:pt>
                <c:pt idx="2466">
                  <c:v>120</c:v>
                </c:pt>
                <c:pt idx="2467">
                  <c:v>111</c:v>
                </c:pt>
                <c:pt idx="2468">
                  <c:v>131</c:v>
                </c:pt>
                <c:pt idx="2469">
                  <c:v>139</c:v>
                </c:pt>
                <c:pt idx="2470">
                  <c:v>120</c:v>
                </c:pt>
                <c:pt idx="2471">
                  <c:v>119</c:v>
                </c:pt>
                <c:pt idx="2472">
                  <c:v>125</c:v>
                </c:pt>
                <c:pt idx="2473">
                  <c:v>108</c:v>
                </c:pt>
                <c:pt idx="2474">
                  <c:v>145</c:v>
                </c:pt>
                <c:pt idx="2475">
                  <c:v>98</c:v>
                </c:pt>
                <c:pt idx="2476">
                  <c:v>101</c:v>
                </c:pt>
                <c:pt idx="2477">
                  <c:v>109</c:v>
                </c:pt>
                <c:pt idx="2478">
                  <c:v>123</c:v>
                </c:pt>
                <c:pt idx="2479">
                  <c:v>99</c:v>
                </c:pt>
                <c:pt idx="2480">
                  <c:v>107</c:v>
                </c:pt>
                <c:pt idx="2481">
                  <c:v>81</c:v>
                </c:pt>
                <c:pt idx="2482">
                  <c:v>105</c:v>
                </c:pt>
                <c:pt idx="2483">
                  <c:v>82</c:v>
                </c:pt>
                <c:pt idx="2484">
                  <c:v>109</c:v>
                </c:pt>
                <c:pt idx="2485">
                  <c:v>95</c:v>
                </c:pt>
                <c:pt idx="2486">
                  <c:v>100</c:v>
                </c:pt>
                <c:pt idx="2487">
                  <c:v>91</c:v>
                </c:pt>
                <c:pt idx="2488">
                  <c:v>90</c:v>
                </c:pt>
                <c:pt idx="2489">
                  <c:v>108</c:v>
                </c:pt>
                <c:pt idx="2490">
                  <c:v>103</c:v>
                </c:pt>
                <c:pt idx="2491">
                  <c:v>96</c:v>
                </c:pt>
                <c:pt idx="2492">
                  <c:v>117</c:v>
                </c:pt>
                <c:pt idx="2493">
                  <c:v>93</c:v>
                </c:pt>
                <c:pt idx="2494">
                  <c:v>115</c:v>
                </c:pt>
                <c:pt idx="2495">
                  <c:v>85</c:v>
                </c:pt>
                <c:pt idx="2496">
                  <c:v>112</c:v>
                </c:pt>
                <c:pt idx="2497">
                  <c:v>86</c:v>
                </c:pt>
                <c:pt idx="2498">
                  <c:v>86</c:v>
                </c:pt>
                <c:pt idx="2499">
                  <c:v>137</c:v>
                </c:pt>
                <c:pt idx="2500">
                  <c:v>90</c:v>
                </c:pt>
                <c:pt idx="2501">
                  <c:v>107</c:v>
                </c:pt>
                <c:pt idx="2502">
                  <c:v>98</c:v>
                </c:pt>
                <c:pt idx="2503">
                  <c:v>84</c:v>
                </c:pt>
                <c:pt idx="2504">
                  <c:v>139</c:v>
                </c:pt>
                <c:pt idx="2505">
                  <c:v>127</c:v>
                </c:pt>
                <c:pt idx="2506">
                  <c:v>150</c:v>
                </c:pt>
                <c:pt idx="2507">
                  <c:v>132</c:v>
                </c:pt>
                <c:pt idx="2508">
                  <c:v>115</c:v>
                </c:pt>
                <c:pt idx="2509">
                  <c:v>186</c:v>
                </c:pt>
                <c:pt idx="2510">
                  <c:v>90</c:v>
                </c:pt>
                <c:pt idx="2511">
                  <c:v>134</c:v>
                </c:pt>
                <c:pt idx="2512">
                  <c:v>97</c:v>
                </c:pt>
                <c:pt idx="2513">
                  <c:v>107</c:v>
                </c:pt>
                <c:pt idx="2514">
                  <c:v>99</c:v>
                </c:pt>
                <c:pt idx="2515">
                  <c:v>124</c:v>
                </c:pt>
                <c:pt idx="2516">
                  <c:v>110</c:v>
                </c:pt>
                <c:pt idx="2517">
                  <c:v>178</c:v>
                </c:pt>
                <c:pt idx="2518">
                  <c:v>125</c:v>
                </c:pt>
                <c:pt idx="2519">
                  <c:v>121</c:v>
                </c:pt>
                <c:pt idx="2520">
                  <c:v>100</c:v>
                </c:pt>
                <c:pt idx="2521">
                  <c:v>115</c:v>
                </c:pt>
                <c:pt idx="2522">
                  <c:v>108</c:v>
                </c:pt>
                <c:pt idx="2523">
                  <c:v>220</c:v>
                </c:pt>
                <c:pt idx="2524">
                  <c:v>112</c:v>
                </c:pt>
                <c:pt idx="2525">
                  <c:v>99</c:v>
                </c:pt>
                <c:pt idx="2526">
                  <c:v>109</c:v>
                </c:pt>
                <c:pt idx="2527">
                  <c:v>83</c:v>
                </c:pt>
                <c:pt idx="2528">
                  <c:v>107</c:v>
                </c:pt>
                <c:pt idx="2529">
                  <c:v>102</c:v>
                </c:pt>
                <c:pt idx="2530">
                  <c:v>100</c:v>
                </c:pt>
                <c:pt idx="2531">
                  <c:v>97</c:v>
                </c:pt>
                <c:pt idx="2532">
                  <c:v>92</c:v>
                </c:pt>
                <c:pt idx="2533">
                  <c:v>84</c:v>
                </c:pt>
                <c:pt idx="2534">
                  <c:v>86</c:v>
                </c:pt>
                <c:pt idx="2535">
                  <c:v>120</c:v>
                </c:pt>
                <c:pt idx="2536">
                  <c:v>89</c:v>
                </c:pt>
                <c:pt idx="2537">
                  <c:v>117</c:v>
                </c:pt>
                <c:pt idx="2538">
                  <c:v>97</c:v>
                </c:pt>
                <c:pt idx="2539">
                  <c:v>91</c:v>
                </c:pt>
                <c:pt idx="2540">
                  <c:v>100</c:v>
                </c:pt>
                <c:pt idx="2541">
                  <c:v>72</c:v>
                </c:pt>
                <c:pt idx="2542">
                  <c:v>84</c:v>
                </c:pt>
                <c:pt idx="2543">
                  <c:v>126</c:v>
                </c:pt>
                <c:pt idx="2544">
                  <c:v>108</c:v>
                </c:pt>
                <c:pt idx="2545">
                  <c:v>112</c:v>
                </c:pt>
                <c:pt idx="2546">
                  <c:v>90</c:v>
                </c:pt>
                <c:pt idx="2547">
                  <c:v>91</c:v>
                </c:pt>
                <c:pt idx="2548">
                  <c:v>135</c:v>
                </c:pt>
                <c:pt idx="2549">
                  <c:v>141</c:v>
                </c:pt>
                <c:pt idx="2550">
                  <c:v>104</c:v>
                </c:pt>
                <c:pt idx="2551">
                  <c:v>84</c:v>
                </c:pt>
                <c:pt idx="2552">
                  <c:v>118</c:v>
                </c:pt>
                <c:pt idx="2553">
                  <c:v>82</c:v>
                </c:pt>
                <c:pt idx="2554">
                  <c:v>95</c:v>
                </c:pt>
                <c:pt idx="2555">
                  <c:v>94</c:v>
                </c:pt>
                <c:pt idx="2556">
                  <c:v>99</c:v>
                </c:pt>
                <c:pt idx="2557">
                  <c:v>121</c:v>
                </c:pt>
                <c:pt idx="2558">
                  <c:v>84</c:v>
                </c:pt>
                <c:pt idx="2559">
                  <c:v>93</c:v>
                </c:pt>
                <c:pt idx="2560">
                  <c:v>93</c:v>
                </c:pt>
                <c:pt idx="2561">
                  <c:v>120</c:v>
                </c:pt>
                <c:pt idx="2562">
                  <c:v>112</c:v>
                </c:pt>
                <c:pt idx="2563">
                  <c:v>107</c:v>
                </c:pt>
                <c:pt idx="2564">
                  <c:v>112</c:v>
                </c:pt>
                <c:pt idx="2565">
                  <c:v>96</c:v>
                </c:pt>
                <c:pt idx="2566">
                  <c:v>91</c:v>
                </c:pt>
                <c:pt idx="2567">
                  <c:v>125</c:v>
                </c:pt>
                <c:pt idx="2568">
                  <c:v>102</c:v>
                </c:pt>
                <c:pt idx="2569">
                  <c:v>87</c:v>
                </c:pt>
                <c:pt idx="2570">
                  <c:v>118</c:v>
                </c:pt>
                <c:pt idx="2571">
                  <c:v>115</c:v>
                </c:pt>
                <c:pt idx="2572">
                  <c:v>91</c:v>
                </c:pt>
                <c:pt idx="2573">
                  <c:v>88</c:v>
                </c:pt>
                <c:pt idx="2574">
                  <c:v>127</c:v>
                </c:pt>
                <c:pt idx="2575">
                  <c:v>94</c:v>
                </c:pt>
                <c:pt idx="2576">
                  <c:v>115</c:v>
                </c:pt>
                <c:pt idx="2577">
                  <c:v>90</c:v>
                </c:pt>
                <c:pt idx="2578">
                  <c:v>102</c:v>
                </c:pt>
                <c:pt idx="2579">
                  <c:v>117</c:v>
                </c:pt>
                <c:pt idx="2580">
                  <c:v>109</c:v>
                </c:pt>
                <c:pt idx="2581">
                  <c:v>121</c:v>
                </c:pt>
                <c:pt idx="2582">
                  <c:v>100</c:v>
                </c:pt>
                <c:pt idx="2583">
                  <c:v>109</c:v>
                </c:pt>
                <c:pt idx="2584">
                  <c:v>101</c:v>
                </c:pt>
                <c:pt idx="2585">
                  <c:v>106</c:v>
                </c:pt>
                <c:pt idx="2586">
                  <c:v>94</c:v>
                </c:pt>
                <c:pt idx="2587">
                  <c:v>140</c:v>
                </c:pt>
                <c:pt idx="2588">
                  <c:v>132</c:v>
                </c:pt>
                <c:pt idx="2589">
                  <c:v>99</c:v>
                </c:pt>
                <c:pt idx="2590">
                  <c:v>90</c:v>
                </c:pt>
                <c:pt idx="2591">
                  <c:v>105</c:v>
                </c:pt>
                <c:pt idx="2592">
                  <c:v>108</c:v>
                </c:pt>
                <c:pt idx="2593">
                  <c:v>69</c:v>
                </c:pt>
                <c:pt idx="2594">
                  <c:v>148</c:v>
                </c:pt>
                <c:pt idx="2595">
                  <c:v>118</c:v>
                </c:pt>
                <c:pt idx="2596">
                  <c:v>132</c:v>
                </c:pt>
                <c:pt idx="2597">
                  <c:v>130</c:v>
                </c:pt>
                <c:pt idx="2598">
                  <c:v>95</c:v>
                </c:pt>
                <c:pt idx="2599">
                  <c:v>80</c:v>
                </c:pt>
                <c:pt idx="2600">
                  <c:v>94</c:v>
                </c:pt>
                <c:pt idx="2601">
                  <c:v>122</c:v>
                </c:pt>
                <c:pt idx="2602">
                  <c:v>102</c:v>
                </c:pt>
                <c:pt idx="2603">
                  <c:v>116</c:v>
                </c:pt>
                <c:pt idx="2604">
                  <c:v>78</c:v>
                </c:pt>
                <c:pt idx="2605">
                  <c:v>114</c:v>
                </c:pt>
                <c:pt idx="2606">
                  <c:v>112</c:v>
                </c:pt>
                <c:pt idx="2607">
                  <c:v>110</c:v>
                </c:pt>
                <c:pt idx="2608">
                  <c:v>104</c:v>
                </c:pt>
                <c:pt idx="2609">
                  <c:v>81</c:v>
                </c:pt>
                <c:pt idx="2610">
                  <c:v>154</c:v>
                </c:pt>
                <c:pt idx="2611">
                  <c:v>102</c:v>
                </c:pt>
                <c:pt idx="2612">
                  <c:v>89</c:v>
                </c:pt>
                <c:pt idx="2613">
                  <c:v>132</c:v>
                </c:pt>
                <c:pt idx="2614">
                  <c:v>103</c:v>
                </c:pt>
                <c:pt idx="2615">
                  <c:v>93</c:v>
                </c:pt>
                <c:pt idx="2616">
                  <c:v>93</c:v>
                </c:pt>
                <c:pt idx="2617">
                  <c:v>96</c:v>
                </c:pt>
                <c:pt idx="2618">
                  <c:v>89</c:v>
                </c:pt>
                <c:pt idx="2619">
                  <c:v>92</c:v>
                </c:pt>
                <c:pt idx="2620">
                  <c:v>97</c:v>
                </c:pt>
                <c:pt idx="2621">
                  <c:v>93</c:v>
                </c:pt>
                <c:pt idx="2622">
                  <c:v>89</c:v>
                </c:pt>
                <c:pt idx="2623">
                  <c:v>123</c:v>
                </c:pt>
                <c:pt idx="2624">
                  <c:v>93</c:v>
                </c:pt>
                <c:pt idx="2625">
                  <c:v>133</c:v>
                </c:pt>
                <c:pt idx="2626">
                  <c:v>121</c:v>
                </c:pt>
                <c:pt idx="2627">
                  <c:v>102</c:v>
                </c:pt>
                <c:pt idx="2628">
                  <c:v>99</c:v>
                </c:pt>
                <c:pt idx="2629">
                  <c:v>98</c:v>
                </c:pt>
                <c:pt idx="2630">
                  <c:v>118</c:v>
                </c:pt>
                <c:pt idx="2631">
                  <c:v>104</c:v>
                </c:pt>
                <c:pt idx="2632">
                  <c:v>109</c:v>
                </c:pt>
                <c:pt idx="2633">
                  <c:v>115</c:v>
                </c:pt>
                <c:pt idx="2634">
                  <c:v>92</c:v>
                </c:pt>
                <c:pt idx="2635">
                  <c:v>91</c:v>
                </c:pt>
                <c:pt idx="2636">
                  <c:v>94</c:v>
                </c:pt>
                <c:pt idx="2637">
                  <c:v>93</c:v>
                </c:pt>
                <c:pt idx="2638">
                  <c:v>100</c:v>
                </c:pt>
                <c:pt idx="2639">
                  <c:v>293</c:v>
                </c:pt>
                <c:pt idx="2640">
                  <c:v>93</c:v>
                </c:pt>
                <c:pt idx="2641">
                  <c:v>123</c:v>
                </c:pt>
                <c:pt idx="2642">
                  <c:v>119</c:v>
                </c:pt>
                <c:pt idx="2643">
                  <c:v>107</c:v>
                </c:pt>
                <c:pt idx="2644">
                  <c:v>106</c:v>
                </c:pt>
                <c:pt idx="2645">
                  <c:v>109</c:v>
                </c:pt>
                <c:pt idx="2646">
                  <c:v>81</c:v>
                </c:pt>
                <c:pt idx="2647">
                  <c:v>95</c:v>
                </c:pt>
                <c:pt idx="2648">
                  <c:v>86</c:v>
                </c:pt>
                <c:pt idx="2649">
                  <c:v>113</c:v>
                </c:pt>
                <c:pt idx="2650">
                  <c:v>122</c:v>
                </c:pt>
                <c:pt idx="2651">
                  <c:v>90</c:v>
                </c:pt>
                <c:pt idx="2652">
                  <c:v>108</c:v>
                </c:pt>
                <c:pt idx="2653">
                  <c:v>113</c:v>
                </c:pt>
                <c:pt idx="2654">
                  <c:v>110</c:v>
                </c:pt>
                <c:pt idx="2655">
                  <c:v>109</c:v>
                </c:pt>
                <c:pt idx="2656">
                  <c:v>110</c:v>
                </c:pt>
                <c:pt idx="2657">
                  <c:v>101</c:v>
                </c:pt>
                <c:pt idx="2658">
                  <c:v>97</c:v>
                </c:pt>
                <c:pt idx="2659">
                  <c:v>172</c:v>
                </c:pt>
                <c:pt idx="2660">
                  <c:v>104</c:v>
                </c:pt>
                <c:pt idx="2661">
                  <c:v>99</c:v>
                </c:pt>
                <c:pt idx="2662">
                  <c:v>129</c:v>
                </c:pt>
                <c:pt idx="2663">
                  <c:v>91</c:v>
                </c:pt>
                <c:pt idx="2664">
                  <c:v>100</c:v>
                </c:pt>
                <c:pt idx="2665">
                  <c:v>111</c:v>
                </c:pt>
                <c:pt idx="2666">
                  <c:v>114</c:v>
                </c:pt>
                <c:pt idx="2667">
                  <c:v>86</c:v>
                </c:pt>
                <c:pt idx="2668">
                  <c:v>107</c:v>
                </c:pt>
                <c:pt idx="2669">
                  <c:v>90</c:v>
                </c:pt>
                <c:pt idx="2670">
                  <c:v>120</c:v>
                </c:pt>
                <c:pt idx="2671">
                  <c:v>134</c:v>
                </c:pt>
                <c:pt idx="2672">
                  <c:v>110</c:v>
                </c:pt>
                <c:pt idx="2673">
                  <c:v>132</c:v>
                </c:pt>
                <c:pt idx="2674">
                  <c:v>113</c:v>
                </c:pt>
                <c:pt idx="2675">
                  <c:v>111</c:v>
                </c:pt>
                <c:pt idx="2676">
                  <c:v>99</c:v>
                </c:pt>
                <c:pt idx="2677">
                  <c:v>104</c:v>
                </c:pt>
                <c:pt idx="2678">
                  <c:v>103</c:v>
                </c:pt>
                <c:pt idx="2679">
                  <c:v>134</c:v>
                </c:pt>
                <c:pt idx="2680">
                  <c:v>106</c:v>
                </c:pt>
                <c:pt idx="2681">
                  <c:v>125</c:v>
                </c:pt>
                <c:pt idx="2682">
                  <c:v>109</c:v>
                </c:pt>
                <c:pt idx="2683">
                  <c:v>200</c:v>
                </c:pt>
                <c:pt idx="2684">
                  <c:v>112</c:v>
                </c:pt>
                <c:pt idx="2685">
                  <c:v>116</c:v>
                </c:pt>
                <c:pt idx="2686">
                  <c:v>120</c:v>
                </c:pt>
                <c:pt idx="2687">
                  <c:v>107</c:v>
                </c:pt>
                <c:pt idx="2688">
                  <c:v>107</c:v>
                </c:pt>
                <c:pt idx="2689">
                  <c:v>81</c:v>
                </c:pt>
                <c:pt idx="2690">
                  <c:v>101</c:v>
                </c:pt>
                <c:pt idx="2691">
                  <c:v>122</c:v>
                </c:pt>
                <c:pt idx="2692">
                  <c:v>97</c:v>
                </c:pt>
                <c:pt idx="2693">
                  <c:v>92</c:v>
                </c:pt>
                <c:pt idx="2694">
                  <c:v>110</c:v>
                </c:pt>
                <c:pt idx="2695">
                  <c:v>86</c:v>
                </c:pt>
                <c:pt idx="2696">
                  <c:v>91</c:v>
                </c:pt>
                <c:pt idx="2697">
                  <c:v>100</c:v>
                </c:pt>
                <c:pt idx="2698">
                  <c:v>111</c:v>
                </c:pt>
                <c:pt idx="2699">
                  <c:v>89</c:v>
                </c:pt>
                <c:pt idx="2700">
                  <c:v>84</c:v>
                </c:pt>
                <c:pt idx="2701">
                  <c:v>98</c:v>
                </c:pt>
                <c:pt idx="2702">
                  <c:v>95</c:v>
                </c:pt>
                <c:pt idx="2703">
                  <c:v>100</c:v>
                </c:pt>
                <c:pt idx="2704">
                  <c:v>109</c:v>
                </c:pt>
                <c:pt idx="2705">
                  <c:v>118</c:v>
                </c:pt>
                <c:pt idx="2706">
                  <c:v>88</c:v>
                </c:pt>
                <c:pt idx="2707">
                  <c:v>86</c:v>
                </c:pt>
                <c:pt idx="2708">
                  <c:v>118</c:v>
                </c:pt>
                <c:pt idx="2709">
                  <c:v>125</c:v>
                </c:pt>
                <c:pt idx="2710">
                  <c:v>125</c:v>
                </c:pt>
                <c:pt idx="2711">
                  <c:v>94</c:v>
                </c:pt>
                <c:pt idx="2712">
                  <c:v>113</c:v>
                </c:pt>
                <c:pt idx="2713">
                  <c:v>104</c:v>
                </c:pt>
                <c:pt idx="2714">
                  <c:v>95</c:v>
                </c:pt>
                <c:pt idx="2715">
                  <c:v>102</c:v>
                </c:pt>
                <c:pt idx="2716">
                  <c:v>104</c:v>
                </c:pt>
                <c:pt idx="2717">
                  <c:v>95</c:v>
                </c:pt>
                <c:pt idx="2718">
                  <c:v>118</c:v>
                </c:pt>
                <c:pt idx="2719">
                  <c:v>193</c:v>
                </c:pt>
                <c:pt idx="2720">
                  <c:v>97</c:v>
                </c:pt>
                <c:pt idx="2721">
                  <c:v>98</c:v>
                </c:pt>
                <c:pt idx="2722">
                  <c:v>103</c:v>
                </c:pt>
                <c:pt idx="2723">
                  <c:v>161</c:v>
                </c:pt>
                <c:pt idx="2724">
                  <c:v>120</c:v>
                </c:pt>
                <c:pt idx="2725">
                  <c:v>97</c:v>
                </c:pt>
                <c:pt idx="2726">
                  <c:v>99</c:v>
                </c:pt>
                <c:pt idx="2727">
                  <c:v>145</c:v>
                </c:pt>
                <c:pt idx="2728">
                  <c:v>126</c:v>
                </c:pt>
                <c:pt idx="2729">
                  <c:v>121</c:v>
                </c:pt>
                <c:pt idx="2730">
                  <c:v>117</c:v>
                </c:pt>
                <c:pt idx="2731">
                  <c:v>98</c:v>
                </c:pt>
                <c:pt idx="2732">
                  <c:v>109</c:v>
                </c:pt>
                <c:pt idx="2733">
                  <c:v>95</c:v>
                </c:pt>
                <c:pt idx="2734">
                  <c:v>96</c:v>
                </c:pt>
                <c:pt idx="2735">
                  <c:v>101</c:v>
                </c:pt>
                <c:pt idx="2736">
                  <c:v>107</c:v>
                </c:pt>
                <c:pt idx="2737">
                  <c:v>119</c:v>
                </c:pt>
                <c:pt idx="2738">
                  <c:v>100</c:v>
                </c:pt>
                <c:pt idx="2739">
                  <c:v>98</c:v>
                </c:pt>
                <c:pt idx="2740">
                  <c:v>92</c:v>
                </c:pt>
                <c:pt idx="2741">
                  <c:v>90</c:v>
                </c:pt>
                <c:pt idx="2742">
                  <c:v>90</c:v>
                </c:pt>
                <c:pt idx="2743">
                  <c:v>153</c:v>
                </c:pt>
                <c:pt idx="2744">
                  <c:v>124</c:v>
                </c:pt>
                <c:pt idx="2745">
                  <c:v>82</c:v>
                </c:pt>
                <c:pt idx="2746">
                  <c:v>107</c:v>
                </c:pt>
                <c:pt idx="2747">
                  <c:v>97</c:v>
                </c:pt>
                <c:pt idx="2748">
                  <c:v>80</c:v>
                </c:pt>
                <c:pt idx="2749">
                  <c:v>85</c:v>
                </c:pt>
                <c:pt idx="2750">
                  <c:v>97</c:v>
                </c:pt>
                <c:pt idx="2751">
                  <c:v>109</c:v>
                </c:pt>
                <c:pt idx="2752">
                  <c:v>140</c:v>
                </c:pt>
                <c:pt idx="2753">
                  <c:v>90</c:v>
                </c:pt>
                <c:pt idx="2754">
                  <c:v>130</c:v>
                </c:pt>
                <c:pt idx="2755">
                  <c:v>98</c:v>
                </c:pt>
                <c:pt idx="2756">
                  <c:v>101</c:v>
                </c:pt>
                <c:pt idx="2757">
                  <c:v>114</c:v>
                </c:pt>
                <c:pt idx="2758">
                  <c:v>100</c:v>
                </c:pt>
                <c:pt idx="2759">
                  <c:v>85</c:v>
                </c:pt>
                <c:pt idx="2760">
                  <c:v>103</c:v>
                </c:pt>
                <c:pt idx="2761">
                  <c:v>100</c:v>
                </c:pt>
                <c:pt idx="2762">
                  <c:v>114</c:v>
                </c:pt>
                <c:pt idx="2763">
                  <c:v>97</c:v>
                </c:pt>
                <c:pt idx="2764">
                  <c:v>116</c:v>
                </c:pt>
                <c:pt idx="2765">
                  <c:v>96</c:v>
                </c:pt>
                <c:pt idx="2766">
                  <c:v>98</c:v>
                </c:pt>
                <c:pt idx="2767">
                  <c:v>105</c:v>
                </c:pt>
                <c:pt idx="2768">
                  <c:v>123</c:v>
                </c:pt>
                <c:pt idx="2769">
                  <c:v>93</c:v>
                </c:pt>
                <c:pt idx="2770">
                  <c:v>97</c:v>
                </c:pt>
                <c:pt idx="2771">
                  <c:v>122</c:v>
                </c:pt>
                <c:pt idx="2772">
                  <c:v>101</c:v>
                </c:pt>
                <c:pt idx="2773">
                  <c:v>100</c:v>
                </c:pt>
                <c:pt idx="2774">
                  <c:v>129</c:v>
                </c:pt>
                <c:pt idx="2775">
                  <c:v>81</c:v>
                </c:pt>
                <c:pt idx="2776">
                  <c:v>96</c:v>
                </c:pt>
                <c:pt idx="2777">
                  <c:v>84</c:v>
                </c:pt>
                <c:pt idx="2778">
                  <c:v>110</c:v>
                </c:pt>
                <c:pt idx="2779">
                  <c:v>130</c:v>
                </c:pt>
                <c:pt idx="2780">
                  <c:v>84</c:v>
                </c:pt>
                <c:pt idx="2781">
                  <c:v>106</c:v>
                </c:pt>
                <c:pt idx="2782">
                  <c:v>76</c:v>
                </c:pt>
                <c:pt idx="2783">
                  <c:v>99</c:v>
                </c:pt>
                <c:pt idx="2784">
                  <c:v>96</c:v>
                </c:pt>
                <c:pt idx="2785">
                  <c:v>104</c:v>
                </c:pt>
                <c:pt idx="2786">
                  <c:v>108</c:v>
                </c:pt>
                <c:pt idx="2787">
                  <c:v>108</c:v>
                </c:pt>
                <c:pt idx="2788">
                  <c:v>87</c:v>
                </c:pt>
                <c:pt idx="2789">
                  <c:v>89</c:v>
                </c:pt>
                <c:pt idx="2790">
                  <c:v>97</c:v>
                </c:pt>
                <c:pt idx="2791">
                  <c:v>106</c:v>
                </c:pt>
                <c:pt idx="2792">
                  <c:v>100</c:v>
                </c:pt>
                <c:pt idx="2793">
                  <c:v>89</c:v>
                </c:pt>
                <c:pt idx="2794">
                  <c:v>95</c:v>
                </c:pt>
                <c:pt idx="2795">
                  <c:v>97</c:v>
                </c:pt>
                <c:pt idx="2796">
                  <c:v>94</c:v>
                </c:pt>
                <c:pt idx="2797">
                  <c:v>95</c:v>
                </c:pt>
                <c:pt idx="2798">
                  <c:v>101</c:v>
                </c:pt>
                <c:pt idx="2799">
                  <c:v>101</c:v>
                </c:pt>
                <c:pt idx="2800">
                  <c:v>82</c:v>
                </c:pt>
                <c:pt idx="2801">
                  <c:v>74</c:v>
                </c:pt>
                <c:pt idx="2802">
                  <c:v>130</c:v>
                </c:pt>
                <c:pt idx="2803">
                  <c:v>112</c:v>
                </c:pt>
                <c:pt idx="2804">
                  <c:v>96</c:v>
                </c:pt>
                <c:pt idx="2805">
                  <c:v>89</c:v>
                </c:pt>
                <c:pt idx="2806">
                  <c:v>121</c:v>
                </c:pt>
                <c:pt idx="2807">
                  <c:v>85</c:v>
                </c:pt>
                <c:pt idx="2808">
                  <c:v>120</c:v>
                </c:pt>
                <c:pt idx="2809">
                  <c:v>106</c:v>
                </c:pt>
                <c:pt idx="2810">
                  <c:v>83</c:v>
                </c:pt>
                <c:pt idx="2811">
                  <c:v>120</c:v>
                </c:pt>
                <c:pt idx="2812">
                  <c:v>111</c:v>
                </c:pt>
                <c:pt idx="2813">
                  <c:v>100</c:v>
                </c:pt>
                <c:pt idx="2814">
                  <c:v>89</c:v>
                </c:pt>
                <c:pt idx="2815">
                  <c:v>115</c:v>
                </c:pt>
                <c:pt idx="2816">
                  <c:v>135</c:v>
                </c:pt>
                <c:pt idx="2817">
                  <c:v>92</c:v>
                </c:pt>
                <c:pt idx="2818">
                  <c:v>120</c:v>
                </c:pt>
                <c:pt idx="2819">
                  <c:v>97</c:v>
                </c:pt>
                <c:pt idx="2820">
                  <c:v>135</c:v>
                </c:pt>
                <c:pt idx="2821">
                  <c:v>93</c:v>
                </c:pt>
                <c:pt idx="2822">
                  <c:v>118</c:v>
                </c:pt>
                <c:pt idx="2823">
                  <c:v>97</c:v>
                </c:pt>
                <c:pt idx="2824">
                  <c:v>98</c:v>
                </c:pt>
                <c:pt idx="2825">
                  <c:v>98</c:v>
                </c:pt>
                <c:pt idx="2826">
                  <c:v>101</c:v>
                </c:pt>
                <c:pt idx="2827">
                  <c:v>132</c:v>
                </c:pt>
                <c:pt idx="2828">
                  <c:v>106</c:v>
                </c:pt>
                <c:pt idx="2829">
                  <c:v>87</c:v>
                </c:pt>
                <c:pt idx="2830">
                  <c:v>98</c:v>
                </c:pt>
                <c:pt idx="2831">
                  <c:v>96</c:v>
                </c:pt>
                <c:pt idx="2832">
                  <c:v>104</c:v>
                </c:pt>
                <c:pt idx="2833">
                  <c:v>93</c:v>
                </c:pt>
                <c:pt idx="2834">
                  <c:v>95</c:v>
                </c:pt>
                <c:pt idx="2835">
                  <c:v>89</c:v>
                </c:pt>
                <c:pt idx="2836">
                  <c:v>107</c:v>
                </c:pt>
                <c:pt idx="2837">
                  <c:v>85</c:v>
                </c:pt>
                <c:pt idx="2838">
                  <c:v>93</c:v>
                </c:pt>
                <c:pt idx="2839">
                  <c:v>101</c:v>
                </c:pt>
                <c:pt idx="2840">
                  <c:v>103</c:v>
                </c:pt>
                <c:pt idx="2841">
                  <c:v>111</c:v>
                </c:pt>
                <c:pt idx="2842">
                  <c:v>86</c:v>
                </c:pt>
                <c:pt idx="2843">
                  <c:v>90</c:v>
                </c:pt>
                <c:pt idx="2844">
                  <c:v>82</c:v>
                </c:pt>
                <c:pt idx="2845">
                  <c:v>83</c:v>
                </c:pt>
                <c:pt idx="2846">
                  <c:v>125</c:v>
                </c:pt>
                <c:pt idx="2847">
                  <c:v>86</c:v>
                </c:pt>
                <c:pt idx="2848">
                  <c:v>91</c:v>
                </c:pt>
                <c:pt idx="2849">
                  <c:v>90</c:v>
                </c:pt>
                <c:pt idx="2850">
                  <c:v>90</c:v>
                </c:pt>
                <c:pt idx="2851">
                  <c:v>93</c:v>
                </c:pt>
                <c:pt idx="2852">
                  <c:v>104</c:v>
                </c:pt>
                <c:pt idx="2853">
                  <c:v>85</c:v>
                </c:pt>
                <c:pt idx="2854">
                  <c:v>81</c:v>
                </c:pt>
                <c:pt idx="2855">
                  <c:v>135</c:v>
                </c:pt>
                <c:pt idx="2856">
                  <c:v>144</c:v>
                </c:pt>
                <c:pt idx="2857">
                  <c:v>98</c:v>
                </c:pt>
                <c:pt idx="2858">
                  <c:v>117</c:v>
                </c:pt>
                <c:pt idx="2859">
                  <c:v>127</c:v>
                </c:pt>
                <c:pt idx="2860">
                  <c:v>98</c:v>
                </c:pt>
                <c:pt idx="2861">
                  <c:v>197</c:v>
                </c:pt>
                <c:pt idx="2862">
                  <c:v>104</c:v>
                </c:pt>
                <c:pt idx="2863">
                  <c:v>90</c:v>
                </c:pt>
                <c:pt idx="2864">
                  <c:v>130</c:v>
                </c:pt>
                <c:pt idx="2865">
                  <c:v>176</c:v>
                </c:pt>
                <c:pt idx="2866">
                  <c:v>116</c:v>
                </c:pt>
                <c:pt idx="2867">
                  <c:v>88</c:v>
                </c:pt>
                <c:pt idx="2868">
                  <c:v>106</c:v>
                </c:pt>
                <c:pt idx="2869">
                  <c:v>181</c:v>
                </c:pt>
                <c:pt idx="2870">
                  <c:v>130</c:v>
                </c:pt>
                <c:pt idx="2871">
                  <c:v>123</c:v>
                </c:pt>
                <c:pt idx="2872">
                  <c:v>120</c:v>
                </c:pt>
                <c:pt idx="2873">
                  <c:v>87</c:v>
                </c:pt>
                <c:pt idx="2874">
                  <c:v>123</c:v>
                </c:pt>
                <c:pt idx="2875">
                  <c:v>103</c:v>
                </c:pt>
                <c:pt idx="2876">
                  <c:v>91</c:v>
                </c:pt>
                <c:pt idx="2877">
                  <c:v>88</c:v>
                </c:pt>
                <c:pt idx="2878">
                  <c:v>126</c:v>
                </c:pt>
                <c:pt idx="2879">
                  <c:v>120</c:v>
                </c:pt>
                <c:pt idx="2880">
                  <c:v>94</c:v>
                </c:pt>
                <c:pt idx="2881">
                  <c:v>137</c:v>
                </c:pt>
                <c:pt idx="2882">
                  <c:v>119</c:v>
                </c:pt>
                <c:pt idx="2883">
                  <c:v>99</c:v>
                </c:pt>
                <c:pt idx="2884">
                  <c:v>79</c:v>
                </c:pt>
                <c:pt idx="2885">
                  <c:v>95</c:v>
                </c:pt>
                <c:pt idx="2886">
                  <c:v>103</c:v>
                </c:pt>
                <c:pt idx="2887">
                  <c:v>92</c:v>
                </c:pt>
                <c:pt idx="2888">
                  <c:v>84</c:v>
                </c:pt>
                <c:pt idx="2889">
                  <c:v>300</c:v>
                </c:pt>
                <c:pt idx="2890">
                  <c:v>120</c:v>
                </c:pt>
                <c:pt idx="2891">
                  <c:v>121</c:v>
                </c:pt>
                <c:pt idx="2892">
                  <c:v>97</c:v>
                </c:pt>
                <c:pt idx="2893">
                  <c:v>86</c:v>
                </c:pt>
                <c:pt idx="2894">
                  <c:v>45</c:v>
                </c:pt>
                <c:pt idx="2895">
                  <c:v>97</c:v>
                </c:pt>
                <c:pt idx="2896">
                  <c:v>93</c:v>
                </c:pt>
                <c:pt idx="2897">
                  <c:v>84</c:v>
                </c:pt>
                <c:pt idx="2898">
                  <c:v>96</c:v>
                </c:pt>
                <c:pt idx="2899">
                  <c:v>112</c:v>
                </c:pt>
                <c:pt idx="2900">
                  <c:v>125</c:v>
                </c:pt>
                <c:pt idx="2901">
                  <c:v>96</c:v>
                </c:pt>
                <c:pt idx="2902">
                  <c:v>103</c:v>
                </c:pt>
                <c:pt idx="2903">
                  <c:v>101</c:v>
                </c:pt>
                <c:pt idx="2904">
                  <c:v>104</c:v>
                </c:pt>
                <c:pt idx="2905">
                  <c:v>119</c:v>
                </c:pt>
                <c:pt idx="2906">
                  <c:v>128</c:v>
                </c:pt>
                <c:pt idx="2907">
                  <c:v>106</c:v>
                </c:pt>
                <c:pt idx="2908">
                  <c:v>126</c:v>
                </c:pt>
                <c:pt idx="2909">
                  <c:v>150</c:v>
                </c:pt>
                <c:pt idx="2910">
                  <c:v>178</c:v>
                </c:pt>
                <c:pt idx="2911">
                  <c:v>117</c:v>
                </c:pt>
                <c:pt idx="2912">
                  <c:v>119</c:v>
                </c:pt>
                <c:pt idx="2913">
                  <c:v>174</c:v>
                </c:pt>
                <c:pt idx="2914">
                  <c:v>111</c:v>
                </c:pt>
                <c:pt idx="2915">
                  <c:v>101</c:v>
                </c:pt>
                <c:pt idx="2916">
                  <c:v>89</c:v>
                </c:pt>
                <c:pt idx="2917">
                  <c:v>113</c:v>
                </c:pt>
                <c:pt idx="2918">
                  <c:v>95</c:v>
                </c:pt>
                <c:pt idx="2919">
                  <c:v>112</c:v>
                </c:pt>
                <c:pt idx="2920">
                  <c:v>109</c:v>
                </c:pt>
                <c:pt idx="2921">
                  <c:v>108</c:v>
                </c:pt>
                <c:pt idx="2922">
                  <c:v>100</c:v>
                </c:pt>
                <c:pt idx="2923">
                  <c:v>90</c:v>
                </c:pt>
                <c:pt idx="2924">
                  <c:v>94</c:v>
                </c:pt>
                <c:pt idx="2925">
                  <c:v>111</c:v>
                </c:pt>
                <c:pt idx="2926">
                  <c:v>142</c:v>
                </c:pt>
                <c:pt idx="2927">
                  <c:v>107</c:v>
                </c:pt>
                <c:pt idx="2928">
                  <c:v>91</c:v>
                </c:pt>
                <c:pt idx="2929">
                  <c:v>82</c:v>
                </c:pt>
                <c:pt idx="2930">
                  <c:v>97</c:v>
                </c:pt>
                <c:pt idx="2931">
                  <c:v>102</c:v>
                </c:pt>
                <c:pt idx="2932">
                  <c:v>93</c:v>
                </c:pt>
                <c:pt idx="2933">
                  <c:v>138</c:v>
                </c:pt>
                <c:pt idx="2934">
                  <c:v>93</c:v>
                </c:pt>
                <c:pt idx="2935">
                  <c:v>92</c:v>
                </c:pt>
                <c:pt idx="2936">
                  <c:v>92</c:v>
                </c:pt>
                <c:pt idx="2937">
                  <c:v>104</c:v>
                </c:pt>
                <c:pt idx="2938">
                  <c:v>89</c:v>
                </c:pt>
                <c:pt idx="2939">
                  <c:v>92</c:v>
                </c:pt>
                <c:pt idx="2940">
                  <c:v>90</c:v>
                </c:pt>
                <c:pt idx="2941">
                  <c:v>129</c:v>
                </c:pt>
                <c:pt idx="2942">
                  <c:v>111</c:v>
                </c:pt>
                <c:pt idx="2943">
                  <c:v>79</c:v>
                </c:pt>
                <c:pt idx="2944">
                  <c:v>104</c:v>
                </c:pt>
                <c:pt idx="2945">
                  <c:v>101</c:v>
                </c:pt>
                <c:pt idx="2946">
                  <c:v>113</c:v>
                </c:pt>
                <c:pt idx="2947">
                  <c:v>92</c:v>
                </c:pt>
                <c:pt idx="2948">
                  <c:v>106</c:v>
                </c:pt>
                <c:pt idx="2949">
                  <c:v>75</c:v>
                </c:pt>
                <c:pt idx="2950">
                  <c:v>104</c:v>
                </c:pt>
                <c:pt idx="2951">
                  <c:v>108</c:v>
                </c:pt>
                <c:pt idx="2952">
                  <c:v>99</c:v>
                </c:pt>
                <c:pt idx="2953">
                  <c:v>109</c:v>
                </c:pt>
                <c:pt idx="2954">
                  <c:v>93</c:v>
                </c:pt>
                <c:pt idx="2955">
                  <c:v>99</c:v>
                </c:pt>
                <c:pt idx="2956">
                  <c:v>98</c:v>
                </c:pt>
                <c:pt idx="2957">
                  <c:v>95</c:v>
                </c:pt>
                <c:pt idx="2958">
                  <c:v>107</c:v>
                </c:pt>
                <c:pt idx="2959">
                  <c:v>102</c:v>
                </c:pt>
                <c:pt idx="2960">
                  <c:v>97</c:v>
                </c:pt>
                <c:pt idx="2961">
                  <c:v>124</c:v>
                </c:pt>
                <c:pt idx="2962">
                  <c:v>90</c:v>
                </c:pt>
                <c:pt idx="2963">
                  <c:v>90</c:v>
                </c:pt>
                <c:pt idx="2964">
                  <c:v>99</c:v>
                </c:pt>
                <c:pt idx="2965">
                  <c:v>115</c:v>
                </c:pt>
                <c:pt idx="2966">
                  <c:v>89</c:v>
                </c:pt>
                <c:pt idx="2967">
                  <c:v>92</c:v>
                </c:pt>
                <c:pt idx="2968">
                  <c:v>94</c:v>
                </c:pt>
                <c:pt idx="2969">
                  <c:v>100</c:v>
                </c:pt>
                <c:pt idx="2970">
                  <c:v>109</c:v>
                </c:pt>
                <c:pt idx="2971">
                  <c:v>105</c:v>
                </c:pt>
                <c:pt idx="2972">
                  <c:v>102</c:v>
                </c:pt>
                <c:pt idx="2973">
                  <c:v>97</c:v>
                </c:pt>
                <c:pt idx="2974">
                  <c:v>118</c:v>
                </c:pt>
                <c:pt idx="2975">
                  <c:v>92</c:v>
                </c:pt>
                <c:pt idx="2976">
                  <c:v>103</c:v>
                </c:pt>
                <c:pt idx="2977">
                  <c:v>93</c:v>
                </c:pt>
                <c:pt idx="2978">
                  <c:v>113</c:v>
                </c:pt>
                <c:pt idx="2979">
                  <c:v>153</c:v>
                </c:pt>
                <c:pt idx="2980">
                  <c:v>89</c:v>
                </c:pt>
                <c:pt idx="2981">
                  <c:v>118</c:v>
                </c:pt>
                <c:pt idx="2982">
                  <c:v>97</c:v>
                </c:pt>
                <c:pt idx="2983">
                  <c:v>100</c:v>
                </c:pt>
                <c:pt idx="2984">
                  <c:v>96</c:v>
                </c:pt>
                <c:pt idx="2985">
                  <c:v>120</c:v>
                </c:pt>
                <c:pt idx="2986">
                  <c:v>175</c:v>
                </c:pt>
                <c:pt idx="2987">
                  <c:v>95</c:v>
                </c:pt>
                <c:pt idx="2988">
                  <c:v>95</c:v>
                </c:pt>
                <c:pt idx="2989">
                  <c:v>121</c:v>
                </c:pt>
                <c:pt idx="2990">
                  <c:v>110</c:v>
                </c:pt>
                <c:pt idx="2991">
                  <c:v>96</c:v>
                </c:pt>
                <c:pt idx="2992">
                  <c:v>121</c:v>
                </c:pt>
                <c:pt idx="2993">
                  <c:v>95</c:v>
                </c:pt>
                <c:pt idx="2994">
                  <c:v>112</c:v>
                </c:pt>
                <c:pt idx="2995">
                  <c:v>93</c:v>
                </c:pt>
                <c:pt idx="2996">
                  <c:v>110</c:v>
                </c:pt>
                <c:pt idx="2997">
                  <c:v>104</c:v>
                </c:pt>
                <c:pt idx="2998">
                  <c:v>119</c:v>
                </c:pt>
                <c:pt idx="2999">
                  <c:v>125</c:v>
                </c:pt>
                <c:pt idx="3000">
                  <c:v>96</c:v>
                </c:pt>
                <c:pt idx="3001">
                  <c:v>100</c:v>
                </c:pt>
                <c:pt idx="3002">
                  <c:v>89</c:v>
                </c:pt>
                <c:pt idx="3003">
                  <c:v>92</c:v>
                </c:pt>
                <c:pt idx="3004">
                  <c:v>109</c:v>
                </c:pt>
                <c:pt idx="3005">
                  <c:v>103</c:v>
                </c:pt>
                <c:pt idx="3006">
                  <c:v>95</c:v>
                </c:pt>
                <c:pt idx="3007">
                  <c:v>105</c:v>
                </c:pt>
                <c:pt idx="3008">
                  <c:v>106</c:v>
                </c:pt>
                <c:pt idx="3009">
                  <c:v>100</c:v>
                </c:pt>
                <c:pt idx="3010">
                  <c:v>103</c:v>
                </c:pt>
                <c:pt idx="3011">
                  <c:v>116</c:v>
                </c:pt>
                <c:pt idx="3012">
                  <c:v>99</c:v>
                </c:pt>
                <c:pt idx="3013">
                  <c:v>164</c:v>
                </c:pt>
                <c:pt idx="3014">
                  <c:v>96</c:v>
                </c:pt>
                <c:pt idx="3015">
                  <c:v>122</c:v>
                </c:pt>
                <c:pt idx="3016">
                  <c:v>94</c:v>
                </c:pt>
                <c:pt idx="3017">
                  <c:v>93</c:v>
                </c:pt>
                <c:pt idx="3018">
                  <c:v>96</c:v>
                </c:pt>
                <c:pt idx="3019">
                  <c:v>113</c:v>
                </c:pt>
                <c:pt idx="3020">
                  <c:v>192</c:v>
                </c:pt>
                <c:pt idx="3021">
                  <c:v>99</c:v>
                </c:pt>
                <c:pt idx="3022">
                  <c:v>91</c:v>
                </c:pt>
                <c:pt idx="3023">
                  <c:v>100</c:v>
                </c:pt>
                <c:pt idx="3024">
                  <c:v>105</c:v>
                </c:pt>
                <c:pt idx="3025">
                  <c:v>99</c:v>
                </c:pt>
                <c:pt idx="3026">
                  <c:v>112</c:v>
                </c:pt>
                <c:pt idx="3027">
                  <c:v>99</c:v>
                </c:pt>
                <c:pt idx="3028">
                  <c:v>125</c:v>
                </c:pt>
                <c:pt idx="3029">
                  <c:v>107</c:v>
                </c:pt>
                <c:pt idx="3030">
                  <c:v>107</c:v>
                </c:pt>
                <c:pt idx="3031">
                  <c:v>97</c:v>
                </c:pt>
                <c:pt idx="3032">
                  <c:v>95</c:v>
                </c:pt>
                <c:pt idx="3033">
                  <c:v>106</c:v>
                </c:pt>
                <c:pt idx="3034">
                  <c:v>103</c:v>
                </c:pt>
                <c:pt idx="3035">
                  <c:v>96</c:v>
                </c:pt>
                <c:pt idx="3036">
                  <c:v>103</c:v>
                </c:pt>
                <c:pt idx="3037">
                  <c:v>108</c:v>
                </c:pt>
                <c:pt idx="3038">
                  <c:v>118</c:v>
                </c:pt>
                <c:pt idx="3039">
                  <c:v>97</c:v>
                </c:pt>
                <c:pt idx="3040">
                  <c:v>115</c:v>
                </c:pt>
                <c:pt idx="3041">
                  <c:v>102</c:v>
                </c:pt>
                <c:pt idx="3042">
                  <c:v>125</c:v>
                </c:pt>
                <c:pt idx="3043">
                  <c:v>108</c:v>
                </c:pt>
                <c:pt idx="3044">
                  <c:v>101</c:v>
                </c:pt>
                <c:pt idx="3045">
                  <c:v>101</c:v>
                </c:pt>
                <c:pt idx="3046">
                  <c:v>139</c:v>
                </c:pt>
                <c:pt idx="3047">
                  <c:v>125</c:v>
                </c:pt>
                <c:pt idx="3048">
                  <c:v>115</c:v>
                </c:pt>
                <c:pt idx="3049">
                  <c:v>99</c:v>
                </c:pt>
                <c:pt idx="3050">
                  <c:v>88</c:v>
                </c:pt>
                <c:pt idx="3051">
                  <c:v>112</c:v>
                </c:pt>
                <c:pt idx="3052">
                  <c:v>108</c:v>
                </c:pt>
                <c:pt idx="3053">
                  <c:v>104</c:v>
                </c:pt>
                <c:pt idx="3054">
                  <c:v>108</c:v>
                </c:pt>
                <c:pt idx="3055">
                  <c:v>102</c:v>
                </c:pt>
                <c:pt idx="3056">
                  <c:v>88</c:v>
                </c:pt>
                <c:pt idx="3057">
                  <c:v>91</c:v>
                </c:pt>
                <c:pt idx="3058">
                  <c:v>141</c:v>
                </c:pt>
                <c:pt idx="3059">
                  <c:v>101</c:v>
                </c:pt>
                <c:pt idx="3060">
                  <c:v>105</c:v>
                </c:pt>
                <c:pt idx="3061">
                  <c:v>100</c:v>
                </c:pt>
                <c:pt idx="3062">
                  <c:v>116</c:v>
                </c:pt>
                <c:pt idx="3063">
                  <c:v>97</c:v>
                </c:pt>
                <c:pt idx="3064">
                  <c:v>106</c:v>
                </c:pt>
                <c:pt idx="3065">
                  <c:v>105</c:v>
                </c:pt>
                <c:pt idx="3066">
                  <c:v>122</c:v>
                </c:pt>
                <c:pt idx="3067">
                  <c:v>107</c:v>
                </c:pt>
                <c:pt idx="3068">
                  <c:v>121</c:v>
                </c:pt>
                <c:pt idx="3069">
                  <c:v>98</c:v>
                </c:pt>
                <c:pt idx="3070">
                  <c:v>123</c:v>
                </c:pt>
                <c:pt idx="3071">
                  <c:v>110</c:v>
                </c:pt>
                <c:pt idx="3072">
                  <c:v>120</c:v>
                </c:pt>
                <c:pt idx="3073">
                  <c:v>122</c:v>
                </c:pt>
                <c:pt idx="3074">
                  <c:v>110</c:v>
                </c:pt>
                <c:pt idx="3075">
                  <c:v>139</c:v>
                </c:pt>
                <c:pt idx="3076">
                  <c:v>124</c:v>
                </c:pt>
                <c:pt idx="3077">
                  <c:v>152</c:v>
                </c:pt>
                <c:pt idx="3078">
                  <c:v>98</c:v>
                </c:pt>
                <c:pt idx="3079">
                  <c:v>106</c:v>
                </c:pt>
                <c:pt idx="3080">
                  <c:v>106</c:v>
                </c:pt>
                <c:pt idx="3081">
                  <c:v>106</c:v>
                </c:pt>
                <c:pt idx="3082">
                  <c:v>89</c:v>
                </c:pt>
                <c:pt idx="3083">
                  <c:v>94</c:v>
                </c:pt>
                <c:pt idx="3084">
                  <c:v>109</c:v>
                </c:pt>
                <c:pt idx="3085">
                  <c:v>144</c:v>
                </c:pt>
                <c:pt idx="3086">
                  <c:v>90</c:v>
                </c:pt>
                <c:pt idx="3087">
                  <c:v>106</c:v>
                </c:pt>
                <c:pt idx="3088">
                  <c:v>121</c:v>
                </c:pt>
                <c:pt idx="3089">
                  <c:v>89</c:v>
                </c:pt>
                <c:pt idx="3090">
                  <c:v>104</c:v>
                </c:pt>
                <c:pt idx="3091">
                  <c:v>99</c:v>
                </c:pt>
                <c:pt idx="3092">
                  <c:v>98</c:v>
                </c:pt>
                <c:pt idx="3093">
                  <c:v>121</c:v>
                </c:pt>
                <c:pt idx="3094">
                  <c:v>96</c:v>
                </c:pt>
                <c:pt idx="3095">
                  <c:v>99</c:v>
                </c:pt>
                <c:pt idx="3096">
                  <c:v>42</c:v>
                </c:pt>
                <c:pt idx="3097">
                  <c:v>122</c:v>
                </c:pt>
                <c:pt idx="3098">
                  <c:v>101</c:v>
                </c:pt>
                <c:pt idx="3099">
                  <c:v>102</c:v>
                </c:pt>
                <c:pt idx="3100">
                  <c:v>84</c:v>
                </c:pt>
                <c:pt idx="3101">
                  <c:v>104</c:v>
                </c:pt>
                <c:pt idx="3102">
                  <c:v>96</c:v>
                </c:pt>
                <c:pt idx="3103">
                  <c:v>94</c:v>
                </c:pt>
                <c:pt idx="3104">
                  <c:v>90</c:v>
                </c:pt>
                <c:pt idx="3105">
                  <c:v>90</c:v>
                </c:pt>
                <c:pt idx="3106">
                  <c:v>106</c:v>
                </c:pt>
                <c:pt idx="3107">
                  <c:v>96</c:v>
                </c:pt>
                <c:pt idx="3108">
                  <c:v>95</c:v>
                </c:pt>
                <c:pt idx="3109">
                  <c:v>99</c:v>
                </c:pt>
                <c:pt idx="3110">
                  <c:v>99</c:v>
                </c:pt>
                <c:pt idx="3111">
                  <c:v>95</c:v>
                </c:pt>
                <c:pt idx="3112">
                  <c:v>99</c:v>
                </c:pt>
                <c:pt idx="3113">
                  <c:v>107</c:v>
                </c:pt>
                <c:pt idx="3114">
                  <c:v>90</c:v>
                </c:pt>
                <c:pt idx="3115">
                  <c:v>96</c:v>
                </c:pt>
                <c:pt idx="3116">
                  <c:v>104</c:v>
                </c:pt>
                <c:pt idx="3117">
                  <c:v>97</c:v>
                </c:pt>
                <c:pt idx="3118">
                  <c:v>107</c:v>
                </c:pt>
                <c:pt idx="3119">
                  <c:v>85</c:v>
                </c:pt>
                <c:pt idx="3120">
                  <c:v>95</c:v>
                </c:pt>
                <c:pt idx="3121">
                  <c:v>111</c:v>
                </c:pt>
                <c:pt idx="3122">
                  <c:v>86</c:v>
                </c:pt>
                <c:pt idx="3123">
                  <c:v>103</c:v>
                </c:pt>
                <c:pt idx="3124">
                  <c:v>111</c:v>
                </c:pt>
                <c:pt idx="3125">
                  <c:v>112</c:v>
                </c:pt>
                <c:pt idx="3126">
                  <c:v>141</c:v>
                </c:pt>
                <c:pt idx="3127">
                  <c:v>95</c:v>
                </c:pt>
                <c:pt idx="3128">
                  <c:v>85</c:v>
                </c:pt>
                <c:pt idx="3129">
                  <c:v>129</c:v>
                </c:pt>
                <c:pt idx="3130">
                  <c:v>125</c:v>
                </c:pt>
                <c:pt idx="3131">
                  <c:v>116</c:v>
                </c:pt>
                <c:pt idx="3132">
                  <c:v>105</c:v>
                </c:pt>
                <c:pt idx="3133">
                  <c:v>90</c:v>
                </c:pt>
                <c:pt idx="3134">
                  <c:v>111</c:v>
                </c:pt>
                <c:pt idx="3135">
                  <c:v>91</c:v>
                </c:pt>
                <c:pt idx="3136">
                  <c:v>97</c:v>
                </c:pt>
                <c:pt idx="3137">
                  <c:v>92</c:v>
                </c:pt>
                <c:pt idx="3138">
                  <c:v>104</c:v>
                </c:pt>
                <c:pt idx="3139">
                  <c:v>120</c:v>
                </c:pt>
                <c:pt idx="3140">
                  <c:v>99</c:v>
                </c:pt>
                <c:pt idx="3141">
                  <c:v>93</c:v>
                </c:pt>
                <c:pt idx="3142">
                  <c:v>99</c:v>
                </c:pt>
                <c:pt idx="3143">
                  <c:v>96</c:v>
                </c:pt>
                <c:pt idx="3144">
                  <c:v>96</c:v>
                </c:pt>
                <c:pt idx="3145">
                  <c:v>100</c:v>
                </c:pt>
                <c:pt idx="3146">
                  <c:v>98</c:v>
                </c:pt>
                <c:pt idx="3147">
                  <c:v>106</c:v>
                </c:pt>
                <c:pt idx="3148">
                  <c:v>95</c:v>
                </c:pt>
                <c:pt idx="3149">
                  <c:v>104</c:v>
                </c:pt>
                <c:pt idx="3150">
                  <c:v>87</c:v>
                </c:pt>
                <c:pt idx="3151">
                  <c:v>81</c:v>
                </c:pt>
                <c:pt idx="3152">
                  <c:v>94</c:v>
                </c:pt>
                <c:pt idx="3153">
                  <c:v>89</c:v>
                </c:pt>
                <c:pt idx="3154">
                  <c:v>88</c:v>
                </c:pt>
                <c:pt idx="3155">
                  <c:v>115</c:v>
                </c:pt>
                <c:pt idx="3156">
                  <c:v>96</c:v>
                </c:pt>
                <c:pt idx="3157">
                  <c:v>135</c:v>
                </c:pt>
                <c:pt idx="3158">
                  <c:v>93</c:v>
                </c:pt>
                <c:pt idx="3159">
                  <c:v>109</c:v>
                </c:pt>
                <c:pt idx="3160">
                  <c:v>101</c:v>
                </c:pt>
                <c:pt idx="3161">
                  <c:v>117</c:v>
                </c:pt>
                <c:pt idx="3162">
                  <c:v>83</c:v>
                </c:pt>
                <c:pt idx="3163">
                  <c:v>113</c:v>
                </c:pt>
                <c:pt idx="3164">
                  <c:v>104</c:v>
                </c:pt>
                <c:pt idx="3165">
                  <c:v>97</c:v>
                </c:pt>
                <c:pt idx="3166">
                  <c:v>110</c:v>
                </c:pt>
                <c:pt idx="3167">
                  <c:v>103</c:v>
                </c:pt>
                <c:pt idx="3168">
                  <c:v>94</c:v>
                </c:pt>
                <c:pt idx="3169">
                  <c:v>77</c:v>
                </c:pt>
                <c:pt idx="3170">
                  <c:v>134</c:v>
                </c:pt>
                <c:pt idx="3171">
                  <c:v>90</c:v>
                </c:pt>
                <c:pt idx="3172">
                  <c:v>104</c:v>
                </c:pt>
                <c:pt idx="3173">
                  <c:v>93</c:v>
                </c:pt>
                <c:pt idx="3174">
                  <c:v>106</c:v>
                </c:pt>
                <c:pt idx="3175">
                  <c:v>109</c:v>
                </c:pt>
                <c:pt idx="3176">
                  <c:v>101</c:v>
                </c:pt>
                <c:pt idx="3177">
                  <c:v>100</c:v>
                </c:pt>
                <c:pt idx="3178">
                  <c:v>95</c:v>
                </c:pt>
                <c:pt idx="3179">
                  <c:v>94</c:v>
                </c:pt>
                <c:pt idx="3180">
                  <c:v>93</c:v>
                </c:pt>
                <c:pt idx="3181">
                  <c:v>106</c:v>
                </c:pt>
                <c:pt idx="3182">
                  <c:v>99</c:v>
                </c:pt>
                <c:pt idx="3183">
                  <c:v>82</c:v>
                </c:pt>
                <c:pt idx="3184">
                  <c:v>135</c:v>
                </c:pt>
                <c:pt idx="3185">
                  <c:v>88</c:v>
                </c:pt>
                <c:pt idx="3186">
                  <c:v>89</c:v>
                </c:pt>
                <c:pt idx="3187">
                  <c:v>110</c:v>
                </c:pt>
                <c:pt idx="3188">
                  <c:v>107</c:v>
                </c:pt>
                <c:pt idx="3189">
                  <c:v>86</c:v>
                </c:pt>
                <c:pt idx="3190">
                  <c:v>91</c:v>
                </c:pt>
                <c:pt idx="3191">
                  <c:v>103</c:v>
                </c:pt>
                <c:pt idx="3192">
                  <c:v>92</c:v>
                </c:pt>
                <c:pt idx="3193">
                  <c:v>99</c:v>
                </c:pt>
                <c:pt idx="3194">
                  <c:v>96</c:v>
                </c:pt>
                <c:pt idx="3195">
                  <c:v>82</c:v>
                </c:pt>
                <c:pt idx="3196">
                  <c:v>92</c:v>
                </c:pt>
                <c:pt idx="3197">
                  <c:v>112</c:v>
                </c:pt>
                <c:pt idx="3198">
                  <c:v>90</c:v>
                </c:pt>
                <c:pt idx="3199">
                  <c:v>150</c:v>
                </c:pt>
                <c:pt idx="3200">
                  <c:v>91</c:v>
                </c:pt>
                <c:pt idx="3201">
                  <c:v>95</c:v>
                </c:pt>
                <c:pt idx="3202">
                  <c:v>97</c:v>
                </c:pt>
                <c:pt idx="3203">
                  <c:v>41</c:v>
                </c:pt>
                <c:pt idx="3204">
                  <c:v>112</c:v>
                </c:pt>
                <c:pt idx="3205">
                  <c:v>122</c:v>
                </c:pt>
                <c:pt idx="3206">
                  <c:v>110</c:v>
                </c:pt>
                <c:pt idx="3207">
                  <c:v>108</c:v>
                </c:pt>
                <c:pt idx="3208">
                  <c:v>121</c:v>
                </c:pt>
                <c:pt idx="3209">
                  <c:v>97</c:v>
                </c:pt>
                <c:pt idx="3210">
                  <c:v>116</c:v>
                </c:pt>
                <c:pt idx="3211">
                  <c:v>94</c:v>
                </c:pt>
                <c:pt idx="3212">
                  <c:v>103</c:v>
                </c:pt>
                <c:pt idx="3213">
                  <c:v>112</c:v>
                </c:pt>
                <c:pt idx="3214">
                  <c:v>91</c:v>
                </c:pt>
                <c:pt idx="3215">
                  <c:v>98</c:v>
                </c:pt>
                <c:pt idx="3216">
                  <c:v>95</c:v>
                </c:pt>
                <c:pt idx="3217">
                  <c:v>99</c:v>
                </c:pt>
                <c:pt idx="3218">
                  <c:v>91</c:v>
                </c:pt>
                <c:pt idx="3219">
                  <c:v>97</c:v>
                </c:pt>
                <c:pt idx="3220">
                  <c:v>90</c:v>
                </c:pt>
                <c:pt idx="3221">
                  <c:v>90</c:v>
                </c:pt>
                <c:pt idx="3222">
                  <c:v>94</c:v>
                </c:pt>
                <c:pt idx="3223">
                  <c:v>90</c:v>
                </c:pt>
                <c:pt idx="3224">
                  <c:v>103</c:v>
                </c:pt>
                <c:pt idx="3225">
                  <c:v>105</c:v>
                </c:pt>
                <c:pt idx="3226">
                  <c:v>113</c:v>
                </c:pt>
                <c:pt idx="3227">
                  <c:v>99</c:v>
                </c:pt>
                <c:pt idx="3228">
                  <c:v>148</c:v>
                </c:pt>
                <c:pt idx="3229">
                  <c:v>93</c:v>
                </c:pt>
                <c:pt idx="3230">
                  <c:v>94</c:v>
                </c:pt>
                <c:pt idx="3231">
                  <c:v>121</c:v>
                </c:pt>
                <c:pt idx="3232">
                  <c:v>118</c:v>
                </c:pt>
                <c:pt idx="3233">
                  <c:v>101</c:v>
                </c:pt>
                <c:pt idx="3234">
                  <c:v>90</c:v>
                </c:pt>
                <c:pt idx="3235">
                  <c:v>100</c:v>
                </c:pt>
                <c:pt idx="3236">
                  <c:v>97</c:v>
                </c:pt>
                <c:pt idx="3237">
                  <c:v>96</c:v>
                </c:pt>
                <c:pt idx="3238">
                  <c:v>117</c:v>
                </c:pt>
                <c:pt idx="3239">
                  <c:v>108</c:v>
                </c:pt>
                <c:pt idx="3240">
                  <c:v>109</c:v>
                </c:pt>
                <c:pt idx="3241">
                  <c:v>102</c:v>
                </c:pt>
                <c:pt idx="3242">
                  <c:v>115</c:v>
                </c:pt>
                <c:pt idx="3243">
                  <c:v>98</c:v>
                </c:pt>
                <c:pt idx="3244">
                  <c:v>133</c:v>
                </c:pt>
                <c:pt idx="3245">
                  <c:v>122</c:v>
                </c:pt>
                <c:pt idx="3246">
                  <c:v>106</c:v>
                </c:pt>
                <c:pt idx="3247">
                  <c:v>112</c:v>
                </c:pt>
                <c:pt idx="3248">
                  <c:v>99</c:v>
                </c:pt>
                <c:pt idx="3249">
                  <c:v>110</c:v>
                </c:pt>
                <c:pt idx="3250">
                  <c:v>104</c:v>
                </c:pt>
                <c:pt idx="3251">
                  <c:v>133</c:v>
                </c:pt>
                <c:pt idx="3252">
                  <c:v>103</c:v>
                </c:pt>
                <c:pt idx="3253">
                  <c:v>112</c:v>
                </c:pt>
                <c:pt idx="3254">
                  <c:v>101</c:v>
                </c:pt>
                <c:pt idx="3255">
                  <c:v>133</c:v>
                </c:pt>
                <c:pt idx="3256">
                  <c:v>104</c:v>
                </c:pt>
                <c:pt idx="3257">
                  <c:v>112</c:v>
                </c:pt>
                <c:pt idx="3258">
                  <c:v>94</c:v>
                </c:pt>
                <c:pt idx="3259">
                  <c:v>90</c:v>
                </c:pt>
                <c:pt idx="3260">
                  <c:v>101</c:v>
                </c:pt>
                <c:pt idx="3261">
                  <c:v>93</c:v>
                </c:pt>
                <c:pt idx="3262">
                  <c:v>152</c:v>
                </c:pt>
                <c:pt idx="3263">
                  <c:v>112</c:v>
                </c:pt>
                <c:pt idx="3264">
                  <c:v>95</c:v>
                </c:pt>
                <c:pt idx="3265">
                  <c:v>111</c:v>
                </c:pt>
                <c:pt idx="3266">
                  <c:v>91</c:v>
                </c:pt>
                <c:pt idx="3267">
                  <c:v>106</c:v>
                </c:pt>
                <c:pt idx="3268">
                  <c:v>93</c:v>
                </c:pt>
                <c:pt idx="3269">
                  <c:v>93</c:v>
                </c:pt>
                <c:pt idx="3270">
                  <c:v>165</c:v>
                </c:pt>
                <c:pt idx="3271">
                  <c:v>96</c:v>
                </c:pt>
                <c:pt idx="3272">
                  <c:v>93</c:v>
                </c:pt>
                <c:pt idx="3273">
                  <c:v>82</c:v>
                </c:pt>
                <c:pt idx="3274">
                  <c:v>101</c:v>
                </c:pt>
                <c:pt idx="3275">
                  <c:v>81</c:v>
                </c:pt>
                <c:pt idx="3276">
                  <c:v>105</c:v>
                </c:pt>
                <c:pt idx="3277">
                  <c:v>86</c:v>
                </c:pt>
                <c:pt idx="3278">
                  <c:v>110</c:v>
                </c:pt>
                <c:pt idx="3279">
                  <c:v>110</c:v>
                </c:pt>
                <c:pt idx="3280">
                  <c:v>104</c:v>
                </c:pt>
                <c:pt idx="3281">
                  <c:v>96</c:v>
                </c:pt>
                <c:pt idx="3282">
                  <c:v>110</c:v>
                </c:pt>
                <c:pt idx="3283">
                  <c:v>84</c:v>
                </c:pt>
                <c:pt idx="3284">
                  <c:v>94</c:v>
                </c:pt>
                <c:pt idx="3285">
                  <c:v>93</c:v>
                </c:pt>
                <c:pt idx="3286">
                  <c:v>96</c:v>
                </c:pt>
                <c:pt idx="3287">
                  <c:v>101</c:v>
                </c:pt>
                <c:pt idx="3288">
                  <c:v>102</c:v>
                </c:pt>
                <c:pt idx="3289">
                  <c:v>87</c:v>
                </c:pt>
                <c:pt idx="3290">
                  <c:v>99</c:v>
                </c:pt>
                <c:pt idx="3291">
                  <c:v>106</c:v>
                </c:pt>
                <c:pt idx="3292">
                  <c:v>117</c:v>
                </c:pt>
                <c:pt idx="3293">
                  <c:v>99</c:v>
                </c:pt>
                <c:pt idx="3294">
                  <c:v>102</c:v>
                </c:pt>
                <c:pt idx="3295">
                  <c:v>85</c:v>
                </c:pt>
                <c:pt idx="3296">
                  <c:v>86</c:v>
                </c:pt>
                <c:pt idx="3297">
                  <c:v>120</c:v>
                </c:pt>
                <c:pt idx="3298">
                  <c:v>106</c:v>
                </c:pt>
                <c:pt idx="3299">
                  <c:v>103</c:v>
                </c:pt>
                <c:pt idx="3300">
                  <c:v>93</c:v>
                </c:pt>
                <c:pt idx="3301">
                  <c:v>112</c:v>
                </c:pt>
                <c:pt idx="3302">
                  <c:v>113</c:v>
                </c:pt>
                <c:pt idx="3303">
                  <c:v>98</c:v>
                </c:pt>
                <c:pt idx="3304">
                  <c:v>92</c:v>
                </c:pt>
                <c:pt idx="3305">
                  <c:v>106</c:v>
                </c:pt>
                <c:pt idx="3306">
                  <c:v>93</c:v>
                </c:pt>
                <c:pt idx="3307">
                  <c:v>226</c:v>
                </c:pt>
                <c:pt idx="3308">
                  <c:v>104</c:v>
                </c:pt>
                <c:pt idx="3309">
                  <c:v>152</c:v>
                </c:pt>
                <c:pt idx="3310">
                  <c:v>107</c:v>
                </c:pt>
                <c:pt idx="3311">
                  <c:v>95</c:v>
                </c:pt>
                <c:pt idx="3312">
                  <c:v>102</c:v>
                </c:pt>
                <c:pt idx="3313">
                  <c:v>99</c:v>
                </c:pt>
                <c:pt idx="3314">
                  <c:v>109</c:v>
                </c:pt>
                <c:pt idx="3315">
                  <c:v>91</c:v>
                </c:pt>
                <c:pt idx="3316">
                  <c:v>88</c:v>
                </c:pt>
                <c:pt idx="3317">
                  <c:v>97</c:v>
                </c:pt>
                <c:pt idx="3318">
                  <c:v>97</c:v>
                </c:pt>
                <c:pt idx="3319">
                  <c:v>85</c:v>
                </c:pt>
                <c:pt idx="3320">
                  <c:v>92</c:v>
                </c:pt>
                <c:pt idx="3321">
                  <c:v>93</c:v>
                </c:pt>
                <c:pt idx="3322">
                  <c:v>96</c:v>
                </c:pt>
                <c:pt idx="3323">
                  <c:v>105</c:v>
                </c:pt>
                <c:pt idx="3324">
                  <c:v>129</c:v>
                </c:pt>
                <c:pt idx="3325">
                  <c:v>37</c:v>
                </c:pt>
                <c:pt idx="3326">
                  <c:v>81</c:v>
                </c:pt>
                <c:pt idx="3327">
                  <c:v>106</c:v>
                </c:pt>
                <c:pt idx="3328">
                  <c:v>103</c:v>
                </c:pt>
                <c:pt idx="3329">
                  <c:v>101</c:v>
                </c:pt>
                <c:pt idx="3330">
                  <c:v>98</c:v>
                </c:pt>
                <c:pt idx="3331">
                  <c:v>91</c:v>
                </c:pt>
                <c:pt idx="3332">
                  <c:v>105</c:v>
                </c:pt>
                <c:pt idx="3333">
                  <c:v>100</c:v>
                </c:pt>
                <c:pt idx="3334">
                  <c:v>80</c:v>
                </c:pt>
                <c:pt idx="3335">
                  <c:v>107</c:v>
                </c:pt>
                <c:pt idx="3336">
                  <c:v>92</c:v>
                </c:pt>
                <c:pt idx="3337">
                  <c:v>107</c:v>
                </c:pt>
                <c:pt idx="3338">
                  <c:v>135</c:v>
                </c:pt>
                <c:pt idx="3339">
                  <c:v>99</c:v>
                </c:pt>
                <c:pt idx="3340">
                  <c:v>115</c:v>
                </c:pt>
                <c:pt idx="3341">
                  <c:v>91</c:v>
                </c:pt>
                <c:pt idx="3342">
                  <c:v>92</c:v>
                </c:pt>
                <c:pt idx="3343">
                  <c:v>101</c:v>
                </c:pt>
                <c:pt idx="3344">
                  <c:v>105</c:v>
                </c:pt>
                <c:pt idx="3345">
                  <c:v>109</c:v>
                </c:pt>
                <c:pt idx="3346">
                  <c:v>110</c:v>
                </c:pt>
                <c:pt idx="3347">
                  <c:v>94</c:v>
                </c:pt>
                <c:pt idx="3348">
                  <c:v>115</c:v>
                </c:pt>
                <c:pt idx="3349">
                  <c:v>98</c:v>
                </c:pt>
                <c:pt idx="3350">
                  <c:v>91</c:v>
                </c:pt>
                <c:pt idx="3351">
                  <c:v>120</c:v>
                </c:pt>
                <c:pt idx="3352">
                  <c:v>87</c:v>
                </c:pt>
                <c:pt idx="3353">
                  <c:v>117</c:v>
                </c:pt>
                <c:pt idx="3354">
                  <c:v>85</c:v>
                </c:pt>
                <c:pt idx="3355">
                  <c:v>110</c:v>
                </c:pt>
                <c:pt idx="3356">
                  <c:v>113</c:v>
                </c:pt>
                <c:pt idx="3357">
                  <c:v>98</c:v>
                </c:pt>
                <c:pt idx="3358">
                  <c:v>86</c:v>
                </c:pt>
                <c:pt idx="3359">
                  <c:v>161</c:v>
                </c:pt>
                <c:pt idx="3360">
                  <c:v>100</c:v>
                </c:pt>
                <c:pt idx="3361">
                  <c:v>91</c:v>
                </c:pt>
                <c:pt idx="3362">
                  <c:v>100</c:v>
                </c:pt>
                <c:pt idx="3363">
                  <c:v>84</c:v>
                </c:pt>
                <c:pt idx="3364">
                  <c:v>99</c:v>
                </c:pt>
                <c:pt idx="3365">
                  <c:v>109</c:v>
                </c:pt>
                <c:pt idx="3366">
                  <c:v>95</c:v>
                </c:pt>
                <c:pt idx="3367">
                  <c:v>97</c:v>
                </c:pt>
                <c:pt idx="3368">
                  <c:v>90</c:v>
                </c:pt>
                <c:pt idx="3369">
                  <c:v>96</c:v>
                </c:pt>
                <c:pt idx="3370">
                  <c:v>82</c:v>
                </c:pt>
                <c:pt idx="3371">
                  <c:v>109</c:v>
                </c:pt>
                <c:pt idx="3372">
                  <c:v>98</c:v>
                </c:pt>
                <c:pt idx="3373">
                  <c:v>95</c:v>
                </c:pt>
                <c:pt idx="3374">
                  <c:v>104</c:v>
                </c:pt>
                <c:pt idx="3375">
                  <c:v>87</c:v>
                </c:pt>
                <c:pt idx="3376">
                  <c:v>108</c:v>
                </c:pt>
                <c:pt idx="3377">
                  <c:v>94</c:v>
                </c:pt>
                <c:pt idx="3378">
                  <c:v>134</c:v>
                </c:pt>
                <c:pt idx="3379">
                  <c:v>89</c:v>
                </c:pt>
                <c:pt idx="3380">
                  <c:v>102</c:v>
                </c:pt>
                <c:pt idx="3381">
                  <c:v>120</c:v>
                </c:pt>
                <c:pt idx="3382">
                  <c:v>110</c:v>
                </c:pt>
                <c:pt idx="3383">
                  <c:v>86</c:v>
                </c:pt>
                <c:pt idx="3384">
                  <c:v>101</c:v>
                </c:pt>
                <c:pt idx="3385">
                  <c:v>87</c:v>
                </c:pt>
                <c:pt idx="3386">
                  <c:v>93</c:v>
                </c:pt>
                <c:pt idx="3387">
                  <c:v>98</c:v>
                </c:pt>
                <c:pt idx="3388">
                  <c:v>100</c:v>
                </c:pt>
                <c:pt idx="3389">
                  <c:v>88</c:v>
                </c:pt>
                <c:pt idx="3390">
                  <c:v>97</c:v>
                </c:pt>
                <c:pt idx="3391">
                  <c:v>122</c:v>
                </c:pt>
                <c:pt idx="3392">
                  <c:v>96</c:v>
                </c:pt>
                <c:pt idx="3393">
                  <c:v>113</c:v>
                </c:pt>
                <c:pt idx="3394">
                  <c:v>105</c:v>
                </c:pt>
                <c:pt idx="3395">
                  <c:v>93</c:v>
                </c:pt>
                <c:pt idx="3396">
                  <c:v>89</c:v>
                </c:pt>
                <c:pt idx="3397">
                  <c:v>116</c:v>
                </c:pt>
                <c:pt idx="3398">
                  <c:v>120</c:v>
                </c:pt>
                <c:pt idx="3399">
                  <c:v>88</c:v>
                </c:pt>
                <c:pt idx="3400">
                  <c:v>102</c:v>
                </c:pt>
                <c:pt idx="3401">
                  <c:v>106</c:v>
                </c:pt>
                <c:pt idx="3402">
                  <c:v>95</c:v>
                </c:pt>
                <c:pt idx="3403">
                  <c:v>113</c:v>
                </c:pt>
                <c:pt idx="3404">
                  <c:v>93</c:v>
                </c:pt>
                <c:pt idx="3405">
                  <c:v>97</c:v>
                </c:pt>
                <c:pt idx="3406">
                  <c:v>140</c:v>
                </c:pt>
                <c:pt idx="3407">
                  <c:v>86</c:v>
                </c:pt>
                <c:pt idx="3408">
                  <c:v>66</c:v>
                </c:pt>
                <c:pt idx="3409">
                  <c:v>86</c:v>
                </c:pt>
                <c:pt idx="3410">
                  <c:v>87</c:v>
                </c:pt>
                <c:pt idx="3411">
                  <c:v>149</c:v>
                </c:pt>
                <c:pt idx="3412">
                  <c:v>98</c:v>
                </c:pt>
                <c:pt idx="3413">
                  <c:v>75</c:v>
                </c:pt>
                <c:pt idx="3414">
                  <c:v>104</c:v>
                </c:pt>
                <c:pt idx="3415">
                  <c:v>102</c:v>
                </c:pt>
                <c:pt idx="3416">
                  <c:v>105</c:v>
                </c:pt>
                <c:pt idx="3417">
                  <c:v>107</c:v>
                </c:pt>
                <c:pt idx="3418">
                  <c:v>89</c:v>
                </c:pt>
                <c:pt idx="3419">
                  <c:v>106</c:v>
                </c:pt>
                <c:pt idx="3420">
                  <c:v>95</c:v>
                </c:pt>
                <c:pt idx="3421">
                  <c:v>34</c:v>
                </c:pt>
                <c:pt idx="3422">
                  <c:v>101</c:v>
                </c:pt>
                <c:pt idx="3423">
                  <c:v>112</c:v>
                </c:pt>
                <c:pt idx="3424">
                  <c:v>100</c:v>
                </c:pt>
                <c:pt idx="3425">
                  <c:v>100</c:v>
                </c:pt>
                <c:pt idx="3426">
                  <c:v>80</c:v>
                </c:pt>
                <c:pt idx="3427">
                  <c:v>106</c:v>
                </c:pt>
                <c:pt idx="3428">
                  <c:v>103</c:v>
                </c:pt>
                <c:pt idx="3429">
                  <c:v>90</c:v>
                </c:pt>
                <c:pt idx="3430">
                  <c:v>96</c:v>
                </c:pt>
                <c:pt idx="3431">
                  <c:v>120</c:v>
                </c:pt>
                <c:pt idx="3432">
                  <c:v>101</c:v>
                </c:pt>
                <c:pt idx="3433">
                  <c:v>101</c:v>
                </c:pt>
                <c:pt idx="3434">
                  <c:v>105</c:v>
                </c:pt>
                <c:pt idx="3435">
                  <c:v>120</c:v>
                </c:pt>
                <c:pt idx="3436">
                  <c:v>91</c:v>
                </c:pt>
                <c:pt idx="3437">
                  <c:v>92</c:v>
                </c:pt>
                <c:pt idx="3438">
                  <c:v>117</c:v>
                </c:pt>
                <c:pt idx="3439">
                  <c:v>120</c:v>
                </c:pt>
                <c:pt idx="3440">
                  <c:v>172</c:v>
                </c:pt>
                <c:pt idx="3441">
                  <c:v>89</c:v>
                </c:pt>
                <c:pt idx="3442">
                  <c:v>125</c:v>
                </c:pt>
                <c:pt idx="3443">
                  <c:v>115</c:v>
                </c:pt>
                <c:pt idx="3444">
                  <c:v>96</c:v>
                </c:pt>
                <c:pt idx="3445">
                  <c:v>100</c:v>
                </c:pt>
                <c:pt idx="3446">
                  <c:v>87</c:v>
                </c:pt>
                <c:pt idx="3447">
                  <c:v>102</c:v>
                </c:pt>
                <c:pt idx="3448">
                  <c:v>118</c:v>
                </c:pt>
                <c:pt idx="3449">
                  <c:v>86</c:v>
                </c:pt>
                <c:pt idx="3450">
                  <c:v>137</c:v>
                </c:pt>
                <c:pt idx="3451">
                  <c:v>129</c:v>
                </c:pt>
                <c:pt idx="3452">
                  <c:v>80</c:v>
                </c:pt>
                <c:pt idx="3453">
                  <c:v>89</c:v>
                </c:pt>
                <c:pt idx="3454">
                  <c:v>80</c:v>
                </c:pt>
                <c:pt idx="3455">
                  <c:v>115</c:v>
                </c:pt>
                <c:pt idx="3456">
                  <c:v>100</c:v>
                </c:pt>
                <c:pt idx="3457">
                  <c:v>100</c:v>
                </c:pt>
                <c:pt idx="3458">
                  <c:v>91</c:v>
                </c:pt>
                <c:pt idx="3459">
                  <c:v>96</c:v>
                </c:pt>
                <c:pt idx="3460">
                  <c:v>116</c:v>
                </c:pt>
                <c:pt idx="3461">
                  <c:v>97</c:v>
                </c:pt>
                <c:pt idx="3462">
                  <c:v>101</c:v>
                </c:pt>
                <c:pt idx="3463">
                  <c:v>98</c:v>
                </c:pt>
                <c:pt idx="3464">
                  <c:v>101</c:v>
                </c:pt>
                <c:pt idx="3465">
                  <c:v>90</c:v>
                </c:pt>
                <c:pt idx="3466">
                  <c:v>120</c:v>
                </c:pt>
                <c:pt idx="3467">
                  <c:v>102</c:v>
                </c:pt>
                <c:pt idx="3468">
                  <c:v>102</c:v>
                </c:pt>
                <c:pt idx="3469">
                  <c:v>100</c:v>
                </c:pt>
                <c:pt idx="3470">
                  <c:v>89</c:v>
                </c:pt>
                <c:pt idx="3471">
                  <c:v>86</c:v>
                </c:pt>
                <c:pt idx="3472">
                  <c:v>96</c:v>
                </c:pt>
                <c:pt idx="3473">
                  <c:v>91</c:v>
                </c:pt>
                <c:pt idx="3474">
                  <c:v>85</c:v>
                </c:pt>
                <c:pt idx="3475">
                  <c:v>129</c:v>
                </c:pt>
                <c:pt idx="3476">
                  <c:v>95</c:v>
                </c:pt>
                <c:pt idx="3477">
                  <c:v>92</c:v>
                </c:pt>
                <c:pt idx="3478">
                  <c:v>96</c:v>
                </c:pt>
                <c:pt idx="3479">
                  <c:v>119</c:v>
                </c:pt>
                <c:pt idx="3480">
                  <c:v>92</c:v>
                </c:pt>
                <c:pt idx="3481">
                  <c:v>106</c:v>
                </c:pt>
                <c:pt idx="3482">
                  <c:v>99</c:v>
                </c:pt>
                <c:pt idx="3483">
                  <c:v>103</c:v>
                </c:pt>
                <c:pt idx="3484">
                  <c:v>95</c:v>
                </c:pt>
                <c:pt idx="3485">
                  <c:v>95</c:v>
                </c:pt>
                <c:pt idx="3486">
                  <c:v>90</c:v>
                </c:pt>
                <c:pt idx="3487">
                  <c:v>89</c:v>
                </c:pt>
                <c:pt idx="3488">
                  <c:v>87</c:v>
                </c:pt>
                <c:pt idx="3489">
                  <c:v>118</c:v>
                </c:pt>
                <c:pt idx="3490">
                  <c:v>93</c:v>
                </c:pt>
                <c:pt idx="3491">
                  <c:v>109</c:v>
                </c:pt>
                <c:pt idx="3492">
                  <c:v>90</c:v>
                </c:pt>
                <c:pt idx="3493">
                  <c:v>108</c:v>
                </c:pt>
                <c:pt idx="3494">
                  <c:v>81</c:v>
                </c:pt>
                <c:pt idx="3495">
                  <c:v>93</c:v>
                </c:pt>
                <c:pt idx="3496">
                  <c:v>138</c:v>
                </c:pt>
                <c:pt idx="3497">
                  <c:v>105</c:v>
                </c:pt>
                <c:pt idx="3498">
                  <c:v>98</c:v>
                </c:pt>
                <c:pt idx="3499">
                  <c:v>86</c:v>
                </c:pt>
                <c:pt idx="3500">
                  <c:v>104</c:v>
                </c:pt>
                <c:pt idx="3501">
                  <c:v>100</c:v>
                </c:pt>
                <c:pt idx="3502">
                  <c:v>84</c:v>
                </c:pt>
                <c:pt idx="3503">
                  <c:v>95</c:v>
                </c:pt>
                <c:pt idx="3504">
                  <c:v>90</c:v>
                </c:pt>
                <c:pt idx="3505">
                  <c:v>123</c:v>
                </c:pt>
                <c:pt idx="3506">
                  <c:v>111</c:v>
                </c:pt>
                <c:pt idx="3507">
                  <c:v>108</c:v>
                </c:pt>
                <c:pt idx="3508">
                  <c:v>92</c:v>
                </c:pt>
                <c:pt idx="3509">
                  <c:v>91</c:v>
                </c:pt>
                <c:pt idx="3510">
                  <c:v>88</c:v>
                </c:pt>
                <c:pt idx="3511">
                  <c:v>97</c:v>
                </c:pt>
                <c:pt idx="3512">
                  <c:v>103</c:v>
                </c:pt>
                <c:pt idx="3513">
                  <c:v>110</c:v>
                </c:pt>
                <c:pt idx="3514">
                  <c:v>103</c:v>
                </c:pt>
                <c:pt idx="3515">
                  <c:v>114</c:v>
                </c:pt>
                <c:pt idx="3516">
                  <c:v>112</c:v>
                </c:pt>
                <c:pt idx="3517">
                  <c:v>104</c:v>
                </c:pt>
                <c:pt idx="3518">
                  <c:v>99</c:v>
                </c:pt>
                <c:pt idx="3519">
                  <c:v>98</c:v>
                </c:pt>
                <c:pt idx="3520">
                  <c:v>100</c:v>
                </c:pt>
                <c:pt idx="3521">
                  <c:v>80</c:v>
                </c:pt>
                <c:pt idx="3522">
                  <c:v>87</c:v>
                </c:pt>
                <c:pt idx="3523">
                  <c:v>91</c:v>
                </c:pt>
                <c:pt idx="3524">
                  <c:v>84</c:v>
                </c:pt>
                <c:pt idx="3525">
                  <c:v>90</c:v>
                </c:pt>
                <c:pt idx="3526">
                  <c:v>98</c:v>
                </c:pt>
                <c:pt idx="3527">
                  <c:v>124</c:v>
                </c:pt>
                <c:pt idx="3528">
                  <c:v>95</c:v>
                </c:pt>
                <c:pt idx="3529">
                  <c:v>90</c:v>
                </c:pt>
                <c:pt idx="3530">
                  <c:v>101</c:v>
                </c:pt>
                <c:pt idx="3531">
                  <c:v>83</c:v>
                </c:pt>
                <c:pt idx="3532">
                  <c:v>106</c:v>
                </c:pt>
                <c:pt idx="3533">
                  <c:v>94</c:v>
                </c:pt>
                <c:pt idx="3534">
                  <c:v>120</c:v>
                </c:pt>
                <c:pt idx="3535">
                  <c:v>105</c:v>
                </c:pt>
                <c:pt idx="3536">
                  <c:v>95</c:v>
                </c:pt>
                <c:pt idx="3537">
                  <c:v>135</c:v>
                </c:pt>
                <c:pt idx="3538">
                  <c:v>105</c:v>
                </c:pt>
                <c:pt idx="3539">
                  <c:v>83</c:v>
                </c:pt>
                <c:pt idx="3540">
                  <c:v>87</c:v>
                </c:pt>
                <c:pt idx="3541">
                  <c:v>97</c:v>
                </c:pt>
                <c:pt idx="3542">
                  <c:v>87</c:v>
                </c:pt>
                <c:pt idx="3543">
                  <c:v>80</c:v>
                </c:pt>
                <c:pt idx="3544">
                  <c:v>100</c:v>
                </c:pt>
                <c:pt idx="3545">
                  <c:v>103</c:v>
                </c:pt>
                <c:pt idx="3546">
                  <c:v>100</c:v>
                </c:pt>
                <c:pt idx="3547">
                  <c:v>89</c:v>
                </c:pt>
                <c:pt idx="3548">
                  <c:v>114</c:v>
                </c:pt>
                <c:pt idx="3549">
                  <c:v>111</c:v>
                </c:pt>
                <c:pt idx="3550">
                  <c:v>85</c:v>
                </c:pt>
                <c:pt idx="3551">
                  <c:v>113</c:v>
                </c:pt>
                <c:pt idx="3552">
                  <c:v>99</c:v>
                </c:pt>
                <c:pt idx="3553">
                  <c:v>142</c:v>
                </c:pt>
                <c:pt idx="3554">
                  <c:v>112</c:v>
                </c:pt>
                <c:pt idx="3555">
                  <c:v>108</c:v>
                </c:pt>
                <c:pt idx="3556">
                  <c:v>88</c:v>
                </c:pt>
                <c:pt idx="3557">
                  <c:v>97</c:v>
                </c:pt>
                <c:pt idx="3558">
                  <c:v>85</c:v>
                </c:pt>
                <c:pt idx="3559">
                  <c:v>110</c:v>
                </c:pt>
                <c:pt idx="3560">
                  <c:v>91</c:v>
                </c:pt>
                <c:pt idx="3561">
                  <c:v>94</c:v>
                </c:pt>
                <c:pt idx="3562">
                  <c:v>90</c:v>
                </c:pt>
                <c:pt idx="3563">
                  <c:v>92</c:v>
                </c:pt>
                <c:pt idx="3564">
                  <c:v>73</c:v>
                </c:pt>
                <c:pt idx="3565">
                  <c:v>110</c:v>
                </c:pt>
                <c:pt idx="3566">
                  <c:v>102</c:v>
                </c:pt>
                <c:pt idx="3567">
                  <c:v>145</c:v>
                </c:pt>
                <c:pt idx="3568">
                  <c:v>83</c:v>
                </c:pt>
                <c:pt idx="3569">
                  <c:v>91</c:v>
                </c:pt>
                <c:pt idx="3570">
                  <c:v>110</c:v>
                </c:pt>
                <c:pt idx="3571">
                  <c:v>86</c:v>
                </c:pt>
                <c:pt idx="3572">
                  <c:v>86</c:v>
                </c:pt>
                <c:pt idx="3573">
                  <c:v>120</c:v>
                </c:pt>
                <c:pt idx="3574">
                  <c:v>90</c:v>
                </c:pt>
                <c:pt idx="3575">
                  <c:v>99</c:v>
                </c:pt>
                <c:pt idx="3576">
                  <c:v>112</c:v>
                </c:pt>
                <c:pt idx="3577">
                  <c:v>103</c:v>
                </c:pt>
                <c:pt idx="3578">
                  <c:v>83</c:v>
                </c:pt>
                <c:pt idx="3579">
                  <c:v>109</c:v>
                </c:pt>
                <c:pt idx="3580">
                  <c:v>100</c:v>
                </c:pt>
                <c:pt idx="3581">
                  <c:v>95</c:v>
                </c:pt>
                <c:pt idx="3582">
                  <c:v>104</c:v>
                </c:pt>
                <c:pt idx="3583">
                  <c:v>97</c:v>
                </c:pt>
                <c:pt idx="3584">
                  <c:v>91</c:v>
                </c:pt>
                <c:pt idx="3585">
                  <c:v>84</c:v>
                </c:pt>
                <c:pt idx="3586">
                  <c:v>86</c:v>
                </c:pt>
                <c:pt idx="3587">
                  <c:v>92</c:v>
                </c:pt>
                <c:pt idx="3588">
                  <c:v>94</c:v>
                </c:pt>
                <c:pt idx="3589">
                  <c:v>100</c:v>
                </c:pt>
                <c:pt idx="3590">
                  <c:v>119</c:v>
                </c:pt>
                <c:pt idx="3591">
                  <c:v>167</c:v>
                </c:pt>
                <c:pt idx="3592">
                  <c:v>92</c:v>
                </c:pt>
                <c:pt idx="3593">
                  <c:v>108</c:v>
                </c:pt>
                <c:pt idx="3594">
                  <c:v>97</c:v>
                </c:pt>
                <c:pt idx="3595">
                  <c:v>88</c:v>
                </c:pt>
                <c:pt idx="3596">
                  <c:v>100</c:v>
                </c:pt>
                <c:pt idx="3597">
                  <c:v>88</c:v>
                </c:pt>
                <c:pt idx="3598">
                  <c:v>79</c:v>
                </c:pt>
                <c:pt idx="3599">
                  <c:v>96</c:v>
                </c:pt>
                <c:pt idx="3600">
                  <c:v>53</c:v>
                </c:pt>
                <c:pt idx="3601">
                  <c:v>97</c:v>
                </c:pt>
                <c:pt idx="3602">
                  <c:v>91</c:v>
                </c:pt>
                <c:pt idx="3603">
                  <c:v>93</c:v>
                </c:pt>
                <c:pt idx="3604">
                  <c:v>112</c:v>
                </c:pt>
                <c:pt idx="3605">
                  <c:v>160</c:v>
                </c:pt>
                <c:pt idx="3606">
                  <c:v>95</c:v>
                </c:pt>
                <c:pt idx="3607">
                  <c:v>93</c:v>
                </c:pt>
                <c:pt idx="3608">
                  <c:v>88</c:v>
                </c:pt>
                <c:pt idx="3609">
                  <c:v>82</c:v>
                </c:pt>
                <c:pt idx="3610">
                  <c:v>78</c:v>
                </c:pt>
                <c:pt idx="3611">
                  <c:v>97</c:v>
                </c:pt>
                <c:pt idx="3612">
                  <c:v>81</c:v>
                </c:pt>
                <c:pt idx="3613">
                  <c:v>88</c:v>
                </c:pt>
                <c:pt idx="3614">
                  <c:v>96</c:v>
                </c:pt>
                <c:pt idx="3615">
                  <c:v>108</c:v>
                </c:pt>
                <c:pt idx="3616">
                  <c:v>100</c:v>
                </c:pt>
                <c:pt idx="3617">
                  <c:v>113</c:v>
                </c:pt>
                <c:pt idx="3618">
                  <c:v>104</c:v>
                </c:pt>
                <c:pt idx="3619">
                  <c:v>91</c:v>
                </c:pt>
                <c:pt idx="3620">
                  <c:v>85</c:v>
                </c:pt>
                <c:pt idx="3621">
                  <c:v>101</c:v>
                </c:pt>
                <c:pt idx="3622">
                  <c:v>88</c:v>
                </c:pt>
                <c:pt idx="3623">
                  <c:v>107</c:v>
                </c:pt>
                <c:pt idx="3624">
                  <c:v>88</c:v>
                </c:pt>
                <c:pt idx="3625">
                  <c:v>95</c:v>
                </c:pt>
                <c:pt idx="3626">
                  <c:v>123</c:v>
                </c:pt>
                <c:pt idx="3627">
                  <c:v>88</c:v>
                </c:pt>
                <c:pt idx="3628">
                  <c:v>114</c:v>
                </c:pt>
                <c:pt idx="3629">
                  <c:v>88</c:v>
                </c:pt>
                <c:pt idx="3630">
                  <c:v>104</c:v>
                </c:pt>
                <c:pt idx="3631">
                  <c:v>93</c:v>
                </c:pt>
                <c:pt idx="3632">
                  <c:v>91</c:v>
                </c:pt>
                <c:pt idx="3633">
                  <c:v>90</c:v>
                </c:pt>
                <c:pt idx="3634">
                  <c:v>112</c:v>
                </c:pt>
                <c:pt idx="3635">
                  <c:v>86</c:v>
                </c:pt>
                <c:pt idx="3636">
                  <c:v>86</c:v>
                </c:pt>
                <c:pt idx="3637">
                  <c:v>95</c:v>
                </c:pt>
                <c:pt idx="3638">
                  <c:v>101</c:v>
                </c:pt>
                <c:pt idx="3639">
                  <c:v>88</c:v>
                </c:pt>
                <c:pt idx="3640">
                  <c:v>99</c:v>
                </c:pt>
                <c:pt idx="3641">
                  <c:v>170</c:v>
                </c:pt>
                <c:pt idx="3642">
                  <c:v>97</c:v>
                </c:pt>
                <c:pt idx="3643">
                  <c:v>106</c:v>
                </c:pt>
                <c:pt idx="3644">
                  <c:v>107</c:v>
                </c:pt>
                <c:pt idx="3645">
                  <c:v>84</c:v>
                </c:pt>
                <c:pt idx="3646">
                  <c:v>81</c:v>
                </c:pt>
                <c:pt idx="3647">
                  <c:v>81</c:v>
                </c:pt>
                <c:pt idx="3648">
                  <c:v>215</c:v>
                </c:pt>
                <c:pt idx="3649">
                  <c:v>106</c:v>
                </c:pt>
                <c:pt idx="3650">
                  <c:v>103</c:v>
                </c:pt>
                <c:pt idx="3651">
                  <c:v>90</c:v>
                </c:pt>
                <c:pt idx="3652">
                  <c:v>87</c:v>
                </c:pt>
                <c:pt idx="3653">
                  <c:v>80</c:v>
                </c:pt>
                <c:pt idx="3654">
                  <c:v>122</c:v>
                </c:pt>
                <c:pt idx="3655">
                  <c:v>86</c:v>
                </c:pt>
                <c:pt idx="3656">
                  <c:v>79</c:v>
                </c:pt>
                <c:pt idx="3657">
                  <c:v>97</c:v>
                </c:pt>
                <c:pt idx="3658">
                  <c:v>89</c:v>
                </c:pt>
                <c:pt idx="3659">
                  <c:v>120</c:v>
                </c:pt>
                <c:pt idx="3660">
                  <c:v>108</c:v>
                </c:pt>
                <c:pt idx="3661">
                  <c:v>102</c:v>
                </c:pt>
                <c:pt idx="3662">
                  <c:v>83</c:v>
                </c:pt>
                <c:pt idx="3663">
                  <c:v>93</c:v>
                </c:pt>
                <c:pt idx="3664">
                  <c:v>86</c:v>
                </c:pt>
                <c:pt idx="3665">
                  <c:v>101</c:v>
                </c:pt>
                <c:pt idx="3666">
                  <c:v>111</c:v>
                </c:pt>
                <c:pt idx="3667">
                  <c:v>90</c:v>
                </c:pt>
                <c:pt idx="3668">
                  <c:v>86</c:v>
                </c:pt>
                <c:pt idx="3669">
                  <c:v>98</c:v>
                </c:pt>
                <c:pt idx="3670">
                  <c:v>91</c:v>
                </c:pt>
                <c:pt idx="3671">
                  <c:v>91</c:v>
                </c:pt>
                <c:pt idx="3672">
                  <c:v>88</c:v>
                </c:pt>
                <c:pt idx="3673">
                  <c:v>202</c:v>
                </c:pt>
                <c:pt idx="3674">
                  <c:v>89</c:v>
                </c:pt>
                <c:pt idx="3675">
                  <c:v>84</c:v>
                </c:pt>
                <c:pt idx="3676">
                  <c:v>82</c:v>
                </c:pt>
                <c:pt idx="3677">
                  <c:v>100</c:v>
                </c:pt>
                <c:pt idx="3678">
                  <c:v>112</c:v>
                </c:pt>
                <c:pt idx="3679">
                  <c:v>94</c:v>
                </c:pt>
                <c:pt idx="3680">
                  <c:v>91</c:v>
                </c:pt>
                <c:pt idx="3681">
                  <c:v>87</c:v>
                </c:pt>
                <c:pt idx="3682">
                  <c:v>82</c:v>
                </c:pt>
                <c:pt idx="3683">
                  <c:v>91</c:v>
                </c:pt>
                <c:pt idx="3684">
                  <c:v>107</c:v>
                </c:pt>
                <c:pt idx="3685">
                  <c:v>84</c:v>
                </c:pt>
                <c:pt idx="3686">
                  <c:v>103</c:v>
                </c:pt>
                <c:pt idx="3687">
                  <c:v>89</c:v>
                </c:pt>
                <c:pt idx="3688">
                  <c:v>98</c:v>
                </c:pt>
                <c:pt idx="3689">
                  <c:v>133</c:v>
                </c:pt>
                <c:pt idx="3690">
                  <c:v>92</c:v>
                </c:pt>
                <c:pt idx="3691">
                  <c:v>90</c:v>
                </c:pt>
                <c:pt idx="3692">
                  <c:v>84</c:v>
                </c:pt>
                <c:pt idx="3693">
                  <c:v>91</c:v>
                </c:pt>
                <c:pt idx="3694">
                  <c:v>90</c:v>
                </c:pt>
                <c:pt idx="3695">
                  <c:v>96</c:v>
                </c:pt>
                <c:pt idx="3696">
                  <c:v>88</c:v>
                </c:pt>
                <c:pt idx="3697">
                  <c:v>92</c:v>
                </c:pt>
                <c:pt idx="3698">
                  <c:v>82</c:v>
                </c:pt>
                <c:pt idx="3699">
                  <c:v>101</c:v>
                </c:pt>
                <c:pt idx="3700">
                  <c:v>86</c:v>
                </c:pt>
                <c:pt idx="3701">
                  <c:v>100</c:v>
                </c:pt>
                <c:pt idx="3702">
                  <c:v>89</c:v>
                </c:pt>
                <c:pt idx="3703">
                  <c:v>84</c:v>
                </c:pt>
                <c:pt idx="3704">
                  <c:v>88</c:v>
                </c:pt>
                <c:pt idx="3705">
                  <c:v>90</c:v>
                </c:pt>
                <c:pt idx="3706">
                  <c:v>102</c:v>
                </c:pt>
                <c:pt idx="3707">
                  <c:v>98</c:v>
                </c:pt>
                <c:pt idx="3708">
                  <c:v>91</c:v>
                </c:pt>
                <c:pt idx="3709">
                  <c:v>80</c:v>
                </c:pt>
                <c:pt idx="3710">
                  <c:v>76</c:v>
                </c:pt>
                <c:pt idx="3711">
                  <c:v>80</c:v>
                </c:pt>
                <c:pt idx="3712">
                  <c:v>102</c:v>
                </c:pt>
                <c:pt idx="3713">
                  <c:v>95</c:v>
                </c:pt>
                <c:pt idx="3714">
                  <c:v>94</c:v>
                </c:pt>
                <c:pt idx="3715">
                  <c:v>109</c:v>
                </c:pt>
                <c:pt idx="3716">
                  <c:v>95</c:v>
                </c:pt>
                <c:pt idx="3717">
                  <c:v>90</c:v>
                </c:pt>
                <c:pt idx="3718">
                  <c:v>113</c:v>
                </c:pt>
                <c:pt idx="3719">
                  <c:v>91</c:v>
                </c:pt>
                <c:pt idx="3720">
                  <c:v>98</c:v>
                </c:pt>
                <c:pt idx="3721">
                  <c:v>94</c:v>
                </c:pt>
                <c:pt idx="3722">
                  <c:v>96</c:v>
                </c:pt>
                <c:pt idx="3723">
                  <c:v>100</c:v>
                </c:pt>
                <c:pt idx="3724">
                  <c:v>90</c:v>
                </c:pt>
                <c:pt idx="3725">
                  <c:v>76</c:v>
                </c:pt>
                <c:pt idx="3726">
                  <c:v>75</c:v>
                </c:pt>
                <c:pt idx="3727">
                  <c:v>78</c:v>
                </c:pt>
                <c:pt idx="3728">
                  <c:v>90</c:v>
                </c:pt>
                <c:pt idx="3729">
                  <c:v>92</c:v>
                </c:pt>
                <c:pt idx="3730">
                  <c:v>99</c:v>
                </c:pt>
                <c:pt idx="3731">
                  <c:v>81</c:v>
                </c:pt>
                <c:pt idx="3732">
                  <c:v>86</c:v>
                </c:pt>
                <c:pt idx="3733">
                  <c:v>106</c:v>
                </c:pt>
                <c:pt idx="3734">
                  <c:v>80</c:v>
                </c:pt>
                <c:pt idx="3735">
                  <c:v>96</c:v>
                </c:pt>
                <c:pt idx="3736">
                  <c:v>99</c:v>
                </c:pt>
                <c:pt idx="3737">
                  <c:v>85</c:v>
                </c:pt>
                <c:pt idx="3738">
                  <c:v>101</c:v>
                </c:pt>
                <c:pt idx="3739">
                  <c:v>97</c:v>
                </c:pt>
                <c:pt idx="3740">
                  <c:v>103</c:v>
                </c:pt>
                <c:pt idx="3741">
                  <c:v>86</c:v>
                </c:pt>
                <c:pt idx="3742">
                  <c:v>106</c:v>
                </c:pt>
                <c:pt idx="3743">
                  <c:v>89</c:v>
                </c:pt>
                <c:pt idx="3744">
                  <c:v>97</c:v>
                </c:pt>
                <c:pt idx="3745">
                  <c:v>88</c:v>
                </c:pt>
                <c:pt idx="3746">
                  <c:v>92</c:v>
                </c:pt>
                <c:pt idx="3747">
                  <c:v>97</c:v>
                </c:pt>
                <c:pt idx="3748">
                  <c:v>78</c:v>
                </c:pt>
                <c:pt idx="3749">
                  <c:v>85</c:v>
                </c:pt>
                <c:pt idx="3750">
                  <c:v>88</c:v>
                </c:pt>
                <c:pt idx="3751">
                  <c:v>93</c:v>
                </c:pt>
                <c:pt idx="3752">
                  <c:v>72</c:v>
                </c:pt>
                <c:pt idx="3753">
                  <c:v>80</c:v>
                </c:pt>
                <c:pt idx="3754">
                  <c:v>91</c:v>
                </c:pt>
                <c:pt idx="3755">
                  <c:v>90</c:v>
                </c:pt>
                <c:pt idx="3756">
                  <c:v>111</c:v>
                </c:pt>
                <c:pt idx="3757">
                  <c:v>81</c:v>
                </c:pt>
                <c:pt idx="3758">
                  <c:v>81</c:v>
                </c:pt>
                <c:pt idx="3759">
                  <c:v>90</c:v>
                </c:pt>
                <c:pt idx="3760">
                  <c:v>88</c:v>
                </c:pt>
                <c:pt idx="3761">
                  <c:v>84</c:v>
                </c:pt>
                <c:pt idx="3762">
                  <c:v>87</c:v>
                </c:pt>
                <c:pt idx="3763">
                  <c:v>100</c:v>
                </c:pt>
                <c:pt idx="3764">
                  <c:v>82</c:v>
                </c:pt>
                <c:pt idx="3765">
                  <c:v>82</c:v>
                </c:pt>
                <c:pt idx="3766">
                  <c:v>98</c:v>
                </c:pt>
                <c:pt idx="3767">
                  <c:v>98</c:v>
                </c:pt>
                <c:pt idx="3768">
                  <c:v>90</c:v>
                </c:pt>
                <c:pt idx="3769">
                  <c:v>90</c:v>
                </c:pt>
                <c:pt idx="3770">
                  <c:v>78</c:v>
                </c:pt>
                <c:pt idx="3771">
                  <c:v>102</c:v>
                </c:pt>
                <c:pt idx="3772">
                  <c:v>65</c:v>
                </c:pt>
                <c:pt idx="3773">
                  <c:v>97</c:v>
                </c:pt>
                <c:pt idx="3774">
                  <c:v>100</c:v>
                </c:pt>
                <c:pt idx="3775">
                  <c:v>85</c:v>
                </c:pt>
                <c:pt idx="3776">
                  <c:v>88</c:v>
                </c:pt>
                <c:pt idx="3777">
                  <c:v>108</c:v>
                </c:pt>
                <c:pt idx="3778">
                  <c:v>110</c:v>
                </c:pt>
                <c:pt idx="3779">
                  <c:v>90</c:v>
                </c:pt>
                <c:pt idx="3780">
                  <c:v>111</c:v>
                </c:pt>
                <c:pt idx="3781">
                  <c:v>77</c:v>
                </c:pt>
                <c:pt idx="3782">
                  <c:v>80</c:v>
                </c:pt>
                <c:pt idx="3783">
                  <c:v>81</c:v>
                </c:pt>
                <c:pt idx="3784">
                  <c:v>95</c:v>
                </c:pt>
                <c:pt idx="3785">
                  <c:v>90</c:v>
                </c:pt>
              </c:numCache>
            </c:numRef>
          </c:xVal>
          <c:yVal>
            <c:numRef>
              <c:f>IMDB_Movies!$I$2:$I$3890</c:f>
              <c:numCache>
                <c:formatCode>General</c:formatCode>
                <c:ptCount val="3889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6.6</c:v>
                </c:pt>
                <c:pt idx="5">
                  <c:v>6.2</c:v>
                </c:pt>
                <c:pt idx="6">
                  <c:v>7.8</c:v>
                </c:pt>
                <c:pt idx="7">
                  <c:v>7.5</c:v>
                </c:pt>
                <c:pt idx="8">
                  <c:v>7.5</c:v>
                </c:pt>
                <c:pt idx="9">
                  <c:v>6.9</c:v>
                </c:pt>
                <c:pt idx="10">
                  <c:v>6.1</c:v>
                </c:pt>
                <c:pt idx="11">
                  <c:v>6.7</c:v>
                </c:pt>
                <c:pt idx="12">
                  <c:v>7.3</c:v>
                </c:pt>
                <c:pt idx="13">
                  <c:v>6.5</c:v>
                </c:pt>
                <c:pt idx="14">
                  <c:v>7.2</c:v>
                </c:pt>
                <c:pt idx="15">
                  <c:v>6.6</c:v>
                </c:pt>
                <c:pt idx="16">
                  <c:v>8.1</c:v>
                </c:pt>
                <c:pt idx="17">
                  <c:v>6.7</c:v>
                </c:pt>
                <c:pt idx="18">
                  <c:v>6.8</c:v>
                </c:pt>
                <c:pt idx="19">
                  <c:v>7.5</c:v>
                </c:pt>
                <c:pt idx="20">
                  <c:v>7</c:v>
                </c:pt>
                <c:pt idx="21">
                  <c:v>6.7</c:v>
                </c:pt>
                <c:pt idx="22">
                  <c:v>7.9</c:v>
                </c:pt>
                <c:pt idx="23">
                  <c:v>6.1</c:v>
                </c:pt>
                <c:pt idx="24">
                  <c:v>7.2</c:v>
                </c:pt>
                <c:pt idx="25">
                  <c:v>7.7</c:v>
                </c:pt>
                <c:pt idx="26">
                  <c:v>8.1999999999999993</c:v>
                </c:pt>
                <c:pt idx="27">
                  <c:v>5.9</c:v>
                </c:pt>
                <c:pt idx="28">
                  <c:v>7</c:v>
                </c:pt>
                <c:pt idx="29">
                  <c:v>7.8</c:v>
                </c:pt>
                <c:pt idx="30">
                  <c:v>7.3</c:v>
                </c:pt>
                <c:pt idx="31">
                  <c:v>7.2</c:v>
                </c:pt>
                <c:pt idx="32">
                  <c:v>6.5</c:v>
                </c:pt>
                <c:pt idx="33">
                  <c:v>6.8</c:v>
                </c:pt>
                <c:pt idx="34">
                  <c:v>7.3</c:v>
                </c:pt>
                <c:pt idx="35">
                  <c:v>6</c:v>
                </c:pt>
                <c:pt idx="36">
                  <c:v>5.7</c:v>
                </c:pt>
                <c:pt idx="37">
                  <c:v>6.4</c:v>
                </c:pt>
                <c:pt idx="38">
                  <c:v>6.7</c:v>
                </c:pt>
                <c:pt idx="39">
                  <c:v>6.8</c:v>
                </c:pt>
                <c:pt idx="40">
                  <c:v>6.3</c:v>
                </c:pt>
                <c:pt idx="41">
                  <c:v>5.6</c:v>
                </c:pt>
                <c:pt idx="42">
                  <c:v>8.3000000000000007</c:v>
                </c:pt>
                <c:pt idx="43">
                  <c:v>6.6</c:v>
                </c:pt>
                <c:pt idx="44">
                  <c:v>7.2</c:v>
                </c:pt>
                <c:pt idx="45">
                  <c:v>7</c:v>
                </c:pt>
                <c:pt idx="46">
                  <c:v>8</c:v>
                </c:pt>
                <c:pt idx="47">
                  <c:v>7.8</c:v>
                </c:pt>
                <c:pt idx="48">
                  <c:v>6.3</c:v>
                </c:pt>
                <c:pt idx="49">
                  <c:v>7.3</c:v>
                </c:pt>
                <c:pt idx="50">
                  <c:v>6.6</c:v>
                </c:pt>
                <c:pt idx="51">
                  <c:v>7</c:v>
                </c:pt>
                <c:pt idx="52">
                  <c:v>6.3</c:v>
                </c:pt>
                <c:pt idx="53">
                  <c:v>6.2</c:v>
                </c:pt>
                <c:pt idx="54">
                  <c:v>7.2</c:v>
                </c:pt>
                <c:pt idx="55">
                  <c:v>7.5</c:v>
                </c:pt>
                <c:pt idx="56">
                  <c:v>8.4</c:v>
                </c:pt>
                <c:pt idx="57">
                  <c:v>6.2</c:v>
                </c:pt>
                <c:pt idx="58">
                  <c:v>5.8</c:v>
                </c:pt>
                <c:pt idx="59">
                  <c:v>6.8</c:v>
                </c:pt>
                <c:pt idx="60">
                  <c:v>5.4</c:v>
                </c:pt>
                <c:pt idx="61">
                  <c:v>6.6</c:v>
                </c:pt>
                <c:pt idx="62">
                  <c:v>6.9</c:v>
                </c:pt>
                <c:pt idx="63">
                  <c:v>7.3</c:v>
                </c:pt>
                <c:pt idx="64">
                  <c:v>9</c:v>
                </c:pt>
                <c:pt idx="65">
                  <c:v>8.3000000000000007</c:v>
                </c:pt>
                <c:pt idx="66">
                  <c:v>6.5</c:v>
                </c:pt>
                <c:pt idx="67">
                  <c:v>7.9</c:v>
                </c:pt>
                <c:pt idx="68">
                  <c:v>7.5</c:v>
                </c:pt>
                <c:pt idx="69">
                  <c:v>4.8</c:v>
                </c:pt>
                <c:pt idx="70">
                  <c:v>5.2</c:v>
                </c:pt>
                <c:pt idx="71">
                  <c:v>6.9</c:v>
                </c:pt>
                <c:pt idx="72">
                  <c:v>5.4</c:v>
                </c:pt>
                <c:pt idx="73">
                  <c:v>7.9</c:v>
                </c:pt>
                <c:pt idx="74">
                  <c:v>6.1</c:v>
                </c:pt>
                <c:pt idx="75">
                  <c:v>5.8</c:v>
                </c:pt>
                <c:pt idx="76">
                  <c:v>8.3000000000000007</c:v>
                </c:pt>
                <c:pt idx="77">
                  <c:v>7.8</c:v>
                </c:pt>
                <c:pt idx="78">
                  <c:v>7</c:v>
                </c:pt>
                <c:pt idx="79">
                  <c:v>6.1</c:v>
                </c:pt>
                <c:pt idx="80">
                  <c:v>7</c:v>
                </c:pt>
                <c:pt idx="81">
                  <c:v>7.6</c:v>
                </c:pt>
                <c:pt idx="82">
                  <c:v>6.3</c:v>
                </c:pt>
                <c:pt idx="83">
                  <c:v>7.8</c:v>
                </c:pt>
                <c:pt idx="84">
                  <c:v>6.4</c:v>
                </c:pt>
                <c:pt idx="85">
                  <c:v>6.5</c:v>
                </c:pt>
                <c:pt idx="86">
                  <c:v>7.9</c:v>
                </c:pt>
                <c:pt idx="87">
                  <c:v>7.8</c:v>
                </c:pt>
                <c:pt idx="88">
                  <c:v>6.6</c:v>
                </c:pt>
                <c:pt idx="89">
                  <c:v>5.5</c:v>
                </c:pt>
                <c:pt idx="90">
                  <c:v>8.1999999999999993</c:v>
                </c:pt>
                <c:pt idx="91">
                  <c:v>6.4</c:v>
                </c:pt>
                <c:pt idx="92">
                  <c:v>8.1</c:v>
                </c:pt>
                <c:pt idx="93">
                  <c:v>8.6</c:v>
                </c:pt>
                <c:pt idx="94">
                  <c:v>8.8000000000000007</c:v>
                </c:pt>
                <c:pt idx="95">
                  <c:v>7.9</c:v>
                </c:pt>
                <c:pt idx="96">
                  <c:v>6.7</c:v>
                </c:pt>
                <c:pt idx="97">
                  <c:v>7.8</c:v>
                </c:pt>
                <c:pt idx="98">
                  <c:v>7.8</c:v>
                </c:pt>
                <c:pt idx="99">
                  <c:v>6.6</c:v>
                </c:pt>
                <c:pt idx="100">
                  <c:v>6.1</c:v>
                </c:pt>
                <c:pt idx="101">
                  <c:v>5.6</c:v>
                </c:pt>
                <c:pt idx="102">
                  <c:v>6.4</c:v>
                </c:pt>
                <c:pt idx="103">
                  <c:v>6.1</c:v>
                </c:pt>
                <c:pt idx="104">
                  <c:v>7.3</c:v>
                </c:pt>
                <c:pt idx="105">
                  <c:v>6.6</c:v>
                </c:pt>
                <c:pt idx="106">
                  <c:v>6.3</c:v>
                </c:pt>
                <c:pt idx="107">
                  <c:v>6.1</c:v>
                </c:pt>
                <c:pt idx="108">
                  <c:v>7.1</c:v>
                </c:pt>
                <c:pt idx="109">
                  <c:v>5.5</c:v>
                </c:pt>
                <c:pt idx="110">
                  <c:v>7.5</c:v>
                </c:pt>
                <c:pt idx="111">
                  <c:v>7.6</c:v>
                </c:pt>
                <c:pt idx="112">
                  <c:v>6.4</c:v>
                </c:pt>
                <c:pt idx="113">
                  <c:v>7.2</c:v>
                </c:pt>
                <c:pt idx="114">
                  <c:v>6.7</c:v>
                </c:pt>
                <c:pt idx="115">
                  <c:v>8</c:v>
                </c:pt>
                <c:pt idx="116">
                  <c:v>8.3000000000000007</c:v>
                </c:pt>
                <c:pt idx="117">
                  <c:v>6.7</c:v>
                </c:pt>
                <c:pt idx="118">
                  <c:v>5.9</c:v>
                </c:pt>
                <c:pt idx="119">
                  <c:v>6.7</c:v>
                </c:pt>
                <c:pt idx="120">
                  <c:v>6.7</c:v>
                </c:pt>
                <c:pt idx="121">
                  <c:v>7.6</c:v>
                </c:pt>
                <c:pt idx="122">
                  <c:v>7.2</c:v>
                </c:pt>
                <c:pt idx="123">
                  <c:v>7.1</c:v>
                </c:pt>
                <c:pt idx="124">
                  <c:v>8.1</c:v>
                </c:pt>
                <c:pt idx="125">
                  <c:v>6.7</c:v>
                </c:pt>
                <c:pt idx="126">
                  <c:v>7</c:v>
                </c:pt>
                <c:pt idx="127">
                  <c:v>6.9</c:v>
                </c:pt>
                <c:pt idx="128">
                  <c:v>5.0999999999999996</c:v>
                </c:pt>
                <c:pt idx="129">
                  <c:v>5.8</c:v>
                </c:pt>
                <c:pt idx="130">
                  <c:v>6.2</c:v>
                </c:pt>
                <c:pt idx="131">
                  <c:v>7.4</c:v>
                </c:pt>
                <c:pt idx="132">
                  <c:v>5.8</c:v>
                </c:pt>
                <c:pt idx="133">
                  <c:v>6.2</c:v>
                </c:pt>
                <c:pt idx="134">
                  <c:v>7.3</c:v>
                </c:pt>
                <c:pt idx="135">
                  <c:v>4.2</c:v>
                </c:pt>
                <c:pt idx="136">
                  <c:v>6.9</c:v>
                </c:pt>
                <c:pt idx="137">
                  <c:v>6.4</c:v>
                </c:pt>
                <c:pt idx="138">
                  <c:v>5.4</c:v>
                </c:pt>
                <c:pt idx="139">
                  <c:v>6.7</c:v>
                </c:pt>
                <c:pt idx="140">
                  <c:v>5.8</c:v>
                </c:pt>
                <c:pt idx="141">
                  <c:v>6.9</c:v>
                </c:pt>
                <c:pt idx="142">
                  <c:v>7.2</c:v>
                </c:pt>
                <c:pt idx="143">
                  <c:v>6.9</c:v>
                </c:pt>
                <c:pt idx="144">
                  <c:v>6.1</c:v>
                </c:pt>
                <c:pt idx="145">
                  <c:v>5.5</c:v>
                </c:pt>
                <c:pt idx="146">
                  <c:v>6.6</c:v>
                </c:pt>
                <c:pt idx="147">
                  <c:v>6.1</c:v>
                </c:pt>
                <c:pt idx="148">
                  <c:v>6.3</c:v>
                </c:pt>
                <c:pt idx="149">
                  <c:v>7.2</c:v>
                </c:pt>
                <c:pt idx="150">
                  <c:v>7.4</c:v>
                </c:pt>
                <c:pt idx="151">
                  <c:v>7.3</c:v>
                </c:pt>
                <c:pt idx="152">
                  <c:v>6.1</c:v>
                </c:pt>
                <c:pt idx="153">
                  <c:v>7.7</c:v>
                </c:pt>
                <c:pt idx="154">
                  <c:v>6.1</c:v>
                </c:pt>
                <c:pt idx="155">
                  <c:v>8</c:v>
                </c:pt>
                <c:pt idx="156">
                  <c:v>7.3</c:v>
                </c:pt>
                <c:pt idx="157">
                  <c:v>7.9</c:v>
                </c:pt>
                <c:pt idx="158">
                  <c:v>5.5</c:v>
                </c:pt>
                <c:pt idx="159">
                  <c:v>5</c:v>
                </c:pt>
                <c:pt idx="160">
                  <c:v>7.7</c:v>
                </c:pt>
                <c:pt idx="161">
                  <c:v>6.6</c:v>
                </c:pt>
                <c:pt idx="162">
                  <c:v>5.7</c:v>
                </c:pt>
                <c:pt idx="163">
                  <c:v>5.8</c:v>
                </c:pt>
                <c:pt idx="164">
                  <c:v>6</c:v>
                </c:pt>
                <c:pt idx="165">
                  <c:v>6.4</c:v>
                </c:pt>
                <c:pt idx="166">
                  <c:v>6.9</c:v>
                </c:pt>
                <c:pt idx="167">
                  <c:v>6.4</c:v>
                </c:pt>
                <c:pt idx="168">
                  <c:v>7.4</c:v>
                </c:pt>
                <c:pt idx="169">
                  <c:v>5.5</c:v>
                </c:pt>
                <c:pt idx="170">
                  <c:v>5.9</c:v>
                </c:pt>
                <c:pt idx="171">
                  <c:v>6.8</c:v>
                </c:pt>
                <c:pt idx="172">
                  <c:v>6.8</c:v>
                </c:pt>
                <c:pt idx="173">
                  <c:v>8.1</c:v>
                </c:pt>
                <c:pt idx="174">
                  <c:v>6.5</c:v>
                </c:pt>
                <c:pt idx="175">
                  <c:v>7.2</c:v>
                </c:pt>
                <c:pt idx="176">
                  <c:v>6.7</c:v>
                </c:pt>
                <c:pt idx="177">
                  <c:v>8.1</c:v>
                </c:pt>
                <c:pt idx="178">
                  <c:v>7.6</c:v>
                </c:pt>
                <c:pt idx="179">
                  <c:v>7.4</c:v>
                </c:pt>
                <c:pt idx="180">
                  <c:v>7.6</c:v>
                </c:pt>
                <c:pt idx="181">
                  <c:v>6.7</c:v>
                </c:pt>
                <c:pt idx="182">
                  <c:v>6.5</c:v>
                </c:pt>
                <c:pt idx="183">
                  <c:v>6.6</c:v>
                </c:pt>
                <c:pt idx="184">
                  <c:v>6.7</c:v>
                </c:pt>
                <c:pt idx="185">
                  <c:v>6.4</c:v>
                </c:pt>
                <c:pt idx="186">
                  <c:v>5.8</c:v>
                </c:pt>
                <c:pt idx="187">
                  <c:v>7.4</c:v>
                </c:pt>
                <c:pt idx="188">
                  <c:v>7.8</c:v>
                </c:pt>
                <c:pt idx="189">
                  <c:v>6.6</c:v>
                </c:pt>
                <c:pt idx="190">
                  <c:v>4.9000000000000004</c:v>
                </c:pt>
                <c:pt idx="191">
                  <c:v>6.5</c:v>
                </c:pt>
                <c:pt idx="192">
                  <c:v>6.2</c:v>
                </c:pt>
                <c:pt idx="193">
                  <c:v>7.3</c:v>
                </c:pt>
                <c:pt idx="194">
                  <c:v>7.5</c:v>
                </c:pt>
                <c:pt idx="195">
                  <c:v>5.6</c:v>
                </c:pt>
                <c:pt idx="196">
                  <c:v>8.1</c:v>
                </c:pt>
                <c:pt idx="197">
                  <c:v>6.7</c:v>
                </c:pt>
                <c:pt idx="198">
                  <c:v>6.6</c:v>
                </c:pt>
                <c:pt idx="199">
                  <c:v>6.4</c:v>
                </c:pt>
                <c:pt idx="200">
                  <c:v>7.5</c:v>
                </c:pt>
                <c:pt idx="201">
                  <c:v>7.3</c:v>
                </c:pt>
                <c:pt idx="202">
                  <c:v>7.5</c:v>
                </c:pt>
                <c:pt idx="203">
                  <c:v>5.8</c:v>
                </c:pt>
                <c:pt idx="204">
                  <c:v>7.5</c:v>
                </c:pt>
                <c:pt idx="205">
                  <c:v>6.6</c:v>
                </c:pt>
                <c:pt idx="206">
                  <c:v>6.7</c:v>
                </c:pt>
                <c:pt idx="207">
                  <c:v>3.7</c:v>
                </c:pt>
                <c:pt idx="208">
                  <c:v>6</c:v>
                </c:pt>
                <c:pt idx="209">
                  <c:v>6.4</c:v>
                </c:pt>
                <c:pt idx="210">
                  <c:v>6.1</c:v>
                </c:pt>
                <c:pt idx="211">
                  <c:v>6.4</c:v>
                </c:pt>
                <c:pt idx="212">
                  <c:v>5.6</c:v>
                </c:pt>
                <c:pt idx="213">
                  <c:v>8</c:v>
                </c:pt>
                <c:pt idx="214">
                  <c:v>5.2</c:v>
                </c:pt>
                <c:pt idx="215">
                  <c:v>7.1</c:v>
                </c:pt>
                <c:pt idx="216">
                  <c:v>4.8</c:v>
                </c:pt>
                <c:pt idx="217">
                  <c:v>7</c:v>
                </c:pt>
                <c:pt idx="218">
                  <c:v>5.4</c:v>
                </c:pt>
                <c:pt idx="219">
                  <c:v>6.6</c:v>
                </c:pt>
                <c:pt idx="220">
                  <c:v>6.7</c:v>
                </c:pt>
                <c:pt idx="221">
                  <c:v>6.2</c:v>
                </c:pt>
                <c:pt idx="222">
                  <c:v>6.1</c:v>
                </c:pt>
                <c:pt idx="223">
                  <c:v>5.3</c:v>
                </c:pt>
                <c:pt idx="224">
                  <c:v>6.3</c:v>
                </c:pt>
                <c:pt idx="225">
                  <c:v>7</c:v>
                </c:pt>
                <c:pt idx="226">
                  <c:v>7.6</c:v>
                </c:pt>
                <c:pt idx="227">
                  <c:v>6.7</c:v>
                </c:pt>
                <c:pt idx="228">
                  <c:v>8.1</c:v>
                </c:pt>
                <c:pt idx="229">
                  <c:v>6.7</c:v>
                </c:pt>
                <c:pt idx="230">
                  <c:v>6.5</c:v>
                </c:pt>
                <c:pt idx="231">
                  <c:v>7.3</c:v>
                </c:pt>
                <c:pt idx="232">
                  <c:v>6</c:v>
                </c:pt>
                <c:pt idx="233">
                  <c:v>6.1</c:v>
                </c:pt>
                <c:pt idx="234">
                  <c:v>5.9</c:v>
                </c:pt>
                <c:pt idx="235">
                  <c:v>7.8</c:v>
                </c:pt>
                <c:pt idx="236">
                  <c:v>5.8</c:v>
                </c:pt>
                <c:pt idx="237">
                  <c:v>6.3</c:v>
                </c:pt>
                <c:pt idx="238">
                  <c:v>4.3</c:v>
                </c:pt>
                <c:pt idx="239">
                  <c:v>6.4</c:v>
                </c:pt>
                <c:pt idx="240">
                  <c:v>6.1</c:v>
                </c:pt>
                <c:pt idx="241">
                  <c:v>6.5</c:v>
                </c:pt>
                <c:pt idx="242">
                  <c:v>7.1</c:v>
                </c:pt>
                <c:pt idx="243">
                  <c:v>6.4</c:v>
                </c:pt>
                <c:pt idx="244">
                  <c:v>6.5</c:v>
                </c:pt>
                <c:pt idx="245">
                  <c:v>6.3</c:v>
                </c:pt>
                <c:pt idx="246">
                  <c:v>7.5</c:v>
                </c:pt>
                <c:pt idx="247">
                  <c:v>4.9000000000000004</c:v>
                </c:pt>
                <c:pt idx="248">
                  <c:v>5.8</c:v>
                </c:pt>
                <c:pt idx="249">
                  <c:v>6.2</c:v>
                </c:pt>
                <c:pt idx="250">
                  <c:v>5.5</c:v>
                </c:pt>
                <c:pt idx="251">
                  <c:v>5.4</c:v>
                </c:pt>
                <c:pt idx="252">
                  <c:v>5.8</c:v>
                </c:pt>
                <c:pt idx="253">
                  <c:v>7.1</c:v>
                </c:pt>
                <c:pt idx="254">
                  <c:v>5.4</c:v>
                </c:pt>
                <c:pt idx="255">
                  <c:v>3.7</c:v>
                </c:pt>
                <c:pt idx="256">
                  <c:v>6.7</c:v>
                </c:pt>
                <c:pt idx="257">
                  <c:v>7.2</c:v>
                </c:pt>
                <c:pt idx="258">
                  <c:v>8.8000000000000007</c:v>
                </c:pt>
                <c:pt idx="259">
                  <c:v>5.8</c:v>
                </c:pt>
                <c:pt idx="260">
                  <c:v>6.8</c:v>
                </c:pt>
                <c:pt idx="261">
                  <c:v>3.8</c:v>
                </c:pt>
                <c:pt idx="262">
                  <c:v>7.1</c:v>
                </c:pt>
                <c:pt idx="263">
                  <c:v>7.2</c:v>
                </c:pt>
                <c:pt idx="264">
                  <c:v>5.9</c:v>
                </c:pt>
                <c:pt idx="265">
                  <c:v>7.1</c:v>
                </c:pt>
                <c:pt idx="266">
                  <c:v>8.1</c:v>
                </c:pt>
                <c:pt idx="267">
                  <c:v>6.9</c:v>
                </c:pt>
                <c:pt idx="268">
                  <c:v>4.4000000000000004</c:v>
                </c:pt>
                <c:pt idx="269">
                  <c:v>6.5</c:v>
                </c:pt>
                <c:pt idx="270">
                  <c:v>8.5</c:v>
                </c:pt>
                <c:pt idx="271">
                  <c:v>7.7</c:v>
                </c:pt>
                <c:pt idx="272">
                  <c:v>7.4</c:v>
                </c:pt>
                <c:pt idx="273">
                  <c:v>8</c:v>
                </c:pt>
                <c:pt idx="274">
                  <c:v>5.7</c:v>
                </c:pt>
                <c:pt idx="275">
                  <c:v>8.5</c:v>
                </c:pt>
                <c:pt idx="276">
                  <c:v>7</c:v>
                </c:pt>
                <c:pt idx="277">
                  <c:v>7.8</c:v>
                </c:pt>
                <c:pt idx="278">
                  <c:v>7.2</c:v>
                </c:pt>
                <c:pt idx="279">
                  <c:v>6.4</c:v>
                </c:pt>
                <c:pt idx="280">
                  <c:v>5.5</c:v>
                </c:pt>
                <c:pt idx="281">
                  <c:v>6.7</c:v>
                </c:pt>
                <c:pt idx="282">
                  <c:v>6.1</c:v>
                </c:pt>
                <c:pt idx="283">
                  <c:v>8.5</c:v>
                </c:pt>
                <c:pt idx="284">
                  <c:v>6.9</c:v>
                </c:pt>
                <c:pt idx="285">
                  <c:v>7.3</c:v>
                </c:pt>
                <c:pt idx="286">
                  <c:v>6.7</c:v>
                </c:pt>
                <c:pt idx="287">
                  <c:v>6.9</c:v>
                </c:pt>
                <c:pt idx="288">
                  <c:v>5.0999999999999996</c:v>
                </c:pt>
                <c:pt idx="289">
                  <c:v>6.8</c:v>
                </c:pt>
                <c:pt idx="290">
                  <c:v>6.7</c:v>
                </c:pt>
                <c:pt idx="291">
                  <c:v>6</c:v>
                </c:pt>
                <c:pt idx="292">
                  <c:v>5.7</c:v>
                </c:pt>
                <c:pt idx="293">
                  <c:v>8</c:v>
                </c:pt>
                <c:pt idx="294">
                  <c:v>8.1999999999999993</c:v>
                </c:pt>
                <c:pt idx="295">
                  <c:v>5.4</c:v>
                </c:pt>
                <c:pt idx="296">
                  <c:v>7.2</c:v>
                </c:pt>
                <c:pt idx="297">
                  <c:v>7.5</c:v>
                </c:pt>
                <c:pt idx="298">
                  <c:v>7</c:v>
                </c:pt>
                <c:pt idx="299">
                  <c:v>3.3</c:v>
                </c:pt>
                <c:pt idx="300">
                  <c:v>6</c:v>
                </c:pt>
                <c:pt idx="301">
                  <c:v>7.1</c:v>
                </c:pt>
                <c:pt idx="302">
                  <c:v>5.4</c:v>
                </c:pt>
                <c:pt idx="303">
                  <c:v>6.1</c:v>
                </c:pt>
                <c:pt idx="304">
                  <c:v>5.3</c:v>
                </c:pt>
                <c:pt idx="305">
                  <c:v>2.2000000000000002</c:v>
                </c:pt>
                <c:pt idx="306">
                  <c:v>7</c:v>
                </c:pt>
                <c:pt idx="307">
                  <c:v>3.8</c:v>
                </c:pt>
                <c:pt idx="308">
                  <c:v>6.9</c:v>
                </c:pt>
                <c:pt idx="309">
                  <c:v>7.2</c:v>
                </c:pt>
                <c:pt idx="310">
                  <c:v>7.3</c:v>
                </c:pt>
                <c:pt idx="311">
                  <c:v>6.3</c:v>
                </c:pt>
                <c:pt idx="312">
                  <c:v>7.5</c:v>
                </c:pt>
                <c:pt idx="313">
                  <c:v>7.6</c:v>
                </c:pt>
                <c:pt idx="314">
                  <c:v>6.8</c:v>
                </c:pt>
                <c:pt idx="315">
                  <c:v>5.2</c:v>
                </c:pt>
                <c:pt idx="316">
                  <c:v>7.7</c:v>
                </c:pt>
                <c:pt idx="317">
                  <c:v>6.2</c:v>
                </c:pt>
                <c:pt idx="318">
                  <c:v>7.7</c:v>
                </c:pt>
                <c:pt idx="319">
                  <c:v>4.3</c:v>
                </c:pt>
                <c:pt idx="320">
                  <c:v>6.9</c:v>
                </c:pt>
                <c:pt idx="321">
                  <c:v>6.6</c:v>
                </c:pt>
                <c:pt idx="322">
                  <c:v>7</c:v>
                </c:pt>
                <c:pt idx="323">
                  <c:v>6.7</c:v>
                </c:pt>
                <c:pt idx="324">
                  <c:v>8.1999999999999993</c:v>
                </c:pt>
                <c:pt idx="325">
                  <c:v>8.9</c:v>
                </c:pt>
                <c:pt idx="326">
                  <c:v>8.6999999999999993</c:v>
                </c:pt>
                <c:pt idx="327">
                  <c:v>5.5</c:v>
                </c:pt>
                <c:pt idx="328">
                  <c:v>5.7</c:v>
                </c:pt>
                <c:pt idx="329">
                  <c:v>6.3</c:v>
                </c:pt>
                <c:pt idx="330">
                  <c:v>5.9</c:v>
                </c:pt>
                <c:pt idx="331">
                  <c:v>7.6</c:v>
                </c:pt>
                <c:pt idx="332">
                  <c:v>6.6</c:v>
                </c:pt>
                <c:pt idx="333">
                  <c:v>5.3</c:v>
                </c:pt>
                <c:pt idx="334">
                  <c:v>6</c:v>
                </c:pt>
                <c:pt idx="335">
                  <c:v>8</c:v>
                </c:pt>
                <c:pt idx="336">
                  <c:v>5.6</c:v>
                </c:pt>
                <c:pt idx="337">
                  <c:v>5.9</c:v>
                </c:pt>
                <c:pt idx="338">
                  <c:v>7.3</c:v>
                </c:pt>
                <c:pt idx="339">
                  <c:v>7.9</c:v>
                </c:pt>
                <c:pt idx="340">
                  <c:v>6.8</c:v>
                </c:pt>
                <c:pt idx="341">
                  <c:v>6.6</c:v>
                </c:pt>
                <c:pt idx="342">
                  <c:v>6.6</c:v>
                </c:pt>
                <c:pt idx="343">
                  <c:v>7</c:v>
                </c:pt>
                <c:pt idx="344">
                  <c:v>7</c:v>
                </c:pt>
                <c:pt idx="345">
                  <c:v>7.3</c:v>
                </c:pt>
                <c:pt idx="346">
                  <c:v>5.5</c:v>
                </c:pt>
                <c:pt idx="347">
                  <c:v>8.5</c:v>
                </c:pt>
                <c:pt idx="348">
                  <c:v>7.5</c:v>
                </c:pt>
                <c:pt idx="349">
                  <c:v>7</c:v>
                </c:pt>
                <c:pt idx="350">
                  <c:v>7.8</c:v>
                </c:pt>
                <c:pt idx="351">
                  <c:v>7.6</c:v>
                </c:pt>
                <c:pt idx="352">
                  <c:v>7.6</c:v>
                </c:pt>
                <c:pt idx="353">
                  <c:v>6.8</c:v>
                </c:pt>
                <c:pt idx="354">
                  <c:v>5</c:v>
                </c:pt>
                <c:pt idx="355">
                  <c:v>7.1</c:v>
                </c:pt>
                <c:pt idx="356">
                  <c:v>5.5</c:v>
                </c:pt>
                <c:pt idx="357">
                  <c:v>5.6</c:v>
                </c:pt>
                <c:pt idx="358">
                  <c:v>7.1</c:v>
                </c:pt>
                <c:pt idx="359">
                  <c:v>4.9000000000000004</c:v>
                </c:pt>
                <c:pt idx="360">
                  <c:v>7.4</c:v>
                </c:pt>
                <c:pt idx="361">
                  <c:v>5.7</c:v>
                </c:pt>
                <c:pt idx="362">
                  <c:v>6.4</c:v>
                </c:pt>
                <c:pt idx="363">
                  <c:v>5.9</c:v>
                </c:pt>
                <c:pt idx="364">
                  <c:v>5.5</c:v>
                </c:pt>
                <c:pt idx="365">
                  <c:v>6.9</c:v>
                </c:pt>
                <c:pt idx="366">
                  <c:v>6.2</c:v>
                </c:pt>
                <c:pt idx="367">
                  <c:v>7</c:v>
                </c:pt>
                <c:pt idx="368">
                  <c:v>5.6</c:v>
                </c:pt>
                <c:pt idx="369">
                  <c:v>7</c:v>
                </c:pt>
                <c:pt idx="370">
                  <c:v>6.8</c:v>
                </c:pt>
                <c:pt idx="371">
                  <c:v>5.4</c:v>
                </c:pt>
                <c:pt idx="372">
                  <c:v>6.1</c:v>
                </c:pt>
                <c:pt idx="373">
                  <c:v>6.7</c:v>
                </c:pt>
                <c:pt idx="374">
                  <c:v>6.9</c:v>
                </c:pt>
                <c:pt idx="375">
                  <c:v>8</c:v>
                </c:pt>
                <c:pt idx="376">
                  <c:v>4.4000000000000004</c:v>
                </c:pt>
                <c:pt idx="377">
                  <c:v>7.3</c:v>
                </c:pt>
                <c:pt idx="378">
                  <c:v>6.3</c:v>
                </c:pt>
                <c:pt idx="379">
                  <c:v>7.7</c:v>
                </c:pt>
                <c:pt idx="380">
                  <c:v>6.5</c:v>
                </c:pt>
                <c:pt idx="381">
                  <c:v>7.8</c:v>
                </c:pt>
                <c:pt idx="382">
                  <c:v>6.4</c:v>
                </c:pt>
                <c:pt idx="383">
                  <c:v>7.8</c:v>
                </c:pt>
                <c:pt idx="384">
                  <c:v>5.8</c:v>
                </c:pt>
                <c:pt idx="385">
                  <c:v>7.1</c:v>
                </c:pt>
                <c:pt idx="386">
                  <c:v>7.1</c:v>
                </c:pt>
                <c:pt idx="387">
                  <c:v>6.8</c:v>
                </c:pt>
                <c:pt idx="388">
                  <c:v>4.8</c:v>
                </c:pt>
                <c:pt idx="389">
                  <c:v>6.2</c:v>
                </c:pt>
                <c:pt idx="390">
                  <c:v>6.9</c:v>
                </c:pt>
                <c:pt idx="391">
                  <c:v>7.3</c:v>
                </c:pt>
                <c:pt idx="392">
                  <c:v>6.6</c:v>
                </c:pt>
                <c:pt idx="393">
                  <c:v>6.9</c:v>
                </c:pt>
                <c:pt idx="394">
                  <c:v>6.2</c:v>
                </c:pt>
                <c:pt idx="395">
                  <c:v>6.7</c:v>
                </c:pt>
                <c:pt idx="396">
                  <c:v>7.6</c:v>
                </c:pt>
                <c:pt idx="397">
                  <c:v>6.7</c:v>
                </c:pt>
                <c:pt idx="398">
                  <c:v>6.2</c:v>
                </c:pt>
                <c:pt idx="399">
                  <c:v>7.3</c:v>
                </c:pt>
                <c:pt idx="400">
                  <c:v>6</c:v>
                </c:pt>
                <c:pt idx="401">
                  <c:v>7.1</c:v>
                </c:pt>
                <c:pt idx="402">
                  <c:v>7.1</c:v>
                </c:pt>
                <c:pt idx="403">
                  <c:v>5.5</c:v>
                </c:pt>
                <c:pt idx="404">
                  <c:v>5.6</c:v>
                </c:pt>
                <c:pt idx="405">
                  <c:v>7.5</c:v>
                </c:pt>
                <c:pt idx="406">
                  <c:v>5.4</c:v>
                </c:pt>
                <c:pt idx="407">
                  <c:v>4.3</c:v>
                </c:pt>
                <c:pt idx="408">
                  <c:v>4.9000000000000004</c:v>
                </c:pt>
                <c:pt idx="409">
                  <c:v>7.1</c:v>
                </c:pt>
                <c:pt idx="410">
                  <c:v>6.4</c:v>
                </c:pt>
                <c:pt idx="411">
                  <c:v>4.3</c:v>
                </c:pt>
                <c:pt idx="412">
                  <c:v>6.1</c:v>
                </c:pt>
                <c:pt idx="413">
                  <c:v>7</c:v>
                </c:pt>
                <c:pt idx="414">
                  <c:v>7.7</c:v>
                </c:pt>
                <c:pt idx="415">
                  <c:v>5.9</c:v>
                </c:pt>
                <c:pt idx="416">
                  <c:v>6.7</c:v>
                </c:pt>
                <c:pt idx="417">
                  <c:v>6.5</c:v>
                </c:pt>
                <c:pt idx="418">
                  <c:v>7.1</c:v>
                </c:pt>
                <c:pt idx="419">
                  <c:v>7.3</c:v>
                </c:pt>
                <c:pt idx="420">
                  <c:v>6.5</c:v>
                </c:pt>
                <c:pt idx="421">
                  <c:v>7</c:v>
                </c:pt>
                <c:pt idx="422">
                  <c:v>6.8</c:v>
                </c:pt>
                <c:pt idx="423">
                  <c:v>7.2</c:v>
                </c:pt>
                <c:pt idx="424">
                  <c:v>6.1</c:v>
                </c:pt>
                <c:pt idx="425">
                  <c:v>6.7</c:v>
                </c:pt>
                <c:pt idx="426">
                  <c:v>6.4</c:v>
                </c:pt>
                <c:pt idx="427">
                  <c:v>4.4000000000000004</c:v>
                </c:pt>
                <c:pt idx="428">
                  <c:v>5.4</c:v>
                </c:pt>
                <c:pt idx="429">
                  <c:v>6.5</c:v>
                </c:pt>
                <c:pt idx="430">
                  <c:v>6.7</c:v>
                </c:pt>
                <c:pt idx="431">
                  <c:v>8.1</c:v>
                </c:pt>
                <c:pt idx="432">
                  <c:v>5.6</c:v>
                </c:pt>
                <c:pt idx="433">
                  <c:v>6.3</c:v>
                </c:pt>
                <c:pt idx="434">
                  <c:v>7.3</c:v>
                </c:pt>
                <c:pt idx="435">
                  <c:v>6.1</c:v>
                </c:pt>
                <c:pt idx="436">
                  <c:v>7.7</c:v>
                </c:pt>
                <c:pt idx="437">
                  <c:v>6.4</c:v>
                </c:pt>
                <c:pt idx="438">
                  <c:v>6.8</c:v>
                </c:pt>
                <c:pt idx="439">
                  <c:v>6.6</c:v>
                </c:pt>
                <c:pt idx="440">
                  <c:v>7.2</c:v>
                </c:pt>
                <c:pt idx="441">
                  <c:v>6.9</c:v>
                </c:pt>
                <c:pt idx="442">
                  <c:v>5.2</c:v>
                </c:pt>
                <c:pt idx="443">
                  <c:v>4.9000000000000004</c:v>
                </c:pt>
                <c:pt idx="444">
                  <c:v>6.3</c:v>
                </c:pt>
                <c:pt idx="445">
                  <c:v>5.6</c:v>
                </c:pt>
                <c:pt idx="446">
                  <c:v>5.5</c:v>
                </c:pt>
                <c:pt idx="447">
                  <c:v>6.7</c:v>
                </c:pt>
                <c:pt idx="448">
                  <c:v>7.6</c:v>
                </c:pt>
                <c:pt idx="449">
                  <c:v>5.7</c:v>
                </c:pt>
                <c:pt idx="450">
                  <c:v>4.5999999999999996</c:v>
                </c:pt>
                <c:pt idx="451">
                  <c:v>7</c:v>
                </c:pt>
                <c:pt idx="452">
                  <c:v>5.2</c:v>
                </c:pt>
                <c:pt idx="453">
                  <c:v>5.0999999999999996</c:v>
                </c:pt>
                <c:pt idx="454">
                  <c:v>6.6</c:v>
                </c:pt>
                <c:pt idx="455">
                  <c:v>6.7</c:v>
                </c:pt>
                <c:pt idx="456">
                  <c:v>7.3</c:v>
                </c:pt>
                <c:pt idx="457">
                  <c:v>5.9</c:v>
                </c:pt>
                <c:pt idx="458">
                  <c:v>5.6</c:v>
                </c:pt>
                <c:pt idx="459">
                  <c:v>6.5</c:v>
                </c:pt>
                <c:pt idx="460">
                  <c:v>5.9</c:v>
                </c:pt>
                <c:pt idx="461">
                  <c:v>7</c:v>
                </c:pt>
                <c:pt idx="462">
                  <c:v>5.3</c:v>
                </c:pt>
                <c:pt idx="463">
                  <c:v>5.9</c:v>
                </c:pt>
                <c:pt idx="464">
                  <c:v>6.3</c:v>
                </c:pt>
                <c:pt idx="465">
                  <c:v>6.3</c:v>
                </c:pt>
                <c:pt idx="466">
                  <c:v>7.3</c:v>
                </c:pt>
                <c:pt idx="467">
                  <c:v>5.8</c:v>
                </c:pt>
                <c:pt idx="468">
                  <c:v>5.2</c:v>
                </c:pt>
                <c:pt idx="469">
                  <c:v>2.4</c:v>
                </c:pt>
                <c:pt idx="470">
                  <c:v>5.7</c:v>
                </c:pt>
                <c:pt idx="471">
                  <c:v>5.8</c:v>
                </c:pt>
                <c:pt idx="472">
                  <c:v>5.6</c:v>
                </c:pt>
                <c:pt idx="473">
                  <c:v>6</c:v>
                </c:pt>
                <c:pt idx="474">
                  <c:v>5.8</c:v>
                </c:pt>
                <c:pt idx="475">
                  <c:v>6</c:v>
                </c:pt>
                <c:pt idx="476">
                  <c:v>5.7</c:v>
                </c:pt>
                <c:pt idx="477">
                  <c:v>6</c:v>
                </c:pt>
                <c:pt idx="478">
                  <c:v>7.8</c:v>
                </c:pt>
                <c:pt idx="479">
                  <c:v>4.2</c:v>
                </c:pt>
                <c:pt idx="480">
                  <c:v>5.6</c:v>
                </c:pt>
                <c:pt idx="481">
                  <c:v>8.1999999999999993</c:v>
                </c:pt>
                <c:pt idx="482">
                  <c:v>8.5</c:v>
                </c:pt>
                <c:pt idx="483">
                  <c:v>5.8</c:v>
                </c:pt>
                <c:pt idx="484">
                  <c:v>6.5</c:v>
                </c:pt>
                <c:pt idx="485">
                  <c:v>7.2</c:v>
                </c:pt>
                <c:pt idx="486">
                  <c:v>6.7</c:v>
                </c:pt>
                <c:pt idx="487">
                  <c:v>3.4</c:v>
                </c:pt>
                <c:pt idx="488">
                  <c:v>5.9</c:v>
                </c:pt>
                <c:pt idx="489">
                  <c:v>7.8</c:v>
                </c:pt>
                <c:pt idx="490">
                  <c:v>5.9</c:v>
                </c:pt>
                <c:pt idx="491">
                  <c:v>4.0999999999999996</c:v>
                </c:pt>
                <c:pt idx="492">
                  <c:v>6.8</c:v>
                </c:pt>
                <c:pt idx="493">
                  <c:v>5.8</c:v>
                </c:pt>
                <c:pt idx="494">
                  <c:v>7.5</c:v>
                </c:pt>
                <c:pt idx="495">
                  <c:v>6.9</c:v>
                </c:pt>
                <c:pt idx="496">
                  <c:v>6.5</c:v>
                </c:pt>
                <c:pt idx="497">
                  <c:v>6.9</c:v>
                </c:pt>
                <c:pt idx="498">
                  <c:v>7.9</c:v>
                </c:pt>
                <c:pt idx="499">
                  <c:v>7.4</c:v>
                </c:pt>
                <c:pt idx="500">
                  <c:v>6.7</c:v>
                </c:pt>
                <c:pt idx="501">
                  <c:v>7.4</c:v>
                </c:pt>
                <c:pt idx="502">
                  <c:v>6.9</c:v>
                </c:pt>
                <c:pt idx="503">
                  <c:v>6.8</c:v>
                </c:pt>
                <c:pt idx="504">
                  <c:v>6.7</c:v>
                </c:pt>
                <c:pt idx="505">
                  <c:v>5.0999999999999996</c:v>
                </c:pt>
                <c:pt idx="506">
                  <c:v>4.0999999999999996</c:v>
                </c:pt>
                <c:pt idx="507">
                  <c:v>7.3</c:v>
                </c:pt>
                <c:pt idx="508">
                  <c:v>6</c:v>
                </c:pt>
                <c:pt idx="509">
                  <c:v>7.3</c:v>
                </c:pt>
                <c:pt idx="510">
                  <c:v>5.4</c:v>
                </c:pt>
                <c:pt idx="511">
                  <c:v>5.9</c:v>
                </c:pt>
                <c:pt idx="512">
                  <c:v>7.1</c:v>
                </c:pt>
                <c:pt idx="513">
                  <c:v>6</c:v>
                </c:pt>
                <c:pt idx="514">
                  <c:v>6.5</c:v>
                </c:pt>
                <c:pt idx="515">
                  <c:v>5.7</c:v>
                </c:pt>
                <c:pt idx="516">
                  <c:v>7.6</c:v>
                </c:pt>
                <c:pt idx="517">
                  <c:v>6.6</c:v>
                </c:pt>
                <c:pt idx="518">
                  <c:v>5.4</c:v>
                </c:pt>
                <c:pt idx="519">
                  <c:v>7.3</c:v>
                </c:pt>
                <c:pt idx="520">
                  <c:v>6.5</c:v>
                </c:pt>
                <c:pt idx="521">
                  <c:v>6.6</c:v>
                </c:pt>
                <c:pt idx="522">
                  <c:v>6.6</c:v>
                </c:pt>
                <c:pt idx="523">
                  <c:v>5.9</c:v>
                </c:pt>
                <c:pt idx="524">
                  <c:v>6.7</c:v>
                </c:pt>
                <c:pt idx="525">
                  <c:v>6.1</c:v>
                </c:pt>
                <c:pt idx="526">
                  <c:v>6.6</c:v>
                </c:pt>
                <c:pt idx="527">
                  <c:v>6.6</c:v>
                </c:pt>
                <c:pt idx="528">
                  <c:v>5.3</c:v>
                </c:pt>
                <c:pt idx="529">
                  <c:v>6</c:v>
                </c:pt>
                <c:pt idx="530">
                  <c:v>4.7</c:v>
                </c:pt>
                <c:pt idx="531">
                  <c:v>6.1</c:v>
                </c:pt>
                <c:pt idx="532">
                  <c:v>7.2</c:v>
                </c:pt>
                <c:pt idx="533">
                  <c:v>6.4</c:v>
                </c:pt>
                <c:pt idx="534">
                  <c:v>6.1</c:v>
                </c:pt>
                <c:pt idx="535">
                  <c:v>5.9</c:v>
                </c:pt>
                <c:pt idx="536">
                  <c:v>6</c:v>
                </c:pt>
                <c:pt idx="537">
                  <c:v>6.3</c:v>
                </c:pt>
                <c:pt idx="538">
                  <c:v>5.6</c:v>
                </c:pt>
                <c:pt idx="539">
                  <c:v>6.4</c:v>
                </c:pt>
                <c:pt idx="540">
                  <c:v>7.1</c:v>
                </c:pt>
                <c:pt idx="541">
                  <c:v>6.6</c:v>
                </c:pt>
                <c:pt idx="542">
                  <c:v>4.5999999999999996</c:v>
                </c:pt>
                <c:pt idx="543">
                  <c:v>8.4</c:v>
                </c:pt>
                <c:pt idx="544">
                  <c:v>7.1</c:v>
                </c:pt>
                <c:pt idx="545">
                  <c:v>7.4</c:v>
                </c:pt>
                <c:pt idx="546">
                  <c:v>6.9</c:v>
                </c:pt>
                <c:pt idx="547">
                  <c:v>4.5</c:v>
                </c:pt>
                <c:pt idx="548">
                  <c:v>7.1</c:v>
                </c:pt>
                <c:pt idx="549">
                  <c:v>6.5</c:v>
                </c:pt>
                <c:pt idx="550">
                  <c:v>5.3</c:v>
                </c:pt>
                <c:pt idx="551">
                  <c:v>6.7</c:v>
                </c:pt>
                <c:pt idx="552">
                  <c:v>7.2</c:v>
                </c:pt>
                <c:pt idx="553">
                  <c:v>7.2</c:v>
                </c:pt>
                <c:pt idx="554">
                  <c:v>5.5</c:v>
                </c:pt>
                <c:pt idx="555">
                  <c:v>5.8</c:v>
                </c:pt>
                <c:pt idx="556">
                  <c:v>6</c:v>
                </c:pt>
                <c:pt idx="557">
                  <c:v>6.6</c:v>
                </c:pt>
                <c:pt idx="558">
                  <c:v>8.3000000000000007</c:v>
                </c:pt>
                <c:pt idx="559">
                  <c:v>6.7</c:v>
                </c:pt>
                <c:pt idx="560">
                  <c:v>7.1</c:v>
                </c:pt>
                <c:pt idx="561">
                  <c:v>6</c:v>
                </c:pt>
                <c:pt idx="562">
                  <c:v>6.9</c:v>
                </c:pt>
                <c:pt idx="563">
                  <c:v>5.6</c:v>
                </c:pt>
                <c:pt idx="564">
                  <c:v>5.6</c:v>
                </c:pt>
                <c:pt idx="565">
                  <c:v>4.5</c:v>
                </c:pt>
                <c:pt idx="566">
                  <c:v>7.1</c:v>
                </c:pt>
                <c:pt idx="567">
                  <c:v>6.5</c:v>
                </c:pt>
                <c:pt idx="568">
                  <c:v>6.4</c:v>
                </c:pt>
                <c:pt idx="569">
                  <c:v>5.8</c:v>
                </c:pt>
                <c:pt idx="570">
                  <c:v>8</c:v>
                </c:pt>
                <c:pt idx="571">
                  <c:v>6.2</c:v>
                </c:pt>
                <c:pt idx="572">
                  <c:v>7.2</c:v>
                </c:pt>
                <c:pt idx="573">
                  <c:v>6.1</c:v>
                </c:pt>
                <c:pt idx="574">
                  <c:v>7.6</c:v>
                </c:pt>
                <c:pt idx="575">
                  <c:v>6.3</c:v>
                </c:pt>
                <c:pt idx="576">
                  <c:v>6.3</c:v>
                </c:pt>
                <c:pt idx="577">
                  <c:v>6.3</c:v>
                </c:pt>
                <c:pt idx="578">
                  <c:v>7.7</c:v>
                </c:pt>
                <c:pt idx="579">
                  <c:v>7</c:v>
                </c:pt>
                <c:pt idx="580">
                  <c:v>5.3</c:v>
                </c:pt>
                <c:pt idx="581">
                  <c:v>5.6</c:v>
                </c:pt>
                <c:pt idx="582">
                  <c:v>5.2</c:v>
                </c:pt>
                <c:pt idx="583">
                  <c:v>5.4</c:v>
                </c:pt>
                <c:pt idx="584">
                  <c:v>6.4</c:v>
                </c:pt>
                <c:pt idx="585">
                  <c:v>5.9</c:v>
                </c:pt>
                <c:pt idx="586">
                  <c:v>6.3</c:v>
                </c:pt>
                <c:pt idx="587">
                  <c:v>6.5</c:v>
                </c:pt>
                <c:pt idx="588">
                  <c:v>3</c:v>
                </c:pt>
                <c:pt idx="589">
                  <c:v>3.6</c:v>
                </c:pt>
                <c:pt idx="590">
                  <c:v>5.8</c:v>
                </c:pt>
                <c:pt idx="591">
                  <c:v>6.2</c:v>
                </c:pt>
                <c:pt idx="592">
                  <c:v>5.6</c:v>
                </c:pt>
                <c:pt idx="593">
                  <c:v>5.4</c:v>
                </c:pt>
                <c:pt idx="594">
                  <c:v>6.1</c:v>
                </c:pt>
                <c:pt idx="595">
                  <c:v>4.2</c:v>
                </c:pt>
                <c:pt idx="596">
                  <c:v>6.7</c:v>
                </c:pt>
                <c:pt idx="597">
                  <c:v>4.2</c:v>
                </c:pt>
                <c:pt idx="598">
                  <c:v>6.4</c:v>
                </c:pt>
                <c:pt idx="599">
                  <c:v>4.9000000000000004</c:v>
                </c:pt>
                <c:pt idx="600">
                  <c:v>6.8</c:v>
                </c:pt>
                <c:pt idx="601">
                  <c:v>7.7</c:v>
                </c:pt>
                <c:pt idx="602">
                  <c:v>5.6</c:v>
                </c:pt>
                <c:pt idx="603">
                  <c:v>6.4</c:v>
                </c:pt>
                <c:pt idx="604">
                  <c:v>7.2</c:v>
                </c:pt>
                <c:pt idx="605">
                  <c:v>6</c:v>
                </c:pt>
                <c:pt idx="606">
                  <c:v>5.9</c:v>
                </c:pt>
                <c:pt idx="607">
                  <c:v>7.9</c:v>
                </c:pt>
                <c:pt idx="608">
                  <c:v>7.1</c:v>
                </c:pt>
                <c:pt idx="609">
                  <c:v>5.9</c:v>
                </c:pt>
                <c:pt idx="610">
                  <c:v>6.2</c:v>
                </c:pt>
                <c:pt idx="611">
                  <c:v>7</c:v>
                </c:pt>
                <c:pt idx="612">
                  <c:v>5.4</c:v>
                </c:pt>
                <c:pt idx="613">
                  <c:v>8.6</c:v>
                </c:pt>
                <c:pt idx="614">
                  <c:v>6.5</c:v>
                </c:pt>
                <c:pt idx="615">
                  <c:v>6.4</c:v>
                </c:pt>
                <c:pt idx="616">
                  <c:v>7.6</c:v>
                </c:pt>
                <c:pt idx="617">
                  <c:v>5.5</c:v>
                </c:pt>
                <c:pt idx="618">
                  <c:v>7.4</c:v>
                </c:pt>
                <c:pt idx="619">
                  <c:v>8.6999999999999993</c:v>
                </c:pt>
                <c:pt idx="620">
                  <c:v>7.6</c:v>
                </c:pt>
                <c:pt idx="621">
                  <c:v>5.5</c:v>
                </c:pt>
                <c:pt idx="622">
                  <c:v>7.6</c:v>
                </c:pt>
                <c:pt idx="623">
                  <c:v>6.5</c:v>
                </c:pt>
                <c:pt idx="624">
                  <c:v>6.9</c:v>
                </c:pt>
                <c:pt idx="625">
                  <c:v>6.7</c:v>
                </c:pt>
                <c:pt idx="626">
                  <c:v>6.6</c:v>
                </c:pt>
                <c:pt idx="627">
                  <c:v>7.2</c:v>
                </c:pt>
                <c:pt idx="628">
                  <c:v>6.4</c:v>
                </c:pt>
                <c:pt idx="629">
                  <c:v>6.4</c:v>
                </c:pt>
                <c:pt idx="630">
                  <c:v>6</c:v>
                </c:pt>
                <c:pt idx="631">
                  <c:v>6.1</c:v>
                </c:pt>
                <c:pt idx="632">
                  <c:v>6</c:v>
                </c:pt>
                <c:pt idx="633">
                  <c:v>6.4</c:v>
                </c:pt>
                <c:pt idx="634">
                  <c:v>6.4</c:v>
                </c:pt>
                <c:pt idx="635">
                  <c:v>7.3</c:v>
                </c:pt>
                <c:pt idx="636">
                  <c:v>5.2</c:v>
                </c:pt>
                <c:pt idx="637">
                  <c:v>6.6</c:v>
                </c:pt>
                <c:pt idx="638">
                  <c:v>6.3</c:v>
                </c:pt>
                <c:pt idx="639">
                  <c:v>5.9</c:v>
                </c:pt>
                <c:pt idx="640">
                  <c:v>6.7</c:v>
                </c:pt>
                <c:pt idx="641">
                  <c:v>5.4</c:v>
                </c:pt>
                <c:pt idx="642">
                  <c:v>6.4</c:v>
                </c:pt>
                <c:pt idx="643">
                  <c:v>6.7</c:v>
                </c:pt>
                <c:pt idx="644">
                  <c:v>6.2</c:v>
                </c:pt>
                <c:pt idx="645">
                  <c:v>6.1</c:v>
                </c:pt>
                <c:pt idx="646">
                  <c:v>8.8000000000000007</c:v>
                </c:pt>
                <c:pt idx="647">
                  <c:v>7.1</c:v>
                </c:pt>
                <c:pt idx="648">
                  <c:v>5.7</c:v>
                </c:pt>
                <c:pt idx="649">
                  <c:v>5</c:v>
                </c:pt>
                <c:pt idx="650">
                  <c:v>5.0999999999999996</c:v>
                </c:pt>
                <c:pt idx="651">
                  <c:v>6.9</c:v>
                </c:pt>
                <c:pt idx="652">
                  <c:v>4.8</c:v>
                </c:pt>
                <c:pt idx="653">
                  <c:v>6.5</c:v>
                </c:pt>
                <c:pt idx="654">
                  <c:v>5.0999999999999996</c:v>
                </c:pt>
                <c:pt idx="655">
                  <c:v>7.1</c:v>
                </c:pt>
                <c:pt idx="656">
                  <c:v>7.5</c:v>
                </c:pt>
                <c:pt idx="657">
                  <c:v>6.2</c:v>
                </c:pt>
                <c:pt idx="658">
                  <c:v>6.3</c:v>
                </c:pt>
                <c:pt idx="659">
                  <c:v>8.1</c:v>
                </c:pt>
                <c:pt idx="660">
                  <c:v>6.6</c:v>
                </c:pt>
                <c:pt idx="661">
                  <c:v>6.9</c:v>
                </c:pt>
                <c:pt idx="662">
                  <c:v>6.1</c:v>
                </c:pt>
                <c:pt idx="663">
                  <c:v>4.3</c:v>
                </c:pt>
                <c:pt idx="664">
                  <c:v>6.6</c:v>
                </c:pt>
                <c:pt idx="665">
                  <c:v>6.8</c:v>
                </c:pt>
                <c:pt idx="666">
                  <c:v>3.8</c:v>
                </c:pt>
                <c:pt idx="667">
                  <c:v>5.9</c:v>
                </c:pt>
                <c:pt idx="668">
                  <c:v>7.9</c:v>
                </c:pt>
                <c:pt idx="669">
                  <c:v>6.3</c:v>
                </c:pt>
                <c:pt idx="670">
                  <c:v>5.5</c:v>
                </c:pt>
                <c:pt idx="671">
                  <c:v>7.7</c:v>
                </c:pt>
                <c:pt idx="672">
                  <c:v>6.3</c:v>
                </c:pt>
                <c:pt idx="673">
                  <c:v>7.1</c:v>
                </c:pt>
                <c:pt idx="674">
                  <c:v>8.5</c:v>
                </c:pt>
                <c:pt idx="675">
                  <c:v>5.8</c:v>
                </c:pt>
                <c:pt idx="676">
                  <c:v>8.1</c:v>
                </c:pt>
                <c:pt idx="677">
                  <c:v>7.9</c:v>
                </c:pt>
                <c:pt idx="678">
                  <c:v>7.2</c:v>
                </c:pt>
                <c:pt idx="679">
                  <c:v>6.3</c:v>
                </c:pt>
                <c:pt idx="680">
                  <c:v>8.1</c:v>
                </c:pt>
                <c:pt idx="681">
                  <c:v>7</c:v>
                </c:pt>
                <c:pt idx="682">
                  <c:v>5.5</c:v>
                </c:pt>
                <c:pt idx="683">
                  <c:v>6.7</c:v>
                </c:pt>
                <c:pt idx="684">
                  <c:v>5.2</c:v>
                </c:pt>
                <c:pt idx="685">
                  <c:v>7</c:v>
                </c:pt>
                <c:pt idx="686">
                  <c:v>6.1</c:v>
                </c:pt>
                <c:pt idx="687">
                  <c:v>6.6</c:v>
                </c:pt>
                <c:pt idx="688">
                  <c:v>5.5</c:v>
                </c:pt>
                <c:pt idx="689">
                  <c:v>5.9</c:v>
                </c:pt>
                <c:pt idx="690">
                  <c:v>5.4</c:v>
                </c:pt>
                <c:pt idx="691">
                  <c:v>6.4</c:v>
                </c:pt>
                <c:pt idx="692">
                  <c:v>5.7</c:v>
                </c:pt>
                <c:pt idx="693">
                  <c:v>6.7</c:v>
                </c:pt>
                <c:pt idx="694">
                  <c:v>7.1</c:v>
                </c:pt>
                <c:pt idx="695">
                  <c:v>6.8</c:v>
                </c:pt>
                <c:pt idx="696">
                  <c:v>6.5</c:v>
                </c:pt>
                <c:pt idx="697">
                  <c:v>7.6</c:v>
                </c:pt>
                <c:pt idx="698">
                  <c:v>5.5</c:v>
                </c:pt>
                <c:pt idx="699">
                  <c:v>6.5</c:v>
                </c:pt>
                <c:pt idx="700">
                  <c:v>7</c:v>
                </c:pt>
                <c:pt idx="701">
                  <c:v>5.8</c:v>
                </c:pt>
                <c:pt idx="702">
                  <c:v>7.3</c:v>
                </c:pt>
                <c:pt idx="703">
                  <c:v>6.6</c:v>
                </c:pt>
                <c:pt idx="704">
                  <c:v>4.4000000000000004</c:v>
                </c:pt>
                <c:pt idx="705">
                  <c:v>7.7</c:v>
                </c:pt>
                <c:pt idx="706">
                  <c:v>5</c:v>
                </c:pt>
                <c:pt idx="707">
                  <c:v>7.7</c:v>
                </c:pt>
                <c:pt idx="708">
                  <c:v>4.4000000000000004</c:v>
                </c:pt>
                <c:pt idx="709">
                  <c:v>6.1</c:v>
                </c:pt>
                <c:pt idx="710">
                  <c:v>5.4</c:v>
                </c:pt>
                <c:pt idx="711">
                  <c:v>6.8</c:v>
                </c:pt>
                <c:pt idx="712">
                  <c:v>6.5</c:v>
                </c:pt>
                <c:pt idx="713">
                  <c:v>7</c:v>
                </c:pt>
                <c:pt idx="714">
                  <c:v>6.3</c:v>
                </c:pt>
                <c:pt idx="715">
                  <c:v>6.3</c:v>
                </c:pt>
                <c:pt idx="716">
                  <c:v>6.1</c:v>
                </c:pt>
                <c:pt idx="717">
                  <c:v>6.1</c:v>
                </c:pt>
                <c:pt idx="718">
                  <c:v>5.3</c:v>
                </c:pt>
                <c:pt idx="719">
                  <c:v>5.4</c:v>
                </c:pt>
                <c:pt idx="720">
                  <c:v>6.2</c:v>
                </c:pt>
                <c:pt idx="721">
                  <c:v>6.6</c:v>
                </c:pt>
                <c:pt idx="722">
                  <c:v>5.9</c:v>
                </c:pt>
                <c:pt idx="723">
                  <c:v>6.3</c:v>
                </c:pt>
                <c:pt idx="724">
                  <c:v>7.2</c:v>
                </c:pt>
                <c:pt idx="725">
                  <c:v>6.8</c:v>
                </c:pt>
                <c:pt idx="726">
                  <c:v>6.1</c:v>
                </c:pt>
                <c:pt idx="727">
                  <c:v>7.8</c:v>
                </c:pt>
                <c:pt idx="728">
                  <c:v>5</c:v>
                </c:pt>
                <c:pt idx="729">
                  <c:v>6.2</c:v>
                </c:pt>
                <c:pt idx="730">
                  <c:v>6.7</c:v>
                </c:pt>
                <c:pt idx="731">
                  <c:v>4.9000000000000004</c:v>
                </c:pt>
                <c:pt idx="732">
                  <c:v>7.4</c:v>
                </c:pt>
                <c:pt idx="733">
                  <c:v>6.2</c:v>
                </c:pt>
                <c:pt idx="734">
                  <c:v>4.9000000000000004</c:v>
                </c:pt>
                <c:pt idx="735">
                  <c:v>6.1</c:v>
                </c:pt>
                <c:pt idx="736">
                  <c:v>6.1</c:v>
                </c:pt>
                <c:pt idx="737">
                  <c:v>6.4</c:v>
                </c:pt>
                <c:pt idx="738">
                  <c:v>6.3</c:v>
                </c:pt>
                <c:pt idx="739">
                  <c:v>6.6</c:v>
                </c:pt>
                <c:pt idx="740">
                  <c:v>5.7</c:v>
                </c:pt>
                <c:pt idx="741">
                  <c:v>5.9</c:v>
                </c:pt>
                <c:pt idx="742">
                  <c:v>6</c:v>
                </c:pt>
                <c:pt idx="743">
                  <c:v>6.1</c:v>
                </c:pt>
                <c:pt idx="744">
                  <c:v>6.7</c:v>
                </c:pt>
                <c:pt idx="745">
                  <c:v>6.7</c:v>
                </c:pt>
                <c:pt idx="746">
                  <c:v>7.9</c:v>
                </c:pt>
                <c:pt idx="747">
                  <c:v>4.3</c:v>
                </c:pt>
                <c:pt idx="748">
                  <c:v>5.7</c:v>
                </c:pt>
                <c:pt idx="749">
                  <c:v>6.7</c:v>
                </c:pt>
                <c:pt idx="750">
                  <c:v>6.7</c:v>
                </c:pt>
                <c:pt idx="751">
                  <c:v>6.1</c:v>
                </c:pt>
                <c:pt idx="752">
                  <c:v>5.6</c:v>
                </c:pt>
                <c:pt idx="753">
                  <c:v>6.6</c:v>
                </c:pt>
                <c:pt idx="754">
                  <c:v>6.9</c:v>
                </c:pt>
                <c:pt idx="755">
                  <c:v>4.8</c:v>
                </c:pt>
                <c:pt idx="756">
                  <c:v>6.2</c:v>
                </c:pt>
                <c:pt idx="757">
                  <c:v>6</c:v>
                </c:pt>
                <c:pt idx="758">
                  <c:v>4.9000000000000004</c:v>
                </c:pt>
                <c:pt idx="759">
                  <c:v>5.6</c:v>
                </c:pt>
                <c:pt idx="760">
                  <c:v>6.1</c:v>
                </c:pt>
                <c:pt idx="761">
                  <c:v>6.1</c:v>
                </c:pt>
                <c:pt idx="762">
                  <c:v>4.8</c:v>
                </c:pt>
                <c:pt idx="763">
                  <c:v>5.5</c:v>
                </c:pt>
                <c:pt idx="764">
                  <c:v>3.8</c:v>
                </c:pt>
                <c:pt idx="765">
                  <c:v>6.5</c:v>
                </c:pt>
                <c:pt idx="766">
                  <c:v>6.7</c:v>
                </c:pt>
                <c:pt idx="767">
                  <c:v>8.1</c:v>
                </c:pt>
                <c:pt idx="768">
                  <c:v>4.9000000000000004</c:v>
                </c:pt>
                <c:pt idx="769">
                  <c:v>7.3</c:v>
                </c:pt>
                <c:pt idx="770">
                  <c:v>6.4</c:v>
                </c:pt>
                <c:pt idx="771">
                  <c:v>6.7</c:v>
                </c:pt>
                <c:pt idx="772">
                  <c:v>3.6</c:v>
                </c:pt>
                <c:pt idx="773">
                  <c:v>5.7</c:v>
                </c:pt>
                <c:pt idx="774">
                  <c:v>6</c:v>
                </c:pt>
                <c:pt idx="775">
                  <c:v>4.7</c:v>
                </c:pt>
                <c:pt idx="776">
                  <c:v>6.3</c:v>
                </c:pt>
                <c:pt idx="777">
                  <c:v>5.9</c:v>
                </c:pt>
                <c:pt idx="778">
                  <c:v>5.9</c:v>
                </c:pt>
                <c:pt idx="779">
                  <c:v>7.5</c:v>
                </c:pt>
                <c:pt idx="780">
                  <c:v>5.6</c:v>
                </c:pt>
                <c:pt idx="781">
                  <c:v>6.4</c:v>
                </c:pt>
                <c:pt idx="782">
                  <c:v>6.3</c:v>
                </c:pt>
                <c:pt idx="783">
                  <c:v>4.3</c:v>
                </c:pt>
                <c:pt idx="784">
                  <c:v>5.9</c:v>
                </c:pt>
                <c:pt idx="785">
                  <c:v>5.5</c:v>
                </c:pt>
                <c:pt idx="786">
                  <c:v>6.2</c:v>
                </c:pt>
                <c:pt idx="787">
                  <c:v>8.8000000000000007</c:v>
                </c:pt>
                <c:pt idx="788">
                  <c:v>5.2</c:v>
                </c:pt>
                <c:pt idx="789">
                  <c:v>7</c:v>
                </c:pt>
                <c:pt idx="790">
                  <c:v>6.6</c:v>
                </c:pt>
                <c:pt idx="791">
                  <c:v>7.3</c:v>
                </c:pt>
                <c:pt idx="792">
                  <c:v>5.6</c:v>
                </c:pt>
                <c:pt idx="793">
                  <c:v>6.6</c:v>
                </c:pt>
                <c:pt idx="794">
                  <c:v>5.4</c:v>
                </c:pt>
                <c:pt idx="795">
                  <c:v>6.3</c:v>
                </c:pt>
                <c:pt idx="796">
                  <c:v>7.9</c:v>
                </c:pt>
                <c:pt idx="797">
                  <c:v>6.3</c:v>
                </c:pt>
                <c:pt idx="798">
                  <c:v>6</c:v>
                </c:pt>
                <c:pt idx="799">
                  <c:v>7.2</c:v>
                </c:pt>
                <c:pt idx="800">
                  <c:v>5.0999999999999996</c:v>
                </c:pt>
                <c:pt idx="801">
                  <c:v>7.3</c:v>
                </c:pt>
                <c:pt idx="802">
                  <c:v>8</c:v>
                </c:pt>
                <c:pt idx="803">
                  <c:v>6.2</c:v>
                </c:pt>
                <c:pt idx="804">
                  <c:v>6</c:v>
                </c:pt>
                <c:pt idx="805">
                  <c:v>6.7</c:v>
                </c:pt>
                <c:pt idx="806">
                  <c:v>8.1</c:v>
                </c:pt>
                <c:pt idx="807">
                  <c:v>6.4</c:v>
                </c:pt>
                <c:pt idx="808">
                  <c:v>8</c:v>
                </c:pt>
                <c:pt idx="809">
                  <c:v>6.3</c:v>
                </c:pt>
                <c:pt idx="810">
                  <c:v>6.4</c:v>
                </c:pt>
                <c:pt idx="811">
                  <c:v>6.6</c:v>
                </c:pt>
                <c:pt idx="812">
                  <c:v>6.4</c:v>
                </c:pt>
                <c:pt idx="813">
                  <c:v>6</c:v>
                </c:pt>
                <c:pt idx="814">
                  <c:v>6.6</c:v>
                </c:pt>
                <c:pt idx="815">
                  <c:v>5.9</c:v>
                </c:pt>
                <c:pt idx="816">
                  <c:v>6.4</c:v>
                </c:pt>
                <c:pt idx="817">
                  <c:v>6.3</c:v>
                </c:pt>
                <c:pt idx="818">
                  <c:v>7.3</c:v>
                </c:pt>
                <c:pt idx="819">
                  <c:v>6.8</c:v>
                </c:pt>
                <c:pt idx="820">
                  <c:v>7.2</c:v>
                </c:pt>
                <c:pt idx="821">
                  <c:v>5.7</c:v>
                </c:pt>
                <c:pt idx="822">
                  <c:v>6</c:v>
                </c:pt>
                <c:pt idx="823">
                  <c:v>6.5</c:v>
                </c:pt>
                <c:pt idx="824">
                  <c:v>5.8</c:v>
                </c:pt>
                <c:pt idx="825">
                  <c:v>5.8</c:v>
                </c:pt>
                <c:pt idx="826">
                  <c:v>6.7</c:v>
                </c:pt>
                <c:pt idx="827">
                  <c:v>7.8</c:v>
                </c:pt>
                <c:pt idx="828">
                  <c:v>5.6</c:v>
                </c:pt>
                <c:pt idx="829">
                  <c:v>5.8</c:v>
                </c:pt>
                <c:pt idx="830">
                  <c:v>7.4</c:v>
                </c:pt>
                <c:pt idx="831">
                  <c:v>6.9</c:v>
                </c:pt>
                <c:pt idx="832">
                  <c:v>5.5</c:v>
                </c:pt>
                <c:pt idx="833">
                  <c:v>6.3</c:v>
                </c:pt>
                <c:pt idx="834">
                  <c:v>4.7</c:v>
                </c:pt>
                <c:pt idx="835">
                  <c:v>5.6</c:v>
                </c:pt>
                <c:pt idx="836">
                  <c:v>6.4</c:v>
                </c:pt>
                <c:pt idx="837">
                  <c:v>4.2</c:v>
                </c:pt>
                <c:pt idx="838">
                  <c:v>6.4</c:v>
                </c:pt>
                <c:pt idx="839">
                  <c:v>7.7</c:v>
                </c:pt>
                <c:pt idx="840">
                  <c:v>6.7</c:v>
                </c:pt>
                <c:pt idx="841">
                  <c:v>7.7</c:v>
                </c:pt>
                <c:pt idx="842">
                  <c:v>5.7</c:v>
                </c:pt>
                <c:pt idx="843">
                  <c:v>7.6</c:v>
                </c:pt>
                <c:pt idx="844">
                  <c:v>6.4</c:v>
                </c:pt>
                <c:pt idx="845">
                  <c:v>5.6</c:v>
                </c:pt>
                <c:pt idx="846">
                  <c:v>6.8</c:v>
                </c:pt>
                <c:pt idx="847">
                  <c:v>2.4</c:v>
                </c:pt>
                <c:pt idx="848">
                  <c:v>6.2</c:v>
                </c:pt>
                <c:pt idx="849">
                  <c:v>5.9</c:v>
                </c:pt>
                <c:pt idx="850">
                  <c:v>7.1</c:v>
                </c:pt>
                <c:pt idx="851">
                  <c:v>7.6</c:v>
                </c:pt>
                <c:pt idx="852">
                  <c:v>5.5</c:v>
                </c:pt>
                <c:pt idx="853">
                  <c:v>7</c:v>
                </c:pt>
                <c:pt idx="854">
                  <c:v>7.1</c:v>
                </c:pt>
                <c:pt idx="855">
                  <c:v>7.4</c:v>
                </c:pt>
                <c:pt idx="856">
                  <c:v>7.6</c:v>
                </c:pt>
                <c:pt idx="857">
                  <c:v>5.9</c:v>
                </c:pt>
                <c:pt idx="858">
                  <c:v>5.9</c:v>
                </c:pt>
                <c:pt idx="859">
                  <c:v>8</c:v>
                </c:pt>
                <c:pt idx="860">
                  <c:v>7.4</c:v>
                </c:pt>
                <c:pt idx="861">
                  <c:v>5.8</c:v>
                </c:pt>
                <c:pt idx="862">
                  <c:v>6.3</c:v>
                </c:pt>
                <c:pt idx="863">
                  <c:v>5.7</c:v>
                </c:pt>
                <c:pt idx="864">
                  <c:v>5.0999999999999996</c:v>
                </c:pt>
                <c:pt idx="865">
                  <c:v>7.6</c:v>
                </c:pt>
                <c:pt idx="866">
                  <c:v>6.4</c:v>
                </c:pt>
                <c:pt idx="867">
                  <c:v>7.4</c:v>
                </c:pt>
                <c:pt idx="868">
                  <c:v>8.1999999999999993</c:v>
                </c:pt>
                <c:pt idx="869">
                  <c:v>6.5</c:v>
                </c:pt>
                <c:pt idx="870">
                  <c:v>5.5</c:v>
                </c:pt>
                <c:pt idx="871">
                  <c:v>6.5</c:v>
                </c:pt>
                <c:pt idx="872">
                  <c:v>5.6</c:v>
                </c:pt>
                <c:pt idx="873">
                  <c:v>4.5999999999999996</c:v>
                </c:pt>
                <c:pt idx="874">
                  <c:v>7.9</c:v>
                </c:pt>
                <c:pt idx="875">
                  <c:v>7.1</c:v>
                </c:pt>
                <c:pt idx="876">
                  <c:v>6.9</c:v>
                </c:pt>
                <c:pt idx="877">
                  <c:v>7.3</c:v>
                </c:pt>
                <c:pt idx="878">
                  <c:v>7</c:v>
                </c:pt>
                <c:pt idx="879">
                  <c:v>7.7</c:v>
                </c:pt>
                <c:pt idx="880">
                  <c:v>6.7</c:v>
                </c:pt>
                <c:pt idx="881">
                  <c:v>6.3</c:v>
                </c:pt>
                <c:pt idx="882">
                  <c:v>5.8</c:v>
                </c:pt>
                <c:pt idx="883">
                  <c:v>7.1</c:v>
                </c:pt>
                <c:pt idx="884">
                  <c:v>7.3</c:v>
                </c:pt>
                <c:pt idx="885">
                  <c:v>6.4</c:v>
                </c:pt>
                <c:pt idx="886">
                  <c:v>7.1</c:v>
                </c:pt>
                <c:pt idx="887">
                  <c:v>7.6</c:v>
                </c:pt>
                <c:pt idx="888">
                  <c:v>6.8</c:v>
                </c:pt>
                <c:pt idx="889">
                  <c:v>6.6</c:v>
                </c:pt>
                <c:pt idx="890">
                  <c:v>6.7</c:v>
                </c:pt>
                <c:pt idx="891">
                  <c:v>6.1</c:v>
                </c:pt>
                <c:pt idx="892">
                  <c:v>6</c:v>
                </c:pt>
                <c:pt idx="893">
                  <c:v>7.6</c:v>
                </c:pt>
                <c:pt idx="894">
                  <c:v>7.1</c:v>
                </c:pt>
                <c:pt idx="895">
                  <c:v>5</c:v>
                </c:pt>
                <c:pt idx="896">
                  <c:v>6.2</c:v>
                </c:pt>
                <c:pt idx="897">
                  <c:v>5.6</c:v>
                </c:pt>
                <c:pt idx="898">
                  <c:v>7.4</c:v>
                </c:pt>
                <c:pt idx="899">
                  <c:v>5</c:v>
                </c:pt>
                <c:pt idx="900">
                  <c:v>5.2</c:v>
                </c:pt>
                <c:pt idx="901">
                  <c:v>7.6</c:v>
                </c:pt>
                <c:pt idx="902">
                  <c:v>6.6</c:v>
                </c:pt>
                <c:pt idx="903">
                  <c:v>7</c:v>
                </c:pt>
                <c:pt idx="904">
                  <c:v>5.7</c:v>
                </c:pt>
                <c:pt idx="905">
                  <c:v>8.1999999999999993</c:v>
                </c:pt>
                <c:pt idx="906">
                  <c:v>6.2</c:v>
                </c:pt>
                <c:pt idx="907">
                  <c:v>6.6</c:v>
                </c:pt>
                <c:pt idx="908">
                  <c:v>4.7</c:v>
                </c:pt>
                <c:pt idx="909">
                  <c:v>6.3</c:v>
                </c:pt>
                <c:pt idx="910">
                  <c:v>6.1</c:v>
                </c:pt>
                <c:pt idx="911">
                  <c:v>6.7</c:v>
                </c:pt>
                <c:pt idx="912">
                  <c:v>6.1</c:v>
                </c:pt>
                <c:pt idx="913">
                  <c:v>7</c:v>
                </c:pt>
                <c:pt idx="914">
                  <c:v>7.4</c:v>
                </c:pt>
                <c:pt idx="915">
                  <c:v>7.3</c:v>
                </c:pt>
                <c:pt idx="916">
                  <c:v>5.8</c:v>
                </c:pt>
                <c:pt idx="917">
                  <c:v>6.7</c:v>
                </c:pt>
                <c:pt idx="918">
                  <c:v>5.8</c:v>
                </c:pt>
                <c:pt idx="919">
                  <c:v>7.8</c:v>
                </c:pt>
                <c:pt idx="920">
                  <c:v>6.6</c:v>
                </c:pt>
                <c:pt idx="921">
                  <c:v>6.5</c:v>
                </c:pt>
                <c:pt idx="922">
                  <c:v>6.7</c:v>
                </c:pt>
                <c:pt idx="923">
                  <c:v>7.3</c:v>
                </c:pt>
                <c:pt idx="924">
                  <c:v>5.8</c:v>
                </c:pt>
                <c:pt idx="925">
                  <c:v>5.5</c:v>
                </c:pt>
                <c:pt idx="926">
                  <c:v>6.3</c:v>
                </c:pt>
                <c:pt idx="927">
                  <c:v>7.4</c:v>
                </c:pt>
                <c:pt idx="928">
                  <c:v>5.9</c:v>
                </c:pt>
                <c:pt idx="929">
                  <c:v>6.2</c:v>
                </c:pt>
                <c:pt idx="930">
                  <c:v>5.9</c:v>
                </c:pt>
                <c:pt idx="931">
                  <c:v>6.5</c:v>
                </c:pt>
                <c:pt idx="932">
                  <c:v>4.4000000000000004</c:v>
                </c:pt>
                <c:pt idx="933">
                  <c:v>3.5</c:v>
                </c:pt>
                <c:pt idx="934">
                  <c:v>6.6</c:v>
                </c:pt>
                <c:pt idx="935">
                  <c:v>6</c:v>
                </c:pt>
                <c:pt idx="936">
                  <c:v>6.4</c:v>
                </c:pt>
                <c:pt idx="937">
                  <c:v>6.5</c:v>
                </c:pt>
                <c:pt idx="938">
                  <c:v>4.3</c:v>
                </c:pt>
                <c:pt idx="939">
                  <c:v>4.2</c:v>
                </c:pt>
                <c:pt idx="940">
                  <c:v>6.5</c:v>
                </c:pt>
                <c:pt idx="941">
                  <c:v>6.1</c:v>
                </c:pt>
                <c:pt idx="942">
                  <c:v>6.3</c:v>
                </c:pt>
                <c:pt idx="943">
                  <c:v>6.2</c:v>
                </c:pt>
                <c:pt idx="944">
                  <c:v>5.9</c:v>
                </c:pt>
                <c:pt idx="945">
                  <c:v>5.9</c:v>
                </c:pt>
                <c:pt idx="946">
                  <c:v>6.5</c:v>
                </c:pt>
                <c:pt idx="947">
                  <c:v>6.4</c:v>
                </c:pt>
                <c:pt idx="948">
                  <c:v>6.5</c:v>
                </c:pt>
                <c:pt idx="949">
                  <c:v>5.7</c:v>
                </c:pt>
                <c:pt idx="950">
                  <c:v>8</c:v>
                </c:pt>
                <c:pt idx="951">
                  <c:v>7.3</c:v>
                </c:pt>
                <c:pt idx="952">
                  <c:v>6.7</c:v>
                </c:pt>
                <c:pt idx="953">
                  <c:v>7.5</c:v>
                </c:pt>
                <c:pt idx="954">
                  <c:v>5.4</c:v>
                </c:pt>
                <c:pt idx="955">
                  <c:v>6.6</c:v>
                </c:pt>
                <c:pt idx="956">
                  <c:v>7.7</c:v>
                </c:pt>
                <c:pt idx="957">
                  <c:v>5.8</c:v>
                </c:pt>
                <c:pt idx="958">
                  <c:v>6.4</c:v>
                </c:pt>
                <c:pt idx="959">
                  <c:v>5.6</c:v>
                </c:pt>
                <c:pt idx="960">
                  <c:v>6</c:v>
                </c:pt>
                <c:pt idx="961">
                  <c:v>6.2</c:v>
                </c:pt>
                <c:pt idx="962">
                  <c:v>5.9</c:v>
                </c:pt>
                <c:pt idx="963">
                  <c:v>5.0999999999999996</c:v>
                </c:pt>
                <c:pt idx="964">
                  <c:v>6.8</c:v>
                </c:pt>
                <c:pt idx="965">
                  <c:v>6</c:v>
                </c:pt>
                <c:pt idx="966">
                  <c:v>5.0999999999999996</c:v>
                </c:pt>
                <c:pt idx="967">
                  <c:v>5.8</c:v>
                </c:pt>
                <c:pt idx="968">
                  <c:v>6.2</c:v>
                </c:pt>
                <c:pt idx="969">
                  <c:v>6.4</c:v>
                </c:pt>
                <c:pt idx="970">
                  <c:v>4.8</c:v>
                </c:pt>
                <c:pt idx="971">
                  <c:v>4.9000000000000004</c:v>
                </c:pt>
                <c:pt idx="972">
                  <c:v>5.6</c:v>
                </c:pt>
                <c:pt idx="973">
                  <c:v>5.5</c:v>
                </c:pt>
                <c:pt idx="974">
                  <c:v>3.7</c:v>
                </c:pt>
                <c:pt idx="975">
                  <c:v>5.9</c:v>
                </c:pt>
                <c:pt idx="976">
                  <c:v>6.3</c:v>
                </c:pt>
                <c:pt idx="977">
                  <c:v>7.6</c:v>
                </c:pt>
                <c:pt idx="978">
                  <c:v>8.3000000000000007</c:v>
                </c:pt>
                <c:pt idx="979">
                  <c:v>6.9</c:v>
                </c:pt>
                <c:pt idx="980">
                  <c:v>6.7</c:v>
                </c:pt>
                <c:pt idx="981">
                  <c:v>6.8</c:v>
                </c:pt>
                <c:pt idx="982">
                  <c:v>7.1</c:v>
                </c:pt>
                <c:pt idx="983">
                  <c:v>6.4</c:v>
                </c:pt>
                <c:pt idx="984">
                  <c:v>6.4</c:v>
                </c:pt>
                <c:pt idx="985">
                  <c:v>7.4</c:v>
                </c:pt>
                <c:pt idx="986">
                  <c:v>6.4</c:v>
                </c:pt>
                <c:pt idx="987">
                  <c:v>6</c:v>
                </c:pt>
                <c:pt idx="988">
                  <c:v>6.5</c:v>
                </c:pt>
                <c:pt idx="989">
                  <c:v>7.8</c:v>
                </c:pt>
                <c:pt idx="990">
                  <c:v>6</c:v>
                </c:pt>
                <c:pt idx="991">
                  <c:v>7</c:v>
                </c:pt>
                <c:pt idx="992">
                  <c:v>6</c:v>
                </c:pt>
                <c:pt idx="993">
                  <c:v>6.1</c:v>
                </c:pt>
                <c:pt idx="994">
                  <c:v>6.8</c:v>
                </c:pt>
                <c:pt idx="995">
                  <c:v>6.4</c:v>
                </c:pt>
                <c:pt idx="996">
                  <c:v>4.5</c:v>
                </c:pt>
                <c:pt idx="997">
                  <c:v>5.8</c:v>
                </c:pt>
                <c:pt idx="998">
                  <c:v>6.3</c:v>
                </c:pt>
                <c:pt idx="999">
                  <c:v>5.7</c:v>
                </c:pt>
                <c:pt idx="1000">
                  <c:v>7.2</c:v>
                </c:pt>
                <c:pt idx="1001">
                  <c:v>7.6</c:v>
                </c:pt>
                <c:pt idx="1002">
                  <c:v>4.7</c:v>
                </c:pt>
                <c:pt idx="1003">
                  <c:v>6.6</c:v>
                </c:pt>
                <c:pt idx="1004">
                  <c:v>6.8</c:v>
                </c:pt>
                <c:pt idx="1005">
                  <c:v>7.3</c:v>
                </c:pt>
                <c:pt idx="1006">
                  <c:v>4.8</c:v>
                </c:pt>
                <c:pt idx="1007">
                  <c:v>6.3</c:v>
                </c:pt>
                <c:pt idx="1008">
                  <c:v>5.5</c:v>
                </c:pt>
                <c:pt idx="1009">
                  <c:v>6.2</c:v>
                </c:pt>
                <c:pt idx="1010">
                  <c:v>5.8</c:v>
                </c:pt>
                <c:pt idx="1011">
                  <c:v>5.7</c:v>
                </c:pt>
                <c:pt idx="1012">
                  <c:v>6.5</c:v>
                </c:pt>
                <c:pt idx="1013">
                  <c:v>6.7</c:v>
                </c:pt>
                <c:pt idx="1014">
                  <c:v>7.4</c:v>
                </c:pt>
                <c:pt idx="1015">
                  <c:v>6.9</c:v>
                </c:pt>
                <c:pt idx="1016">
                  <c:v>5.5</c:v>
                </c:pt>
                <c:pt idx="1017">
                  <c:v>8.1</c:v>
                </c:pt>
                <c:pt idx="1018">
                  <c:v>7.7</c:v>
                </c:pt>
                <c:pt idx="1019">
                  <c:v>7.3</c:v>
                </c:pt>
                <c:pt idx="1020">
                  <c:v>5.2</c:v>
                </c:pt>
                <c:pt idx="1021">
                  <c:v>7.1</c:v>
                </c:pt>
                <c:pt idx="1022">
                  <c:v>7.1</c:v>
                </c:pt>
                <c:pt idx="1023">
                  <c:v>7.2</c:v>
                </c:pt>
                <c:pt idx="1024">
                  <c:v>6.5</c:v>
                </c:pt>
                <c:pt idx="1025">
                  <c:v>4.5999999999999996</c:v>
                </c:pt>
                <c:pt idx="1026">
                  <c:v>5.6</c:v>
                </c:pt>
                <c:pt idx="1027">
                  <c:v>7.7</c:v>
                </c:pt>
                <c:pt idx="1028">
                  <c:v>7.2</c:v>
                </c:pt>
                <c:pt idx="1029">
                  <c:v>6.8</c:v>
                </c:pt>
                <c:pt idx="1030">
                  <c:v>5.4</c:v>
                </c:pt>
                <c:pt idx="1031">
                  <c:v>6.3</c:v>
                </c:pt>
                <c:pt idx="1032">
                  <c:v>5.6</c:v>
                </c:pt>
                <c:pt idx="1033">
                  <c:v>6.8</c:v>
                </c:pt>
                <c:pt idx="1034">
                  <c:v>4.3</c:v>
                </c:pt>
                <c:pt idx="1035">
                  <c:v>6.3</c:v>
                </c:pt>
                <c:pt idx="1036">
                  <c:v>6.5</c:v>
                </c:pt>
                <c:pt idx="1037">
                  <c:v>6.4</c:v>
                </c:pt>
                <c:pt idx="1038">
                  <c:v>6.3</c:v>
                </c:pt>
                <c:pt idx="1039">
                  <c:v>5.9</c:v>
                </c:pt>
                <c:pt idx="1040">
                  <c:v>6.5</c:v>
                </c:pt>
                <c:pt idx="1041">
                  <c:v>6.5</c:v>
                </c:pt>
                <c:pt idx="1042">
                  <c:v>6.1</c:v>
                </c:pt>
                <c:pt idx="1043">
                  <c:v>5.9</c:v>
                </c:pt>
                <c:pt idx="1044">
                  <c:v>6.6</c:v>
                </c:pt>
                <c:pt idx="1045">
                  <c:v>7.4</c:v>
                </c:pt>
                <c:pt idx="1046">
                  <c:v>7.3</c:v>
                </c:pt>
                <c:pt idx="1047">
                  <c:v>6.6</c:v>
                </c:pt>
                <c:pt idx="1048">
                  <c:v>5.6</c:v>
                </c:pt>
                <c:pt idx="1049">
                  <c:v>5.3</c:v>
                </c:pt>
                <c:pt idx="1050">
                  <c:v>6</c:v>
                </c:pt>
                <c:pt idx="1051">
                  <c:v>5.4</c:v>
                </c:pt>
                <c:pt idx="1052">
                  <c:v>6.8</c:v>
                </c:pt>
                <c:pt idx="1053">
                  <c:v>6.4</c:v>
                </c:pt>
                <c:pt idx="1054">
                  <c:v>4.9000000000000004</c:v>
                </c:pt>
                <c:pt idx="1055">
                  <c:v>5.8</c:v>
                </c:pt>
                <c:pt idx="1056">
                  <c:v>7.1</c:v>
                </c:pt>
                <c:pt idx="1057">
                  <c:v>7.2</c:v>
                </c:pt>
                <c:pt idx="1058">
                  <c:v>6</c:v>
                </c:pt>
                <c:pt idx="1059">
                  <c:v>6</c:v>
                </c:pt>
                <c:pt idx="1060">
                  <c:v>7</c:v>
                </c:pt>
                <c:pt idx="1061">
                  <c:v>5.4</c:v>
                </c:pt>
                <c:pt idx="1062">
                  <c:v>6.5</c:v>
                </c:pt>
                <c:pt idx="1063">
                  <c:v>6.4</c:v>
                </c:pt>
                <c:pt idx="1064">
                  <c:v>4.9000000000000004</c:v>
                </c:pt>
                <c:pt idx="1065">
                  <c:v>6.3</c:v>
                </c:pt>
                <c:pt idx="1066">
                  <c:v>7.7</c:v>
                </c:pt>
                <c:pt idx="1067">
                  <c:v>7.8</c:v>
                </c:pt>
                <c:pt idx="1068">
                  <c:v>5.5</c:v>
                </c:pt>
                <c:pt idx="1069">
                  <c:v>7.5</c:v>
                </c:pt>
                <c:pt idx="1070">
                  <c:v>6.4</c:v>
                </c:pt>
                <c:pt idx="1071">
                  <c:v>5.6</c:v>
                </c:pt>
                <c:pt idx="1072">
                  <c:v>7.5</c:v>
                </c:pt>
                <c:pt idx="1073">
                  <c:v>6.8</c:v>
                </c:pt>
                <c:pt idx="1074">
                  <c:v>6.8</c:v>
                </c:pt>
                <c:pt idx="1075">
                  <c:v>6</c:v>
                </c:pt>
                <c:pt idx="1076">
                  <c:v>7.3</c:v>
                </c:pt>
                <c:pt idx="1077">
                  <c:v>6</c:v>
                </c:pt>
                <c:pt idx="1078">
                  <c:v>7</c:v>
                </c:pt>
                <c:pt idx="1079">
                  <c:v>5.0999999999999996</c:v>
                </c:pt>
                <c:pt idx="1080">
                  <c:v>6.8</c:v>
                </c:pt>
                <c:pt idx="1081">
                  <c:v>6.5</c:v>
                </c:pt>
                <c:pt idx="1082">
                  <c:v>6.6</c:v>
                </c:pt>
                <c:pt idx="1083">
                  <c:v>7.2</c:v>
                </c:pt>
                <c:pt idx="1084">
                  <c:v>7</c:v>
                </c:pt>
                <c:pt idx="1085">
                  <c:v>7</c:v>
                </c:pt>
                <c:pt idx="1086">
                  <c:v>5.9</c:v>
                </c:pt>
                <c:pt idx="1087">
                  <c:v>5.4</c:v>
                </c:pt>
                <c:pt idx="1088">
                  <c:v>6.6</c:v>
                </c:pt>
                <c:pt idx="1089">
                  <c:v>7</c:v>
                </c:pt>
                <c:pt idx="1090">
                  <c:v>6.5</c:v>
                </c:pt>
                <c:pt idx="1091">
                  <c:v>6.3</c:v>
                </c:pt>
                <c:pt idx="1092">
                  <c:v>6.5</c:v>
                </c:pt>
                <c:pt idx="1093">
                  <c:v>6.5</c:v>
                </c:pt>
                <c:pt idx="1094">
                  <c:v>5.8</c:v>
                </c:pt>
                <c:pt idx="1095">
                  <c:v>6.6</c:v>
                </c:pt>
                <c:pt idx="1096">
                  <c:v>5.4</c:v>
                </c:pt>
                <c:pt idx="1097">
                  <c:v>6.1</c:v>
                </c:pt>
                <c:pt idx="1098">
                  <c:v>4</c:v>
                </c:pt>
                <c:pt idx="1099">
                  <c:v>7.6</c:v>
                </c:pt>
                <c:pt idx="1100">
                  <c:v>7.9</c:v>
                </c:pt>
                <c:pt idx="1101">
                  <c:v>5.3</c:v>
                </c:pt>
                <c:pt idx="1102">
                  <c:v>6.6</c:v>
                </c:pt>
                <c:pt idx="1103">
                  <c:v>6.3</c:v>
                </c:pt>
                <c:pt idx="1104">
                  <c:v>7.2</c:v>
                </c:pt>
                <c:pt idx="1105">
                  <c:v>7</c:v>
                </c:pt>
                <c:pt idx="1106">
                  <c:v>6.9</c:v>
                </c:pt>
                <c:pt idx="1107">
                  <c:v>5.2</c:v>
                </c:pt>
                <c:pt idx="1108">
                  <c:v>8.1</c:v>
                </c:pt>
                <c:pt idx="1109">
                  <c:v>6.6</c:v>
                </c:pt>
                <c:pt idx="1110">
                  <c:v>6.2</c:v>
                </c:pt>
                <c:pt idx="1111">
                  <c:v>7.2</c:v>
                </c:pt>
                <c:pt idx="1112">
                  <c:v>7.3</c:v>
                </c:pt>
                <c:pt idx="1113">
                  <c:v>6.7</c:v>
                </c:pt>
                <c:pt idx="1114">
                  <c:v>6.4</c:v>
                </c:pt>
                <c:pt idx="1115">
                  <c:v>7.8</c:v>
                </c:pt>
                <c:pt idx="1116">
                  <c:v>6.4</c:v>
                </c:pt>
                <c:pt idx="1117">
                  <c:v>4.0999999999999996</c:v>
                </c:pt>
                <c:pt idx="1118">
                  <c:v>4.0999999999999996</c:v>
                </c:pt>
                <c:pt idx="1119">
                  <c:v>7.4</c:v>
                </c:pt>
                <c:pt idx="1120">
                  <c:v>5.8</c:v>
                </c:pt>
                <c:pt idx="1121">
                  <c:v>7.6</c:v>
                </c:pt>
                <c:pt idx="1122">
                  <c:v>7.2</c:v>
                </c:pt>
                <c:pt idx="1123">
                  <c:v>7.8</c:v>
                </c:pt>
                <c:pt idx="1124">
                  <c:v>7.7</c:v>
                </c:pt>
                <c:pt idx="1125">
                  <c:v>6.4</c:v>
                </c:pt>
                <c:pt idx="1126">
                  <c:v>5.0999999999999996</c:v>
                </c:pt>
                <c:pt idx="1127">
                  <c:v>5.5</c:v>
                </c:pt>
                <c:pt idx="1128">
                  <c:v>7.4</c:v>
                </c:pt>
                <c:pt idx="1129">
                  <c:v>6</c:v>
                </c:pt>
                <c:pt idx="1130">
                  <c:v>7.5</c:v>
                </c:pt>
                <c:pt idx="1131">
                  <c:v>7</c:v>
                </c:pt>
                <c:pt idx="1132">
                  <c:v>7.5</c:v>
                </c:pt>
                <c:pt idx="1133">
                  <c:v>7.3</c:v>
                </c:pt>
                <c:pt idx="1134">
                  <c:v>5.7</c:v>
                </c:pt>
                <c:pt idx="1135">
                  <c:v>7.3</c:v>
                </c:pt>
                <c:pt idx="1136">
                  <c:v>7.2</c:v>
                </c:pt>
                <c:pt idx="1137">
                  <c:v>5.9</c:v>
                </c:pt>
                <c:pt idx="1138">
                  <c:v>7.8</c:v>
                </c:pt>
                <c:pt idx="1139">
                  <c:v>7.7</c:v>
                </c:pt>
                <c:pt idx="1140">
                  <c:v>8.1</c:v>
                </c:pt>
                <c:pt idx="1141">
                  <c:v>6.6</c:v>
                </c:pt>
                <c:pt idx="1142">
                  <c:v>7.1</c:v>
                </c:pt>
                <c:pt idx="1143">
                  <c:v>5.9</c:v>
                </c:pt>
                <c:pt idx="1144">
                  <c:v>8</c:v>
                </c:pt>
                <c:pt idx="1145">
                  <c:v>4.5999999999999996</c:v>
                </c:pt>
                <c:pt idx="1146">
                  <c:v>6.1</c:v>
                </c:pt>
                <c:pt idx="1147">
                  <c:v>6.4</c:v>
                </c:pt>
                <c:pt idx="1148">
                  <c:v>6</c:v>
                </c:pt>
                <c:pt idx="1149">
                  <c:v>5.2</c:v>
                </c:pt>
                <c:pt idx="1150">
                  <c:v>7.6</c:v>
                </c:pt>
                <c:pt idx="1151">
                  <c:v>6.4</c:v>
                </c:pt>
                <c:pt idx="1152">
                  <c:v>6.1</c:v>
                </c:pt>
                <c:pt idx="1153">
                  <c:v>6.1</c:v>
                </c:pt>
                <c:pt idx="1154">
                  <c:v>5.2</c:v>
                </c:pt>
                <c:pt idx="1155">
                  <c:v>7.7</c:v>
                </c:pt>
                <c:pt idx="1156">
                  <c:v>7.3</c:v>
                </c:pt>
                <c:pt idx="1157">
                  <c:v>6.9</c:v>
                </c:pt>
                <c:pt idx="1158">
                  <c:v>8.5</c:v>
                </c:pt>
                <c:pt idx="1159">
                  <c:v>6.3</c:v>
                </c:pt>
                <c:pt idx="1160">
                  <c:v>5.9</c:v>
                </c:pt>
                <c:pt idx="1161">
                  <c:v>7.8</c:v>
                </c:pt>
                <c:pt idx="1162">
                  <c:v>6.7</c:v>
                </c:pt>
                <c:pt idx="1163">
                  <c:v>6.4</c:v>
                </c:pt>
                <c:pt idx="1164">
                  <c:v>5.9</c:v>
                </c:pt>
                <c:pt idx="1165">
                  <c:v>6.6</c:v>
                </c:pt>
                <c:pt idx="1166">
                  <c:v>6.8</c:v>
                </c:pt>
                <c:pt idx="1167">
                  <c:v>6.5</c:v>
                </c:pt>
                <c:pt idx="1168">
                  <c:v>6.6</c:v>
                </c:pt>
                <c:pt idx="1169">
                  <c:v>5.8</c:v>
                </c:pt>
                <c:pt idx="1170">
                  <c:v>6.9</c:v>
                </c:pt>
                <c:pt idx="1171">
                  <c:v>7.1</c:v>
                </c:pt>
                <c:pt idx="1172">
                  <c:v>5.8</c:v>
                </c:pt>
                <c:pt idx="1173">
                  <c:v>7.2</c:v>
                </c:pt>
                <c:pt idx="1174">
                  <c:v>6</c:v>
                </c:pt>
                <c:pt idx="1175">
                  <c:v>4.7</c:v>
                </c:pt>
                <c:pt idx="1176">
                  <c:v>5.2</c:v>
                </c:pt>
                <c:pt idx="1177">
                  <c:v>5.5</c:v>
                </c:pt>
                <c:pt idx="1178">
                  <c:v>7</c:v>
                </c:pt>
                <c:pt idx="1179">
                  <c:v>5.8</c:v>
                </c:pt>
                <c:pt idx="1180">
                  <c:v>6.2</c:v>
                </c:pt>
                <c:pt idx="1181">
                  <c:v>6.5</c:v>
                </c:pt>
                <c:pt idx="1182">
                  <c:v>7.2</c:v>
                </c:pt>
                <c:pt idx="1183">
                  <c:v>5.0999999999999996</c:v>
                </c:pt>
                <c:pt idx="1184">
                  <c:v>4.7</c:v>
                </c:pt>
                <c:pt idx="1185">
                  <c:v>5.9</c:v>
                </c:pt>
                <c:pt idx="1186">
                  <c:v>5.8</c:v>
                </c:pt>
                <c:pt idx="1187">
                  <c:v>7.2</c:v>
                </c:pt>
                <c:pt idx="1188">
                  <c:v>6.2</c:v>
                </c:pt>
                <c:pt idx="1189">
                  <c:v>5.7</c:v>
                </c:pt>
                <c:pt idx="1190">
                  <c:v>6.1</c:v>
                </c:pt>
                <c:pt idx="1191">
                  <c:v>6</c:v>
                </c:pt>
                <c:pt idx="1192">
                  <c:v>6.9</c:v>
                </c:pt>
                <c:pt idx="1193">
                  <c:v>6.5</c:v>
                </c:pt>
                <c:pt idx="1194">
                  <c:v>5</c:v>
                </c:pt>
                <c:pt idx="1195">
                  <c:v>5.7</c:v>
                </c:pt>
                <c:pt idx="1196">
                  <c:v>7</c:v>
                </c:pt>
                <c:pt idx="1197">
                  <c:v>5.0999999999999996</c:v>
                </c:pt>
                <c:pt idx="1198">
                  <c:v>5.3</c:v>
                </c:pt>
                <c:pt idx="1199">
                  <c:v>4.4000000000000004</c:v>
                </c:pt>
                <c:pt idx="1200">
                  <c:v>4.7</c:v>
                </c:pt>
                <c:pt idx="1201">
                  <c:v>6.7</c:v>
                </c:pt>
                <c:pt idx="1202">
                  <c:v>6.7</c:v>
                </c:pt>
                <c:pt idx="1203">
                  <c:v>5.7</c:v>
                </c:pt>
                <c:pt idx="1204">
                  <c:v>7.4</c:v>
                </c:pt>
                <c:pt idx="1205">
                  <c:v>6.1</c:v>
                </c:pt>
                <c:pt idx="1206">
                  <c:v>6.4</c:v>
                </c:pt>
                <c:pt idx="1207">
                  <c:v>6.2</c:v>
                </c:pt>
                <c:pt idx="1208">
                  <c:v>6.2</c:v>
                </c:pt>
                <c:pt idx="1209">
                  <c:v>5.9</c:v>
                </c:pt>
                <c:pt idx="1210">
                  <c:v>4</c:v>
                </c:pt>
                <c:pt idx="1211">
                  <c:v>6.2</c:v>
                </c:pt>
                <c:pt idx="1212">
                  <c:v>4.5999999999999996</c:v>
                </c:pt>
                <c:pt idx="1213">
                  <c:v>6.4</c:v>
                </c:pt>
                <c:pt idx="1214">
                  <c:v>5.9</c:v>
                </c:pt>
                <c:pt idx="1215">
                  <c:v>5.0999999999999996</c:v>
                </c:pt>
                <c:pt idx="1216">
                  <c:v>7.6</c:v>
                </c:pt>
                <c:pt idx="1217">
                  <c:v>4.2</c:v>
                </c:pt>
                <c:pt idx="1218">
                  <c:v>7.8</c:v>
                </c:pt>
                <c:pt idx="1219">
                  <c:v>5.8</c:v>
                </c:pt>
                <c:pt idx="1220">
                  <c:v>5.9</c:v>
                </c:pt>
                <c:pt idx="1221">
                  <c:v>8.4</c:v>
                </c:pt>
                <c:pt idx="1222">
                  <c:v>4.8</c:v>
                </c:pt>
                <c:pt idx="1223">
                  <c:v>6.2</c:v>
                </c:pt>
                <c:pt idx="1224">
                  <c:v>6.5</c:v>
                </c:pt>
                <c:pt idx="1225">
                  <c:v>6.3</c:v>
                </c:pt>
                <c:pt idx="1226">
                  <c:v>3.3</c:v>
                </c:pt>
                <c:pt idx="1227">
                  <c:v>5.9</c:v>
                </c:pt>
                <c:pt idx="1228">
                  <c:v>5.8</c:v>
                </c:pt>
                <c:pt idx="1229">
                  <c:v>4.7</c:v>
                </c:pt>
                <c:pt idx="1230">
                  <c:v>4.0999999999999996</c:v>
                </c:pt>
                <c:pt idx="1231">
                  <c:v>6.8</c:v>
                </c:pt>
                <c:pt idx="1232">
                  <c:v>6.2</c:v>
                </c:pt>
                <c:pt idx="1233">
                  <c:v>4.5</c:v>
                </c:pt>
                <c:pt idx="1234">
                  <c:v>5.8</c:v>
                </c:pt>
                <c:pt idx="1235">
                  <c:v>7.3</c:v>
                </c:pt>
                <c:pt idx="1236">
                  <c:v>5.9</c:v>
                </c:pt>
                <c:pt idx="1237">
                  <c:v>4.4000000000000004</c:v>
                </c:pt>
                <c:pt idx="1238">
                  <c:v>5.8</c:v>
                </c:pt>
                <c:pt idx="1239">
                  <c:v>5.0999999999999996</c:v>
                </c:pt>
                <c:pt idx="1240">
                  <c:v>6.9</c:v>
                </c:pt>
                <c:pt idx="1241">
                  <c:v>6.2</c:v>
                </c:pt>
                <c:pt idx="1242">
                  <c:v>6.9</c:v>
                </c:pt>
                <c:pt idx="1243">
                  <c:v>7.3</c:v>
                </c:pt>
                <c:pt idx="1244">
                  <c:v>7.1</c:v>
                </c:pt>
                <c:pt idx="1245">
                  <c:v>6</c:v>
                </c:pt>
                <c:pt idx="1246">
                  <c:v>7</c:v>
                </c:pt>
                <c:pt idx="1247">
                  <c:v>7.6</c:v>
                </c:pt>
                <c:pt idx="1248">
                  <c:v>8.4</c:v>
                </c:pt>
                <c:pt idx="1249">
                  <c:v>7.1</c:v>
                </c:pt>
                <c:pt idx="1250">
                  <c:v>7</c:v>
                </c:pt>
                <c:pt idx="1251">
                  <c:v>8</c:v>
                </c:pt>
                <c:pt idx="1252">
                  <c:v>5.3</c:v>
                </c:pt>
                <c:pt idx="1253">
                  <c:v>4.9000000000000004</c:v>
                </c:pt>
                <c:pt idx="1254">
                  <c:v>6.4</c:v>
                </c:pt>
                <c:pt idx="1255">
                  <c:v>7.4</c:v>
                </c:pt>
                <c:pt idx="1256">
                  <c:v>6.1</c:v>
                </c:pt>
                <c:pt idx="1257">
                  <c:v>6.5</c:v>
                </c:pt>
                <c:pt idx="1258">
                  <c:v>5.7</c:v>
                </c:pt>
                <c:pt idx="1259">
                  <c:v>5.0999999999999996</c:v>
                </c:pt>
                <c:pt idx="1260">
                  <c:v>6.6</c:v>
                </c:pt>
                <c:pt idx="1261">
                  <c:v>6.5</c:v>
                </c:pt>
                <c:pt idx="1262">
                  <c:v>6.9</c:v>
                </c:pt>
                <c:pt idx="1263">
                  <c:v>7.6</c:v>
                </c:pt>
                <c:pt idx="1264">
                  <c:v>5.6</c:v>
                </c:pt>
                <c:pt idx="1265">
                  <c:v>6.2</c:v>
                </c:pt>
                <c:pt idx="1266">
                  <c:v>4.4000000000000004</c:v>
                </c:pt>
                <c:pt idx="1267">
                  <c:v>5.6</c:v>
                </c:pt>
                <c:pt idx="1268">
                  <c:v>5.5</c:v>
                </c:pt>
                <c:pt idx="1269">
                  <c:v>6.7</c:v>
                </c:pt>
                <c:pt idx="1270">
                  <c:v>6.1</c:v>
                </c:pt>
                <c:pt idx="1271">
                  <c:v>6.2</c:v>
                </c:pt>
                <c:pt idx="1272">
                  <c:v>7.3</c:v>
                </c:pt>
                <c:pt idx="1273">
                  <c:v>6.6</c:v>
                </c:pt>
                <c:pt idx="1274">
                  <c:v>8.1999999999999993</c:v>
                </c:pt>
                <c:pt idx="1275">
                  <c:v>6.4</c:v>
                </c:pt>
                <c:pt idx="1276">
                  <c:v>6.4</c:v>
                </c:pt>
                <c:pt idx="1277">
                  <c:v>5.2</c:v>
                </c:pt>
                <c:pt idx="1278">
                  <c:v>6.5</c:v>
                </c:pt>
                <c:pt idx="1279">
                  <c:v>7.1</c:v>
                </c:pt>
                <c:pt idx="1280">
                  <c:v>7.3</c:v>
                </c:pt>
                <c:pt idx="1281">
                  <c:v>5.2</c:v>
                </c:pt>
                <c:pt idx="1282">
                  <c:v>7.7</c:v>
                </c:pt>
                <c:pt idx="1283">
                  <c:v>7.6</c:v>
                </c:pt>
                <c:pt idx="1284">
                  <c:v>5.7</c:v>
                </c:pt>
                <c:pt idx="1285">
                  <c:v>7</c:v>
                </c:pt>
                <c:pt idx="1286">
                  <c:v>6</c:v>
                </c:pt>
                <c:pt idx="1287">
                  <c:v>8.1</c:v>
                </c:pt>
                <c:pt idx="1288">
                  <c:v>8</c:v>
                </c:pt>
                <c:pt idx="1289">
                  <c:v>5.6</c:v>
                </c:pt>
                <c:pt idx="1290">
                  <c:v>6.1</c:v>
                </c:pt>
                <c:pt idx="1291">
                  <c:v>6.9</c:v>
                </c:pt>
                <c:pt idx="1292">
                  <c:v>5.2</c:v>
                </c:pt>
                <c:pt idx="1293">
                  <c:v>7</c:v>
                </c:pt>
                <c:pt idx="1294">
                  <c:v>6.3</c:v>
                </c:pt>
                <c:pt idx="1295">
                  <c:v>7</c:v>
                </c:pt>
                <c:pt idx="1296">
                  <c:v>6.9</c:v>
                </c:pt>
                <c:pt idx="1297">
                  <c:v>6.2</c:v>
                </c:pt>
                <c:pt idx="1298">
                  <c:v>6.4</c:v>
                </c:pt>
                <c:pt idx="1299">
                  <c:v>6.4</c:v>
                </c:pt>
                <c:pt idx="1300">
                  <c:v>5.7</c:v>
                </c:pt>
                <c:pt idx="1301">
                  <c:v>6.1</c:v>
                </c:pt>
                <c:pt idx="1302">
                  <c:v>5.4</c:v>
                </c:pt>
                <c:pt idx="1303">
                  <c:v>6.7</c:v>
                </c:pt>
                <c:pt idx="1304">
                  <c:v>6.8</c:v>
                </c:pt>
                <c:pt idx="1305">
                  <c:v>6</c:v>
                </c:pt>
                <c:pt idx="1306">
                  <c:v>7.8</c:v>
                </c:pt>
                <c:pt idx="1307">
                  <c:v>5.3</c:v>
                </c:pt>
                <c:pt idx="1308">
                  <c:v>4.5</c:v>
                </c:pt>
                <c:pt idx="1309">
                  <c:v>5.4</c:v>
                </c:pt>
                <c:pt idx="1310">
                  <c:v>7.8</c:v>
                </c:pt>
                <c:pt idx="1311">
                  <c:v>7.2</c:v>
                </c:pt>
                <c:pt idx="1312">
                  <c:v>6.6</c:v>
                </c:pt>
                <c:pt idx="1313">
                  <c:v>7.6</c:v>
                </c:pt>
                <c:pt idx="1314">
                  <c:v>5.9</c:v>
                </c:pt>
                <c:pt idx="1315">
                  <c:v>6.7</c:v>
                </c:pt>
                <c:pt idx="1316">
                  <c:v>7.7</c:v>
                </c:pt>
                <c:pt idx="1317">
                  <c:v>5.4</c:v>
                </c:pt>
                <c:pt idx="1318">
                  <c:v>6.9</c:v>
                </c:pt>
                <c:pt idx="1319">
                  <c:v>7.7</c:v>
                </c:pt>
                <c:pt idx="1320">
                  <c:v>6.8</c:v>
                </c:pt>
                <c:pt idx="1321">
                  <c:v>6.4</c:v>
                </c:pt>
                <c:pt idx="1322">
                  <c:v>5.7</c:v>
                </c:pt>
                <c:pt idx="1323">
                  <c:v>7.3</c:v>
                </c:pt>
                <c:pt idx="1324">
                  <c:v>6.8</c:v>
                </c:pt>
                <c:pt idx="1325">
                  <c:v>6.3</c:v>
                </c:pt>
                <c:pt idx="1326">
                  <c:v>5.9</c:v>
                </c:pt>
                <c:pt idx="1327">
                  <c:v>7.4</c:v>
                </c:pt>
                <c:pt idx="1328">
                  <c:v>8.3000000000000007</c:v>
                </c:pt>
                <c:pt idx="1329">
                  <c:v>6.2</c:v>
                </c:pt>
                <c:pt idx="1330">
                  <c:v>6.3</c:v>
                </c:pt>
                <c:pt idx="1331">
                  <c:v>5.8</c:v>
                </c:pt>
                <c:pt idx="1332">
                  <c:v>7.5</c:v>
                </c:pt>
                <c:pt idx="1333">
                  <c:v>6.3</c:v>
                </c:pt>
                <c:pt idx="1334">
                  <c:v>6.4</c:v>
                </c:pt>
                <c:pt idx="1335">
                  <c:v>7.2</c:v>
                </c:pt>
                <c:pt idx="1336">
                  <c:v>6.3</c:v>
                </c:pt>
                <c:pt idx="1337">
                  <c:v>6.9</c:v>
                </c:pt>
                <c:pt idx="1338">
                  <c:v>6.6</c:v>
                </c:pt>
                <c:pt idx="1339">
                  <c:v>6</c:v>
                </c:pt>
                <c:pt idx="1340">
                  <c:v>7.5</c:v>
                </c:pt>
                <c:pt idx="1341">
                  <c:v>7.7</c:v>
                </c:pt>
                <c:pt idx="1342">
                  <c:v>6.2</c:v>
                </c:pt>
                <c:pt idx="1343">
                  <c:v>5.4</c:v>
                </c:pt>
                <c:pt idx="1344">
                  <c:v>6.6</c:v>
                </c:pt>
                <c:pt idx="1345">
                  <c:v>5.3</c:v>
                </c:pt>
                <c:pt idx="1346">
                  <c:v>5.6</c:v>
                </c:pt>
                <c:pt idx="1347">
                  <c:v>5.9</c:v>
                </c:pt>
                <c:pt idx="1348">
                  <c:v>7.8</c:v>
                </c:pt>
                <c:pt idx="1349">
                  <c:v>6.7</c:v>
                </c:pt>
                <c:pt idx="1350">
                  <c:v>7.4</c:v>
                </c:pt>
                <c:pt idx="1351">
                  <c:v>6.2</c:v>
                </c:pt>
                <c:pt idx="1352">
                  <c:v>5.4</c:v>
                </c:pt>
                <c:pt idx="1353">
                  <c:v>6.7</c:v>
                </c:pt>
                <c:pt idx="1354">
                  <c:v>5.3</c:v>
                </c:pt>
                <c:pt idx="1355">
                  <c:v>5.9</c:v>
                </c:pt>
                <c:pt idx="1356">
                  <c:v>4.8</c:v>
                </c:pt>
                <c:pt idx="1357">
                  <c:v>3.8</c:v>
                </c:pt>
                <c:pt idx="1358">
                  <c:v>8.5</c:v>
                </c:pt>
                <c:pt idx="1359">
                  <c:v>6.8</c:v>
                </c:pt>
                <c:pt idx="1360">
                  <c:v>5.3</c:v>
                </c:pt>
                <c:pt idx="1361">
                  <c:v>7.3</c:v>
                </c:pt>
                <c:pt idx="1362">
                  <c:v>6.6</c:v>
                </c:pt>
                <c:pt idx="1363">
                  <c:v>6.2</c:v>
                </c:pt>
                <c:pt idx="1364">
                  <c:v>5.2</c:v>
                </c:pt>
                <c:pt idx="1365">
                  <c:v>6.2</c:v>
                </c:pt>
                <c:pt idx="1366">
                  <c:v>6.2</c:v>
                </c:pt>
                <c:pt idx="1367">
                  <c:v>6.6</c:v>
                </c:pt>
                <c:pt idx="1368">
                  <c:v>6.2</c:v>
                </c:pt>
                <c:pt idx="1369">
                  <c:v>5.0999999999999996</c:v>
                </c:pt>
                <c:pt idx="1370">
                  <c:v>6.6</c:v>
                </c:pt>
                <c:pt idx="1371">
                  <c:v>6.1</c:v>
                </c:pt>
                <c:pt idx="1372">
                  <c:v>6.6</c:v>
                </c:pt>
                <c:pt idx="1373">
                  <c:v>5.9</c:v>
                </c:pt>
                <c:pt idx="1374">
                  <c:v>6.3</c:v>
                </c:pt>
                <c:pt idx="1375">
                  <c:v>7.1</c:v>
                </c:pt>
                <c:pt idx="1376">
                  <c:v>5</c:v>
                </c:pt>
                <c:pt idx="1377">
                  <c:v>5.6</c:v>
                </c:pt>
                <c:pt idx="1378">
                  <c:v>7.4</c:v>
                </c:pt>
                <c:pt idx="1379">
                  <c:v>4.5</c:v>
                </c:pt>
                <c:pt idx="1380">
                  <c:v>6.2</c:v>
                </c:pt>
                <c:pt idx="1381">
                  <c:v>5</c:v>
                </c:pt>
                <c:pt idx="1382">
                  <c:v>6.5</c:v>
                </c:pt>
                <c:pt idx="1383">
                  <c:v>5.0999999999999996</c:v>
                </c:pt>
                <c:pt idx="1384">
                  <c:v>6.5</c:v>
                </c:pt>
                <c:pt idx="1385">
                  <c:v>6.2</c:v>
                </c:pt>
                <c:pt idx="1386">
                  <c:v>6.3</c:v>
                </c:pt>
                <c:pt idx="1387">
                  <c:v>3.8</c:v>
                </c:pt>
                <c:pt idx="1388">
                  <c:v>6.2</c:v>
                </c:pt>
                <c:pt idx="1389">
                  <c:v>5.7</c:v>
                </c:pt>
                <c:pt idx="1390">
                  <c:v>6.7</c:v>
                </c:pt>
                <c:pt idx="1391">
                  <c:v>6.8</c:v>
                </c:pt>
                <c:pt idx="1392">
                  <c:v>6</c:v>
                </c:pt>
                <c:pt idx="1393">
                  <c:v>7.3</c:v>
                </c:pt>
                <c:pt idx="1394">
                  <c:v>5.5</c:v>
                </c:pt>
                <c:pt idx="1395">
                  <c:v>6.7</c:v>
                </c:pt>
                <c:pt idx="1396">
                  <c:v>4.8</c:v>
                </c:pt>
                <c:pt idx="1397">
                  <c:v>5.7</c:v>
                </c:pt>
                <c:pt idx="1398">
                  <c:v>5.0999999999999996</c:v>
                </c:pt>
                <c:pt idx="1399">
                  <c:v>6</c:v>
                </c:pt>
                <c:pt idx="1400">
                  <c:v>4.2</c:v>
                </c:pt>
                <c:pt idx="1401">
                  <c:v>7.4</c:v>
                </c:pt>
                <c:pt idx="1402">
                  <c:v>4.5999999999999996</c:v>
                </c:pt>
                <c:pt idx="1403">
                  <c:v>6.9</c:v>
                </c:pt>
                <c:pt idx="1404">
                  <c:v>6.9</c:v>
                </c:pt>
                <c:pt idx="1405">
                  <c:v>8</c:v>
                </c:pt>
                <c:pt idx="1406">
                  <c:v>6.4</c:v>
                </c:pt>
                <c:pt idx="1407">
                  <c:v>6.3</c:v>
                </c:pt>
                <c:pt idx="1408">
                  <c:v>6.8</c:v>
                </c:pt>
                <c:pt idx="1409">
                  <c:v>6.8</c:v>
                </c:pt>
                <c:pt idx="1410">
                  <c:v>5.4</c:v>
                </c:pt>
                <c:pt idx="1411">
                  <c:v>7.2</c:v>
                </c:pt>
                <c:pt idx="1412">
                  <c:v>7.3</c:v>
                </c:pt>
                <c:pt idx="1413">
                  <c:v>5.2</c:v>
                </c:pt>
                <c:pt idx="1414">
                  <c:v>5.5</c:v>
                </c:pt>
                <c:pt idx="1415">
                  <c:v>7.7</c:v>
                </c:pt>
                <c:pt idx="1416">
                  <c:v>7.1</c:v>
                </c:pt>
                <c:pt idx="1417">
                  <c:v>5.3</c:v>
                </c:pt>
                <c:pt idx="1418">
                  <c:v>5.6</c:v>
                </c:pt>
                <c:pt idx="1419">
                  <c:v>5.7</c:v>
                </c:pt>
                <c:pt idx="1420">
                  <c:v>7.1</c:v>
                </c:pt>
                <c:pt idx="1421">
                  <c:v>7.6</c:v>
                </c:pt>
                <c:pt idx="1422">
                  <c:v>5.5</c:v>
                </c:pt>
                <c:pt idx="1423">
                  <c:v>5.0999999999999996</c:v>
                </c:pt>
                <c:pt idx="1424">
                  <c:v>6.3</c:v>
                </c:pt>
                <c:pt idx="1425">
                  <c:v>4.9000000000000004</c:v>
                </c:pt>
                <c:pt idx="1426">
                  <c:v>6.5</c:v>
                </c:pt>
                <c:pt idx="1427">
                  <c:v>5.6</c:v>
                </c:pt>
                <c:pt idx="1428">
                  <c:v>5.3</c:v>
                </c:pt>
                <c:pt idx="1429">
                  <c:v>6.5</c:v>
                </c:pt>
                <c:pt idx="1430">
                  <c:v>6.8</c:v>
                </c:pt>
                <c:pt idx="1431">
                  <c:v>6.5</c:v>
                </c:pt>
                <c:pt idx="1432">
                  <c:v>6</c:v>
                </c:pt>
                <c:pt idx="1433">
                  <c:v>8.4</c:v>
                </c:pt>
                <c:pt idx="1434">
                  <c:v>6</c:v>
                </c:pt>
                <c:pt idx="1435">
                  <c:v>7.6</c:v>
                </c:pt>
                <c:pt idx="1436">
                  <c:v>6.9</c:v>
                </c:pt>
                <c:pt idx="1437">
                  <c:v>6.4</c:v>
                </c:pt>
                <c:pt idx="1438">
                  <c:v>5.0999999999999996</c:v>
                </c:pt>
                <c:pt idx="1439">
                  <c:v>7</c:v>
                </c:pt>
                <c:pt idx="1440">
                  <c:v>5.7</c:v>
                </c:pt>
                <c:pt idx="1441">
                  <c:v>6.8</c:v>
                </c:pt>
                <c:pt idx="1442">
                  <c:v>6.7</c:v>
                </c:pt>
                <c:pt idx="1443">
                  <c:v>6.2</c:v>
                </c:pt>
                <c:pt idx="1444">
                  <c:v>7.2</c:v>
                </c:pt>
                <c:pt idx="1445">
                  <c:v>6.2</c:v>
                </c:pt>
                <c:pt idx="1446">
                  <c:v>5.6</c:v>
                </c:pt>
                <c:pt idx="1447">
                  <c:v>4.4000000000000004</c:v>
                </c:pt>
                <c:pt idx="1448">
                  <c:v>7.5</c:v>
                </c:pt>
                <c:pt idx="1449">
                  <c:v>7.1</c:v>
                </c:pt>
                <c:pt idx="1450">
                  <c:v>6.4</c:v>
                </c:pt>
                <c:pt idx="1451">
                  <c:v>7.1</c:v>
                </c:pt>
                <c:pt idx="1452">
                  <c:v>6.9</c:v>
                </c:pt>
                <c:pt idx="1453">
                  <c:v>7.5</c:v>
                </c:pt>
                <c:pt idx="1454">
                  <c:v>6.3</c:v>
                </c:pt>
                <c:pt idx="1455">
                  <c:v>6.4</c:v>
                </c:pt>
                <c:pt idx="1456">
                  <c:v>5.9</c:v>
                </c:pt>
                <c:pt idx="1457">
                  <c:v>6.8</c:v>
                </c:pt>
                <c:pt idx="1458">
                  <c:v>6.3</c:v>
                </c:pt>
                <c:pt idx="1459">
                  <c:v>3.6</c:v>
                </c:pt>
                <c:pt idx="1460">
                  <c:v>5.3</c:v>
                </c:pt>
                <c:pt idx="1461">
                  <c:v>5.9</c:v>
                </c:pt>
                <c:pt idx="1462">
                  <c:v>6.9</c:v>
                </c:pt>
                <c:pt idx="1463">
                  <c:v>6.9</c:v>
                </c:pt>
                <c:pt idx="1464">
                  <c:v>6.1</c:v>
                </c:pt>
                <c:pt idx="1465">
                  <c:v>8.5</c:v>
                </c:pt>
                <c:pt idx="1466">
                  <c:v>6.3</c:v>
                </c:pt>
                <c:pt idx="1467">
                  <c:v>7.3</c:v>
                </c:pt>
                <c:pt idx="1468">
                  <c:v>6.3</c:v>
                </c:pt>
                <c:pt idx="1469">
                  <c:v>7.2</c:v>
                </c:pt>
                <c:pt idx="1470">
                  <c:v>7.3</c:v>
                </c:pt>
                <c:pt idx="1471">
                  <c:v>6.3</c:v>
                </c:pt>
                <c:pt idx="1472">
                  <c:v>8.1</c:v>
                </c:pt>
                <c:pt idx="1473">
                  <c:v>6.9</c:v>
                </c:pt>
                <c:pt idx="1474">
                  <c:v>6.3</c:v>
                </c:pt>
                <c:pt idx="1475">
                  <c:v>7.3</c:v>
                </c:pt>
                <c:pt idx="1476">
                  <c:v>6.1</c:v>
                </c:pt>
                <c:pt idx="1477">
                  <c:v>6.9</c:v>
                </c:pt>
                <c:pt idx="1478">
                  <c:v>7.2</c:v>
                </c:pt>
                <c:pt idx="1479">
                  <c:v>6.4</c:v>
                </c:pt>
                <c:pt idx="1480">
                  <c:v>6.4</c:v>
                </c:pt>
                <c:pt idx="1481">
                  <c:v>8.3000000000000007</c:v>
                </c:pt>
                <c:pt idx="1482">
                  <c:v>7.2</c:v>
                </c:pt>
                <c:pt idx="1483">
                  <c:v>6.8</c:v>
                </c:pt>
                <c:pt idx="1484">
                  <c:v>6.5</c:v>
                </c:pt>
                <c:pt idx="1485">
                  <c:v>7.8</c:v>
                </c:pt>
                <c:pt idx="1486">
                  <c:v>7.6</c:v>
                </c:pt>
                <c:pt idx="1487">
                  <c:v>7.2</c:v>
                </c:pt>
                <c:pt idx="1488">
                  <c:v>6.7</c:v>
                </c:pt>
                <c:pt idx="1489">
                  <c:v>6.8</c:v>
                </c:pt>
                <c:pt idx="1490">
                  <c:v>6.3</c:v>
                </c:pt>
                <c:pt idx="1491">
                  <c:v>6.2</c:v>
                </c:pt>
                <c:pt idx="1492">
                  <c:v>6.2</c:v>
                </c:pt>
                <c:pt idx="1493">
                  <c:v>8.6</c:v>
                </c:pt>
                <c:pt idx="1494">
                  <c:v>8</c:v>
                </c:pt>
                <c:pt idx="1495">
                  <c:v>7</c:v>
                </c:pt>
                <c:pt idx="1496">
                  <c:v>8</c:v>
                </c:pt>
                <c:pt idx="1497">
                  <c:v>8.1</c:v>
                </c:pt>
                <c:pt idx="1498">
                  <c:v>6.7</c:v>
                </c:pt>
                <c:pt idx="1499">
                  <c:v>7.9</c:v>
                </c:pt>
                <c:pt idx="1500">
                  <c:v>6.1</c:v>
                </c:pt>
                <c:pt idx="1501">
                  <c:v>4.2</c:v>
                </c:pt>
                <c:pt idx="1502">
                  <c:v>6.1</c:v>
                </c:pt>
                <c:pt idx="1503">
                  <c:v>6.6</c:v>
                </c:pt>
                <c:pt idx="1504">
                  <c:v>7.5</c:v>
                </c:pt>
                <c:pt idx="1505">
                  <c:v>7.4</c:v>
                </c:pt>
                <c:pt idx="1506">
                  <c:v>7.2</c:v>
                </c:pt>
                <c:pt idx="1507">
                  <c:v>6.9</c:v>
                </c:pt>
                <c:pt idx="1508">
                  <c:v>7.4</c:v>
                </c:pt>
                <c:pt idx="1509">
                  <c:v>5.4</c:v>
                </c:pt>
                <c:pt idx="1510">
                  <c:v>6.8</c:v>
                </c:pt>
                <c:pt idx="1511">
                  <c:v>6.3</c:v>
                </c:pt>
                <c:pt idx="1512">
                  <c:v>7.2</c:v>
                </c:pt>
                <c:pt idx="1513">
                  <c:v>6.9</c:v>
                </c:pt>
                <c:pt idx="1514">
                  <c:v>6</c:v>
                </c:pt>
                <c:pt idx="1515">
                  <c:v>5.9</c:v>
                </c:pt>
                <c:pt idx="1516">
                  <c:v>5.4</c:v>
                </c:pt>
                <c:pt idx="1517">
                  <c:v>5.9</c:v>
                </c:pt>
                <c:pt idx="1518">
                  <c:v>6.1</c:v>
                </c:pt>
                <c:pt idx="1519">
                  <c:v>7.7</c:v>
                </c:pt>
                <c:pt idx="1520">
                  <c:v>5.8</c:v>
                </c:pt>
                <c:pt idx="1521">
                  <c:v>7.6</c:v>
                </c:pt>
                <c:pt idx="1522">
                  <c:v>6.1</c:v>
                </c:pt>
                <c:pt idx="1523">
                  <c:v>5.4</c:v>
                </c:pt>
                <c:pt idx="1524">
                  <c:v>5.0999999999999996</c:v>
                </c:pt>
                <c:pt idx="1525">
                  <c:v>6.4</c:v>
                </c:pt>
                <c:pt idx="1526">
                  <c:v>6.3</c:v>
                </c:pt>
                <c:pt idx="1527">
                  <c:v>7.5</c:v>
                </c:pt>
                <c:pt idx="1528">
                  <c:v>7.1</c:v>
                </c:pt>
                <c:pt idx="1529">
                  <c:v>7.8</c:v>
                </c:pt>
                <c:pt idx="1530">
                  <c:v>6.5</c:v>
                </c:pt>
                <c:pt idx="1531">
                  <c:v>6.6</c:v>
                </c:pt>
                <c:pt idx="1532">
                  <c:v>7.4</c:v>
                </c:pt>
                <c:pt idx="1533">
                  <c:v>7.6</c:v>
                </c:pt>
                <c:pt idx="1534">
                  <c:v>7.5</c:v>
                </c:pt>
                <c:pt idx="1535">
                  <c:v>6.6</c:v>
                </c:pt>
                <c:pt idx="1536">
                  <c:v>7.2</c:v>
                </c:pt>
                <c:pt idx="1537">
                  <c:v>7.6</c:v>
                </c:pt>
                <c:pt idx="1538">
                  <c:v>6.2</c:v>
                </c:pt>
                <c:pt idx="1539">
                  <c:v>5.6</c:v>
                </c:pt>
                <c:pt idx="1540">
                  <c:v>7.6</c:v>
                </c:pt>
                <c:pt idx="1541">
                  <c:v>6.6</c:v>
                </c:pt>
                <c:pt idx="1542">
                  <c:v>7</c:v>
                </c:pt>
                <c:pt idx="1543">
                  <c:v>2.7</c:v>
                </c:pt>
                <c:pt idx="1544">
                  <c:v>7.6</c:v>
                </c:pt>
                <c:pt idx="1545">
                  <c:v>6.6</c:v>
                </c:pt>
                <c:pt idx="1546">
                  <c:v>6.9</c:v>
                </c:pt>
                <c:pt idx="1547">
                  <c:v>6.8</c:v>
                </c:pt>
                <c:pt idx="1548">
                  <c:v>3.7</c:v>
                </c:pt>
                <c:pt idx="1549">
                  <c:v>6.1</c:v>
                </c:pt>
                <c:pt idx="1550">
                  <c:v>5.9</c:v>
                </c:pt>
                <c:pt idx="1551">
                  <c:v>6.7</c:v>
                </c:pt>
                <c:pt idx="1552">
                  <c:v>6.9</c:v>
                </c:pt>
                <c:pt idx="1553">
                  <c:v>5.5</c:v>
                </c:pt>
                <c:pt idx="1554">
                  <c:v>7.1</c:v>
                </c:pt>
                <c:pt idx="1555">
                  <c:v>7.1</c:v>
                </c:pt>
                <c:pt idx="1556">
                  <c:v>7.3</c:v>
                </c:pt>
                <c:pt idx="1557">
                  <c:v>3.4</c:v>
                </c:pt>
                <c:pt idx="1558">
                  <c:v>6.8</c:v>
                </c:pt>
                <c:pt idx="1559">
                  <c:v>6.9</c:v>
                </c:pt>
                <c:pt idx="1560">
                  <c:v>7</c:v>
                </c:pt>
                <c:pt idx="1561">
                  <c:v>5.5</c:v>
                </c:pt>
                <c:pt idx="1562">
                  <c:v>5.0999999999999996</c:v>
                </c:pt>
                <c:pt idx="1563">
                  <c:v>6.2</c:v>
                </c:pt>
                <c:pt idx="1564">
                  <c:v>5.9</c:v>
                </c:pt>
                <c:pt idx="1565">
                  <c:v>5.2</c:v>
                </c:pt>
                <c:pt idx="1566">
                  <c:v>6.2</c:v>
                </c:pt>
                <c:pt idx="1567">
                  <c:v>5.5</c:v>
                </c:pt>
                <c:pt idx="1568">
                  <c:v>7.4</c:v>
                </c:pt>
                <c:pt idx="1569">
                  <c:v>4.4000000000000004</c:v>
                </c:pt>
                <c:pt idx="1570">
                  <c:v>6.3</c:v>
                </c:pt>
                <c:pt idx="1571">
                  <c:v>6.1</c:v>
                </c:pt>
                <c:pt idx="1572">
                  <c:v>5.3</c:v>
                </c:pt>
                <c:pt idx="1573">
                  <c:v>5.4</c:v>
                </c:pt>
                <c:pt idx="1574">
                  <c:v>6.7</c:v>
                </c:pt>
                <c:pt idx="1575">
                  <c:v>5.9</c:v>
                </c:pt>
                <c:pt idx="1576">
                  <c:v>7.3</c:v>
                </c:pt>
                <c:pt idx="1577">
                  <c:v>5.5</c:v>
                </c:pt>
                <c:pt idx="1578">
                  <c:v>5.8</c:v>
                </c:pt>
                <c:pt idx="1579">
                  <c:v>4.5999999999999996</c:v>
                </c:pt>
                <c:pt idx="1580">
                  <c:v>6.7</c:v>
                </c:pt>
                <c:pt idx="1581">
                  <c:v>5.0999999999999996</c:v>
                </c:pt>
                <c:pt idx="1582">
                  <c:v>5.6</c:v>
                </c:pt>
                <c:pt idx="1583">
                  <c:v>7</c:v>
                </c:pt>
                <c:pt idx="1584">
                  <c:v>6.4</c:v>
                </c:pt>
                <c:pt idx="1585">
                  <c:v>6.7</c:v>
                </c:pt>
                <c:pt idx="1586">
                  <c:v>4.0999999999999996</c:v>
                </c:pt>
                <c:pt idx="1587">
                  <c:v>5.5</c:v>
                </c:pt>
                <c:pt idx="1588">
                  <c:v>2.7</c:v>
                </c:pt>
                <c:pt idx="1589">
                  <c:v>6.4</c:v>
                </c:pt>
                <c:pt idx="1590">
                  <c:v>4.8</c:v>
                </c:pt>
                <c:pt idx="1591">
                  <c:v>6.1</c:v>
                </c:pt>
                <c:pt idx="1592">
                  <c:v>4.8</c:v>
                </c:pt>
                <c:pt idx="1593">
                  <c:v>7</c:v>
                </c:pt>
                <c:pt idx="1594">
                  <c:v>6.8</c:v>
                </c:pt>
                <c:pt idx="1595">
                  <c:v>5.6</c:v>
                </c:pt>
                <c:pt idx="1596">
                  <c:v>6.1</c:v>
                </c:pt>
                <c:pt idx="1597">
                  <c:v>7.9</c:v>
                </c:pt>
                <c:pt idx="1598">
                  <c:v>8.4</c:v>
                </c:pt>
                <c:pt idx="1599">
                  <c:v>6.5</c:v>
                </c:pt>
                <c:pt idx="1600">
                  <c:v>7.1</c:v>
                </c:pt>
                <c:pt idx="1601">
                  <c:v>6.6</c:v>
                </c:pt>
                <c:pt idx="1602">
                  <c:v>7</c:v>
                </c:pt>
                <c:pt idx="1603">
                  <c:v>5.6</c:v>
                </c:pt>
                <c:pt idx="1604">
                  <c:v>4.8</c:v>
                </c:pt>
                <c:pt idx="1605">
                  <c:v>7.5</c:v>
                </c:pt>
                <c:pt idx="1606">
                  <c:v>6</c:v>
                </c:pt>
                <c:pt idx="1607">
                  <c:v>6.8</c:v>
                </c:pt>
                <c:pt idx="1608">
                  <c:v>6.5</c:v>
                </c:pt>
                <c:pt idx="1609">
                  <c:v>7.9</c:v>
                </c:pt>
                <c:pt idx="1610">
                  <c:v>6.4</c:v>
                </c:pt>
                <c:pt idx="1611">
                  <c:v>5.8</c:v>
                </c:pt>
                <c:pt idx="1612">
                  <c:v>7.7</c:v>
                </c:pt>
                <c:pt idx="1613">
                  <c:v>5.3</c:v>
                </c:pt>
                <c:pt idx="1614">
                  <c:v>5.3</c:v>
                </c:pt>
                <c:pt idx="1615">
                  <c:v>7.5</c:v>
                </c:pt>
                <c:pt idx="1616">
                  <c:v>6.9</c:v>
                </c:pt>
                <c:pt idx="1617">
                  <c:v>4.9000000000000004</c:v>
                </c:pt>
                <c:pt idx="1618">
                  <c:v>7.1</c:v>
                </c:pt>
                <c:pt idx="1619">
                  <c:v>8</c:v>
                </c:pt>
                <c:pt idx="1620">
                  <c:v>7.9</c:v>
                </c:pt>
                <c:pt idx="1621">
                  <c:v>7.6</c:v>
                </c:pt>
                <c:pt idx="1622">
                  <c:v>5.9</c:v>
                </c:pt>
                <c:pt idx="1623">
                  <c:v>6.3</c:v>
                </c:pt>
                <c:pt idx="1624">
                  <c:v>6.4</c:v>
                </c:pt>
                <c:pt idx="1625">
                  <c:v>8.1999999999999993</c:v>
                </c:pt>
                <c:pt idx="1626">
                  <c:v>6.9</c:v>
                </c:pt>
                <c:pt idx="1627">
                  <c:v>7.8</c:v>
                </c:pt>
                <c:pt idx="1628">
                  <c:v>6.7</c:v>
                </c:pt>
                <c:pt idx="1629">
                  <c:v>7.5</c:v>
                </c:pt>
                <c:pt idx="1630">
                  <c:v>7.4</c:v>
                </c:pt>
                <c:pt idx="1631">
                  <c:v>5.2</c:v>
                </c:pt>
                <c:pt idx="1632">
                  <c:v>7.6</c:v>
                </c:pt>
                <c:pt idx="1633">
                  <c:v>7.3</c:v>
                </c:pt>
                <c:pt idx="1634">
                  <c:v>6.6</c:v>
                </c:pt>
                <c:pt idx="1635">
                  <c:v>6.8</c:v>
                </c:pt>
                <c:pt idx="1636">
                  <c:v>6.9</c:v>
                </c:pt>
                <c:pt idx="1637">
                  <c:v>5.8</c:v>
                </c:pt>
                <c:pt idx="1638">
                  <c:v>6.6</c:v>
                </c:pt>
                <c:pt idx="1639">
                  <c:v>6.7</c:v>
                </c:pt>
                <c:pt idx="1640">
                  <c:v>6.7</c:v>
                </c:pt>
                <c:pt idx="1641">
                  <c:v>6.3</c:v>
                </c:pt>
                <c:pt idx="1642">
                  <c:v>7.7</c:v>
                </c:pt>
                <c:pt idx="1643">
                  <c:v>6.1</c:v>
                </c:pt>
                <c:pt idx="1644">
                  <c:v>4.9000000000000004</c:v>
                </c:pt>
                <c:pt idx="1645">
                  <c:v>6.2</c:v>
                </c:pt>
                <c:pt idx="1646">
                  <c:v>7.8</c:v>
                </c:pt>
                <c:pt idx="1647">
                  <c:v>8.1999999999999993</c:v>
                </c:pt>
                <c:pt idx="1648">
                  <c:v>6.9</c:v>
                </c:pt>
                <c:pt idx="1649">
                  <c:v>6.2</c:v>
                </c:pt>
                <c:pt idx="1650">
                  <c:v>6.9</c:v>
                </c:pt>
                <c:pt idx="1651">
                  <c:v>4.8</c:v>
                </c:pt>
                <c:pt idx="1652">
                  <c:v>8</c:v>
                </c:pt>
                <c:pt idx="1653">
                  <c:v>5.3</c:v>
                </c:pt>
                <c:pt idx="1654">
                  <c:v>6.7</c:v>
                </c:pt>
                <c:pt idx="1655">
                  <c:v>5.4</c:v>
                </c:pt>
                <c:pt idx="1656">
                  <c:v>5.4</c:v>
                </c:pt>
                <c:pt idx="1657">
                  <c:v>4.9000000000000004</c:v>
                </c:pt>
                <c:pt idx="1658">
                  <c:v>6.1</c:v>
                </c:pt>
                <c:pt idx="1659">
                  <c:v>5.8</c:v>
                </c:pt>
                <c:pt idx="1660">
                  <c:v>7</c:v>
                </c:pt>
                <c:pt idx="1661">
                  <c:v>6.5</c:v>
                </c:pt>
                <c:pt idx="1662">
                  <c:v>6.6</c:v>
                </c:pt>
                <c:pt idx="1663">
                  <c:v>5.7</c:v>
                </c:pt>
                <c:pt idx="1664">
                  <c:v>6.6</c:v>
                </c:pt>
                <c:pt idx="1665">
                  <c:v>7</c:v>
                </c:pt>
                <c:pt idx="1666">
                  <c:v>7.4</c:v>
                </c:pt>
                <c:pt idx="1667">
                  <c:v>5.3</c:v>
                </c:pt>
                <c:pt idx="1668">
                  <c:v>7.4</c:v>
                </c:pt>
                <c:pt idx="1669">
                  <c:v>7.4</c:v>
                </c:pt>
                <c:pt idx="1670">
                  <c:v>6.8</c:v>
                </c:pt>
                <c:pt idx="1671">
                  <c:v>7.2</c:v>
                </c:pt>
                <c:pt idx="1672">
                  <c:v>6</c:v>
                </c:pt>
                <c:pt idx="1673">
                  <c:v>6.6</c:v>
                </c:pt>
                <c:pt idx="1674">
                  <c:v>7.9</c:v>
                </c:pt>
                <c:pt idx="1675">
                  <c:v>5.7</c:v>
                </c:pt>
                <c:pt idx="1676">
                  <c:v>7.1</c:v>
                </c:pt>
                <c:pt idx="1677">
                  <c:v>5.6</c:v>
                </c:pt>
                <c:pt idx="1678">
                  <c:v>7.8</c:v>
                </c:pt>
                <c:pt idx="1679">
                  <c:v>7.9</c:v>
                </c:pt>
                <c:pt idx="1680">
                  <c:v>6.9</c:v>
                </c:pt>
                <c:pt idx="1681">
                  <c:v>7.7</c:v>
                </c:pt>
                <c:pt idx="1682">
                  <c:v>6.9</c:v>
                </c:pt>
                <c:pt idx="1683">
                  <c:v>6</c:v>
                </c:pt>
                <c:pt idx="1684">
                  <c:v>6.2</c:v>
                </c:pt>
                <c:pt idx="1685">
                  <c:v>5.9</c:v>
                </c:pt>
                <c:pt idx="1686">
                  <c:v>6.8</c:v>
                </c:pt>
                <c:pt idx="1687">
                  <c:v>3.6</c:v>
                </c:pt>
                <c:pt idx="1688">
                  <c:v>6.7</c:v>
                </c:pt>
                <c:pt idx="1689">
                  <c:v>6.3</c:v>
                </c:pt>
                <c:pt idx="1690">
                  <c:v>6.4</c:v>
                </c:pt>
                <c:pt idx="1691">
                  <c:v>6.4</c:v>
                </c:pt>
                <c:pt idx="1692">
                  <c:v>5.7</c:v>
                </c:pt>
                <c:pt idx="1693">
                  <c:v>6.2</c:v>
                </c:pt>
                <c:pt idx="1694">
                  <c:v>5.2</c:v>
                </c:pt>
                <c:pt idx="1695">
                  <c:v>6.1</c:v>
                </c:pt>
                <c:pt idx="1696">
                  <c:v>7.1</c:v>
                </c:pt>
                <c:pt idx="1697">
                  <c:v>7.2</c:v>
                </c:pt>
                <c:pt idx="1698">
                  <c:v>6.5</c:v>
                </c:pt>
                <c:pt idx="1699">
                  <c:v>6</c:v>
                </c:pt>
                <c:pt idx="1700">
                  <c:v>7</c:v>
                </c:pt>
                <c:pt idx="1701">
                  <c:v>7</c:v>
                </c:pt>
                <c:pt idx="1702">
                  <c:v>7.5</c:v>
                </c:pt>
                <c:pt idx="1703">
                  <c:v>6.6</c:v>
                </c:pt>
                <c:pt idx="1704">
                  <c:v>7.4</c:v>
                </c:pt>
                <c:pt idx="1705">
                  <c:v>6.5</c:v>
                </c:pt>
                <c:pt idx="1706">
                  <c:v>6.2</c:v>
                </c:pt>
                <c:pt idx="1707">
                  <c:v>7.8</c:v>
                </c:pt>
                <c:pt idx="1708">
                  <c:v>5.2</c:v>
                </c:pt>
                <c:pt idx="1709">
                  <c:v>6.5</c:v>
                </c:pt>
                <c:pt idx="1710">
                  <c:v>6.5</c:v>
                </c:pt>
                <c:pt idx="1711">
                  <c:v>5.2</c:v>
                </c:pt>
                <c:pt idx="1712">
                  <c:v>7.2</c:v>
                </c:pt>
                <c:pt idx="1713">
                  <c:v>7.1</c:v>
                </c:pt>
                <c:pt idx="1714">
                  <c:v>4.5</c:v>
                </c:pt>
                <c:pt idx="1715">
                  <c:v>5.7</c:v>
                </c:pt>
                <c:pt idx="1716">
                  <c:v>6</c:v>
                </c:pt>
                <c:pt idx="1717">
                  <c:v>6.4</c:v>
                </c:pt>
                <c:pt idx="1718">
                  <c:v>5.2</c:v>
                </c:pt>
                <c:pt idx="1719">
                  <c:v>4.3</c:v>
                </c:pt>
                <c:pt idx="1720">
                  <c:v>6.1</c:v>
                </c:pt>
                <c:pt idx="1721">
                  <c:v>6.8</c:v>
                </c:pt>
                <c:pt idx="1722">
                  <c:v>5.2</c:v>
                </c:pt>
                <c:pt idx="1723">
                  <c:v>6.5</c:v>
                </c:pt>
                <c:pt idx="1724">
                  <c:v>7.5</c:v>
                </c:pt>
                <c:pt idx="1725">
                  <c:v>7.1</c:v>
                </c:pt>
                <c:pt idx="1726">
                  <c:v>6.9</c:v>
                </c:pt>
                <c:pt idx="1727">
                  <c:v>8</c:v>
                </c:pt>
                <c:pt idx="1728">
                  <c:v>8.1999999999999993</c:v>
                </c:pt>
                <c:pt idx="1729">
                  <c:v>6.4</c:v>
                </c:pt>
                <c:pt idx="1730">
                  <c:v>7.9</c:v>
                </c:pt>
                <c:pt idx="1731">
                  <c:v>6.7</c:v>
                </c:pt>
                <c:pt idx="1732">
                  <c:v>6.1</c:v>
                </c:pt>
                <c:pt idx="1733">
                  <c:v>8.9</c:v>
                </c:pt>
                <c:pt idx="1734">
                  <c:v>8.1</c:v>
                </c:pt>
                <c:pt idx="1735">
                  <c:v>6.2</c:v>
                </c:pt>
                <c:pt idx="1736">
                  <c:v>4.9000000000000004</c:v>
                </c:pt>
                <c:pt idx="1737">
                  <c:v>5.8</c:v>
                </c:pt>
                <c:pt idx="1738">
                  <c:v>6</c:v>
                </c:pt>
                <c:pt idx="1739">
                  <c:v>7</c:v>
                </c:pt>
                <c:pt idx="1740">
                  <c:v>6</c:v>
                </c:pt>
                <c:pt idx="1741">
                  <c:v>7.9</c:v>
                </c:pt>
                <c:pt idx="1742">
                  <c:v>8.1</c:v>
                </c:pt>
                <c:pt idx="1743">
                  <c:v>6.2</c:v>
                </c:pt>
                <c:pt idx="1744">
                  <c:v>6.7</c:v>
                </c:pt>
                <c:pt idx="1745">
                  <c:v>7.3</c:v>
                </c:pt>
                <c:pt idx="1746">
                  <c:v>4.5999999999999996</c:v>
                </c:pt>
                <c:pt idx="1747">
                  <c:v>6.1</c:v>
                </c:pt>
                <c:pt idx="1748">
                  <c:v>6.2</c:v>
                </c:pt>
                <c:pt idx="1749">
                  <c:v>7.8</c:v>
                </c:pt>
                <c:pt idx="1750">
                  <c:v>6.1</c:v>
                </c:pt>
                <c:pt idx="1751">
                  <c:v>5.8</c:v>
                </c:pt>
                <c:pt idx="1752">
                  <c:v>6.5</c:v>
                </c:pt>
                <c:pt idx="1753">
                  <c:v>7.2</c:v>
                </c:pt>
                <c:pt idx="1754">
                  <c:v>7.8</c:v>
                </c:pt>
                <c:pt idx="1755">
                  <c:v>4.7</c:v>
                </c:pt>
                <c:pt idx="1756">
                  <c:v>6.8</c:v>
                </c:pt>
                <c:pt idx="1757">
                  <c:v>5.9</c:v>
                </c:pt>
                <c:pt idx="1758">
                  <c:v>7.2</c:v>
                </c:pt>
                <c:pt idx="1759">
                  <c:v>8.6999999999999993</c:v>
                </c:pt>
                <c:pt idx="1760">
                  <c:v>5</c:v>
                </c:pt>
                <c:pt idx="1761">
                  <c:v>6.6</c:v>
                </c:pt>
                <c:pt idx="1762">
                  <c:v>8.3000000000000007</c:v>
                </c:pt>
                <c:pt idx="1763">
                  <c:v>6.7</c:v>
                </c:pt>
                <c:pt idx="1764">
                  <c:v>7.8</c:v>
                </c:pt>
                <c:pt idx="1765">
                  <c:v>6.5</c:v>
                </c:pt>
                <c:pt idx="1766">
                  <c:v>6.1</c:v>
                </c:pt>
                <c:pt idx="1767">
                  <c:v>8.1</c:v>
                </c:pt>
                <c:pt idx="1768">
                  <c:v>5.2</c:v>
                </c:pt>
                <c:pt idx="1769">
                  <c:v>5.6</c:v>
                </c:pt>
                <c:pt idx="1770">
                  <c:v>5.8</c:v>
                </c:pt>
                <c:pt idx="1771">
                  <c:v>6.6</c:v>
                </c:pt>
                <c:pt idx="1772">
                  <c:v>6.6</c:v>
                </c:pt>
                <c:pt idx="1773">
                  <c:v>5.5</c:v>
                </c:pt>
                <c:pt idx="1774">
                  <c:v>7</c:v>
                </c:pt>
                <c:pt idx="1775">
                  <c:v>6.5</c:v>
                </c:pt>
                <c:pt idx="1776">
                  <c:v>5.8</c:v>
                </c:pt>
                <c:pt idx="1777">
                  <c:v>5.6</c:v>
                </c:pt>
                <c:pt idx="1778">
                  <c:v>5.6</c:v>
                </c:pt>
                <c:pt idx="1779">
                  <c:v>5.8</c:v>
                </c:pt>
                <c:pt idx="1780">
                  <c:v>7.6</c:v>
                </c:pt>
                <c:pt idx="1781">
                  <c:v>6.4</c:v>
                </c:pt>
                <c:pt idx="1782">
                  <c:v>6.3</c:v>
                </c:pt>
                <c:pt idx="1783">
                  <c:v>4.5999999999999996</c:v>
                </c:pt>
                <c:pt idx="1784">
                  <c:v>6.5</c:v>
                </c:pt>
                <c:pt idx="1785">
                  <c:v>7.5</c:v>
                </c:pt>
                <c:pt idx="1786">
                  <c:v>7.5</c:v>
                </c:pt>
                <c:pt idx="1787">
                  <c:v>5.3</c:v>
                </c:pt>
                <c:pt idx="1788">
                  <c:v>7.5</c:v>
                </c:pt>
                <c:pt idx="1789">
                  <c:v>3.3</c:v>
                </c:pt>
                <c:pt idx="1790">
                  <c:v>3.5</c:v>
                </c:pt>
                <c:pt idx="1791">
                  <c:v>9.3000000000000007</c:v>
                </c:pt>
                <c:pt idx="1792">
                  <c:v>4.8</c:v>
                </c:pt>
                <c:pt idx="1793">
                  <c:v>6.9</c:v>
                </c:pt>
                <c:pt idx="1794">
                  <c:v>6</c:v>
                </c:pt>
                <c:pt idx="1795">
                  <c:v>7.3</c:v>
                </c:pt>
                <c:pt idx="1796">
                  <c:v>6.6</c:v>
                </c:pt>
                <c:pt idx="1797">
                  <c:v>7.5</c:v>
                </c:pt>
                <c:pt idx="1798">
                  <c:v>6.9</c:v>
                </c:pt>
                <c:pt idx="1799">
                  <c:v>6.8</c:v>
                </c:pt>
                <c:pt idx="1800">
                  <c:v>6.3</c:v>
                </c:pt>
                <c:pt idx="1801">
                  <c:v>6.4</c:v>
                </c:pt>
                <c:pt idx="1802">
                  <c:v>5.6</c:v>
                </c:pt>
                <c:pt idx="1803">
                  <c:v>6.3</c:v>
                </c:pt>
                <c:pt idx="1804">
                  <c:v>7.3</c:v>
                </c:pt>
                <c:pt idx="1805">
                  <c:v>6.6</c:v>
                </c:pt>
                <c:pt idx="1806">
                  <c:v>4.5999999999999996</c:v>
                </c:pt>
                <c:pt idx="1807">
                  <c:v>5.0999999999999996</c:v>
                </c:pt>
                <c:pt idx="1808">
                  <c:v>5.6</c:v>
                </c:pt>
                <c:pt idx="1809">
                  <c:v>5.3</c:v>
                </c:pt>
                <c:pt idx="1810">
                  <c:v>5.6</c:v>
                </c:pt>
                <c:pt idx="1811">
                  <c:v>5.9</c:v>
                </c:pt>
                <c:pt idx="1812">
                  <c:v>4.7</c:v>
                </c:pt>
                <c:pt idx="1813">
                  <c:v>4.8</c:v>
                </c:pt>
                <c:pt idx="1814">
                  <c:v>6.8</c:v>
                </c:pt>
                <c:pt idx="1815">
                  <c:v>5.4</c:v>
                </c:pt>
                <c:pt idx="1816">
                  <c:v>5.0999999999999996</c:v>
                </c:pt>
                <c:pt idx="1817">
                  <c:v>7</c:v>
                </c:pt>
                <c:pt idx="1818">
                  <c:v>4</c:v>
                </c:pt>
                <c:pt idx="1819">
                  <c:v>7.3</c:v>
                </c:pt>
                <c:pt idx="1820">
                  <c:v>6.8</c:v>
                </c:pt>
                <c:pt idx="1821">
                  <c:v>7</c:v>
                </c:pt>
                <c:pt idx="1822">
                  <c:v>7.1</c:v>
                </c:pt>
                <c:pt idx="1823">
                  <c:v>6.9</c:v>
                </c:pt>
                <c:pt idx="1824">
                  <c:v>7.3</c:v>
                </c:pt>
                <c:pt idx="1825">
                  <c:v>8.1999999999999993</c:v>
                </c:pt>
                <c:pt idx="1826">
                  <c:v>7.1</c:v>
                </c:pt>
                <c:pt idx="1827">
                  <c:v>7.7</c:v>
                </c:pt>
                <c:pt idx="1828">
                  <c:v>6.5</c:v>
                </c:pt>
                <c:pt idx="1829">
                  <c:v>4.9000000000000004</c:v>
                </c:pt>
                <c:pt idx="1830">
                  <c:v>6.4</c:v>
                </c:pt>
                <c:pt idx="1831">
                  <c:v>5.9</c:v>
                </c:pt>
                <c:pt idx="1832">
                  <c:v>6.2</c:v>
                </c:pt>
                <c:pt idx="1833">
                  <c:v>5.8</c:v>
                </c:pt>
                <c:pt idx="1834">
                  <c:v>6.7</c:v>
                </c:pt>
                <c:pt idx="1835">
                  <c:v>5.9</c:v>
                </c:pt>
                <c:pt idx="1836">
                  <c:v>7.3</c:v>
                </c:pt>
                <c:pt idx="1837">
                  <c:v>4.0999999999999996</c:v>
                </c:pt>
                <c:pt idx="1838">
                  <c:v>4.9000000000000004</c:v>
                </c:pt>
                <c:pt idx="1839">
                  <c:v>7.9</c:v>
                </c:pt>
                <c:pt idx="1840">
                  <c:v>5.2</c:v>
                </c:pt>
                <c:pt idx="1841">
                  <c:v>4.0999999999999996</c:v>
                </c:pt>
                <c:pt idx="1842">
                  <c:v>6.6</c:v>
                </c:pt>
                <c:pt idx="1843">
                  <c:v>2.9</c:v>
                </c:pt>
                <c:pt idx="1844">
                  <c:v>6.5</c:v>
                </c:pt>
                <c:pt idx="1845">
                  <c:v>7.2</c:v>
                </c:pt>
                <c:pt idx="1846">
                  <c:v>6.8</c:v>
                </c:pt>
                <c:pt idx="1847">
                  <c:v>7.8</c:v>
                </c:pt>
                <c:pt idx="1848">
                  <c:v>6.7</c:v>
                </c:pt>
                <c:pt idx="1849">
                  <c:v>7.1</c:v>
                </c:pt>
                <c:pt idx="1850">
                  <c:v>5.7</c:v>
                </c:pt>
                <c:pt idx="1851">
                  <c:v>5.3</c:v>
                </c:pt>
                <c:pt idx="1852">
                  <c:v>6.5</c:v>
                </c:pt>
                <c:pt idx="1853">
                  <c:v>7.7</c:v>
                </c:pt>
                <c:pt idx="1854">
                  <c:v>6.1</c:v>
                </c:pt>
                <c:pt idx="1855">
                  <c:v>7.3</c:v>
                </c:pt>
                <c:pt idx="1856">
                  <c:v>7.2</c:v>
                </c:pt>
                <c:pt idx="1857">
                  <c:v>6.1</c:v>
                </c:pt>
                <c:pt idx="1858">
                  <c:v>5.8</c:v>
                </c:pt>
                <c:pt idx="1859">
                  <c:v>5.7</c:v>
                </c:pt>
                <c:pt idx="1860">
                  <c:v>6.7</c:v>
                </c:pt>
                <c:pt idx="1861">
                  <c:v>6.5</c:v>
                </c:pt>
                <c:pt idx="1862">
                  <c:v>7.2</c:v>
                </c:pt>
                <c:pt idx="1863">
                  <c:v>7.6</c:v>
                </c:pt>
                <c:pt idx="1864">
                  <c:v>4.5999999999999996</c:v>
                </c:pt>
                <c:pt idx="1865">
                  <c:v>6.9</c:v>
                </c:pt>
                <c:pt idx="1866">
                  <c:v>6.6</c:v>
                </c:pt>
                <c:pt idx="1867">
                  <c:v>6.3</c:v>
                </c:pt>
                <c:pt idx="1868">
                  <c:v>6.2</c:v>
                </c:pt>
                <c:pt idx="1869">
                  <c:v>5.3</c:v>
                </c:pt>
                <c:pt idx="1870">
                  <c:v>7.3</c:v>
                </c:pt>
                <c:pt idx="1871">
                  <c:v>5.6</c:v>
                </c:pt>
                <c:pt idx="1872">
                  <c:v>6.2</c:v>
                </c:pt>
                <c:pt idx="1873">
                  <c:v>5.2</c:v>
                </c:pt>
                <c:pt idx="1874">
                  <c:v>5.3</c:v>
                </c:pt>
                <c:pt idx="1875">
                  <c:v>5.4</c:v>
                </c:pt>
                <c:pt idx="1876">
                  <c:v>4.9000000000000004</c:v>
                </c:pt>
                <c:pt idx="1877">
                  <c:v>5.5</c:v>
                </c:pt>
                <c:pt idx="1878">
                  <c:v>6.7</c:v>
                </c:pt>
                <c:pt idx="1879">
                  <c:v>3.9</c:v>
                </c:pt>
                <c:pt idx="1880">
                  <c:v>7.2</c:v>
                </c:pt>
                <c:pt idx="1881">
                  <c:v>5.0999999999999996</c:v>
                </c:pt>
                <c:pt idx="1882">
                  <c:v>6.5</c:v>
                </c:pt>
                <c:pt idx="1883">
                  <c:v>8.1999999999999993</c:v>
                </c:pt>
                <c:pt idx="1884">
                  <c:v>7.7</c:v>
                </c:pt>
                <c:pt idx="1885">
                  <c:v>6.1</c:v>
                </c:pt>
                <c:pt idx="1886">
                  <c:v>8.8000000000000007</c:v>
                </c:pt>
                <c:pt idx="1887">
                  <c:v>6.8</c:v>
                </c:pt>
                <c:pt idx="1888">
                  <c:v>6.8</c:v>
                </c:pt>
                <c:pt idx="1889">
                  <c:v>6.7</c:v>
                </c:pt>
                <c:pt idx="1890">
                  <c:v>7.1</c:v>
                </c:pt>
                <c:pt idx="1891">
                  <c:v>7.1</c:v>
                </c:pt>
                <c:pt idx="1892">
                  <c:v>6.1</c:v>
                </c:pt>
                <c:pt idx="1893">
                  <c:v>8</c:v>
                </c:pt>
                <c:pt idx="1894">
                  <c:v>6.6</c:v>
                </c:pt>
                <c:pt idx="1895">
                  <c:v>5.4</c:v>
                </c:pt>
                <c:pt idx="1896">
                  <c:v>6.1</c:v>
                </c:pt>
                <c:pt idx="1897">
                  <c:v>5.6</c:v>
                </c:pt>
                <c:pt idx="1898">
                  <c:v>5.8</c:v>
                </c:pt>
                <c:pt idx="1899">
                  <c:v>2.8</c:v>
                </c:pt>
                <c:pt idx="1900">
                  <c:v>6.7</c:v>
                </c:pt>
                <c:pt idx="1901">
                  <c:v>5.0999999999999996</c:v>
                </c:pt>
                <c:pt idx="1902">
                  <c:v>7.2</c:v>
                </c:pt>
                <c:pt idx="1903">
                  <c:v>6</c:v>
                </c:pt>
                <c:pt idx="1904">
                  <c:v>6.7</c:v>
                </c:pt>
                <c:pt idx="1905">
                  <c:v>6.2</c:v>
                </c:pt>
                <c:pt idx="1906">
                  <c:v>6.2</c:v>
                </c:pt>
                <c:pt idx="1907">
                  <c:v>6.8</c:v>
                </c:pt>
                <c:pt idx="1908">
                  <c:v>7.1</c:v>
                </c:pt>
                <c:pt idx="1909">
                  <c:v>7.1</c:v>
                </c:pt>
                <c:pt idx="1910">
                  <c:v>7</c:v>
                </c:pt>
                <c:pt idx="1911">
                  <c:v>7.1</c:v>
                </c:pt>
                <c:pt idx="1912">
                  <c:v>6.4</c:v>
                </c:pt>
                <c:pt idx="1913">
                  <c:v>7</c:v>
                </c:pt>
                <c:pt idx="1914">
                  <c:v>6.2</c:v>
                </c:pt>
                <c:pt idx="1915">
                  <c:v>7.5</c:v>
                </c:pt>
                <c:pt idx="1916">
                  <c:v>4.8</c:v>
                </c:pt>
                <c:pt idx="1917">
                  <c:v>7.3</c:v>
                </c:pt>
                <c:pt idx="1918">
                  <c:v>5.8</c:v>
                </c:pt>
                <c:pt idx="1919">
                  <c:v>7.6</c:v>
                </c:pt>
                <c:pt idx="1920">
                  <c:v>5.6</c:v>
                </c:pt>
                <c:pt idx="1921">
                  <c:v>7</c:v>
                </c:pt>
                <c:pt idx="1922">
                  <c:v>6.6</c:v>
                </c:pt>
                <c:pt idx="1923">
                  <c:v>6.5</c:v>
                </c:pt>
                <c:pt idx="1924">
                  <c:v>7.4</c:v>
                </c:pt>
                <c:pt idx="1925">
                  <c:v>4.5999999999999996</c:v>
                </c:pt>
                <c:pt idx="1926">
                  <c:v>6.4</c:v>
                </c:pt>
                <c:pt idx="1927">
                  <c:v>5.9</c:v>
                </c:pt>
                <c:pt idx="1928">
                  <c:v>6.4</c:v>
                </c:pt>
                <c:pt idx="1929">
                  <c:v>6.6</c:v>
                </c:pt>
                <c:pt idx="1930">
                  <c:v>6.9</c:v>
                </c:pt>
                <c:pt idx="1931">
                  <c:v>5.8</c:v>
                </c:pt>
                <c:pt idx="1932">
                  <c:v>6.4</c:v>
                </c:pt>
                <c:pt idx="1933">
                  <c:v>5.3</c:v>
                </c:pt>
                <c:pt idx="1934">
                  <c:v>6.5</c:v>
                </c:pt>
                <c:pt idx="1935">
                  <c:v>5.7</c:v>
                </c:pt>
                <c:pt idx="1936">
                  <c:v>6.7</c:v>
                </c:pt>
                <c:pt idx="1937">
                  <c:v>3.9</c:v>
                </c:pt>
                <c:pt idx="1938">
                  <c:v>4.0999999999999996</c:v>
                </c:pt>
                <c:pt idx="1939">
                  <c:v>6.2</c:v>
                </c:pt>
                <c:pt idx="1940">
                  <c:v>3.8</c:v>
                </c:pt>
                <c:pt idx="1941">
                  <c:v>5.0999999999999996</c:v>
                </c:pt>
                <c:pt idx="1942">
                  <c:v>7.8</c:v>
                </c:pt>
                <c:pt idx="1943">
                  <c:v>7.8</c:v>
                </c:pt>
                <c:pt idx="1944">
                  <c:v>6.1</c:v>
                </c:pt>
                <c:pt idx="1945">
                  <c:v>5.8</c:v>
                </c:pt>
                <c:pt idx="1946">
                  <c:v>6.3</c:v>
                </c:pt>
                <c:pt idx="1947">
                  <c:v>5.4</c:v>
                </c:pt>
                <c:pt idx="1948">
                  <c:v>7.3</c:v>
                </c:pt>
                <c:pt idx="1949">
                  <c:v>6.8</c:v>
                </c:pt>
                <c:pt idx="1950">
                  <c:v>7.3</c:v>
                </c:pt>
                <c:pt idx="1951">
                  <c:v>6.5</c:v>
                </c:pt>
                <c:pt idx="1952">
                  <c:v>7.2</c:v>
                </c:pt>
                <c:pt idx="1953">
                  <c:v>6.3</c:v>
                </c:pt>
                <c:pt idx="1954">
                  <c:v>5.9</c:v>
                </c:pt>
                <c:pt idx="1955">
                  <c:v>7.8</c:v>
                </c:pt>
                <c:pt idx="1956">
                  <c:v>7.4</c:v>
                </c:pt>
                <c:pt idx="1957">
                  <c:v>4.8</c:v>
                </c:pt>
                <c:pt idx="1958">
                  <c:v>6.3</c:v>
                </c:pt>
                <c:pt idx="1959">
                  <c:v>7.8</c:v>
                </c:pt>
                <c:pt idx="1960">
                  <c:v>7.5</c:v>
                </c:pt>
                <c:pt idx="1961">
                  <c:v>6.8</c:v>
                </c:pt>
                <c:pt idx="1962">
                  <c:v>6.6</c:v>
                </c:pt>
                <c:pt idx="1963">
                  <c:v>4.5999999999999996</c:v>
                </c:pt>
                <c:pt idx="1964">
                  <c:v>7.1</c:v>
                </c:pt>
                <c:pt idx="1965">
                  <c:v>6.1</c:v>
                </c:pt>
                <c:pt idx="1966">
                  <c:v>6.7</c:v>
                </c:pt>
                <c:pt idx="1967">
                  <c:v>7.1</c:v>
                </c:pt>
                <c:pt idx="1968">
                  <c:v>5.8</c:v>
                </c:pt>
                <c:pt idx="1969">
                  <c:v>6.7</c:v>
                </c:pt>
                <c:pt idx="1970">
                  <c:v>5.8</c:v>
                </c:pt>
                <c:pt idx="1971">
                  <c:v>6.8</c:v>
                </c:pt>
                <c:pt idx="1972">
                  <c:v>8.5</c:v>
                </c:pt>
                <c:pt idx="1973">
                  <c:v>6.6</c:v>
                </c:pt>
                <c:pt idx="1974">
                  <c:v>7.7</c:v>
                </c:pt>
                <c:pt idx="1975">
                  <c:v>4.7</c:v>
                </c:pt>
                <c:pt idx="1976">
                  <c:v>6.4</c:v>
                </c:pt>
                <c:pt idx="1977">
                  <c:v>5.5</c:v>
                </c:pt>
                <c:pt idx="1978">
                  <c:v>8.6</c:v>
                </c:pt>
                <c:pt idx="1979">
                  <c:v>7</c:v>
                </c:pt>
                <c:pt idx="1980">
                  <c:v>7.1</c:v>
                </c:pt>
                <c:pt idx="1981">
                  <c:v>5.7</c:v>
                </c:pt>
                <c:pt idx="1982">
                  <c:v>3.7</c:v>
                </c:pt>
                <c:pt idx="1983">
                  <c:v>7.5</c:v>
                </c:pt>
                <c:pt idx="1984">
                  <c:v>4.5999999999999996</c:v>
                </c:pt>
                <c:pt idx="1985">
                  <c:v>4.9000000000000004</c:v>
                </c:pt>
                <c:pt idx="1986">
                  <c:v>7.1</c:v>
                </c:pt>
                <c:pt idx="1987">
                  <c:v>5.8</c:v>
                </c:pt>
                <c:pt idx="1988">
                  <c:v>5.4</c:v>
                </c:pt>
                <c:pt idx="1989">
                  <c:v>7.3</c:v>
                </c:pt>
                <c:pt idx="1990">
                  <c:v>7.1</c:v>
                </c:pt>
                <c:pt idx="1991">
                  <c:v>5.8</c:v>
                </c:pt>
                <c:pt idx="1992">
                  <c:v>8.1</c:v>
                </c:pt>
                <c:pt idx="1993">
                  <c:v>5.7</c:v>
                </c:pt>
                <c:pt idx="1994">
                  <c:v>4.4000000000000004</c:v>
                </c:pt>
                <c:pt idx="1995">
                  <c:v>7.9</c:v>
                </c:pt>
                <c:pt idx="1996">
                  <c:v>7.6</c:v>
                </c:pt>
                <c:pt idx="1997">
                  <c:v>4.8</c:v>
                </c:pt>
                <c:pt idx="1998">
                  <c:v>6.7</c:v>
                </c:pt>
                <c:pt idx="1999">
                  <c:v>2.7</c:v>
                </c:pt>
                <c:pt idx="2000">
                  <c:v>5.8</c:v>
                </c:pt>
                <c:pt idx="2001">
                  <c:v>7.5</c:v>
                </c:pt>
                <c:pt idx="2002">
                  <c:v>5.4</c:v>
                </c:pt>
                <c:pt idx="2003">
                  <c:v>4.0999999999999996</c:v>
                </c:pt>
                <c:pt idx="2004">
                  <c:v>5.9</c:v>
                </c:pt>
                <c:pt idx="2005">
                  <c:v>6.3</c:v>
                </c:pt>
                <c:pt idx="2006">
                  <c:v>6.8</c:v>
                </c:pt>
                <c:pt idx="2007">
                  <c:v>2.2999999999999998</c:v>
                </c:pt>
                <c:pt idx="2008">
                  <c:v>8.1</c:v>
                </c:pt>
                <c:pt idx="2009">
                  <c:v>6.1</c:v>
                </c:pt>
                <c:pt idx="2010">
                  <c:v>5</c:v>
                </c:pt>
                <c:pt idx="2011">
                  <c:v>5.5</c:v>
                </c:pt>
                <c:pt idx="2012">
                  <c:v>6.2</c:v>
                </c:pt>
                <c:pt idx="2013">
                  <c:v>6.2</c:v>
                </c:pt>
                <c:pt idx="2014">
                  <c:v>6.3</c:v>
                </c:pt>
                <c:pt idx="2015">
                  <c:v>6.7</c:v>
                </c:pt>
                <c:pt idx="2016">
                  <c:v>3.5</c:v>
                </c:pt>
                <c:pt idx="2017">
                  <c:v>7.5</c:v>
                </c:pt>
                <c:pt idx="2018">
                  <c:v>6.6</c:v>
                </c:pt>
                <c:pt idx="2019">
                  <c:v>7.5</c:v>
                </c:pt>
                <c:pt idx="2020">
                  <c:v>7.2</c:v>
                </c:pt>
                <c:pt idx="2021">
                  <c:v>4.8</c:v>
                </c:pt>
                <c:pt idx="2022">
                  <c:v>6.6</c:v>
                </c:pt>
                <c:pt idx="2023">
                  <c:v>3.5</c:v>
                </c:pt>
                <c:pt idx="2024">
                  <c:v>7.6</c:v>
                </c:pt>
                <c:pt idx="2025">
                  <c:v>6.3</c:v>
                </c:pt>
                <c:pt idx="2026">
                  <c:v>5.5</c:v>
                </c:pt>
                <c:pt idx="2027">
                  <c:v>6.3</c:v>
                </c:pt>
                <c:pt idx="2028">
                  <c:v>6.5</c:v>
                </c:pt>
                <c:pt idx="2029">
                  <c:v>6.9</c:v>
                </c:pt>
                <c:pt idx="2030">
                  <c:v>7.6</c:v>
                </c:pt>
                <c:pt idx="2031">
                  <c:v>3.9</c:v>
                </c:pt>
                <c:pt idx="2032">
                  <c:v>6.1</c:v>
                </c:pt>
                <c:pt idx="2033">
                  <c:v>7.3</c:v>
                </c:pt>
                <c:pt idx="2034">
                  <c:v>8.3000000000000007</c:v>
                </c:pt>
                <c:pt idx="2035">
                  <c:v>5.8</c:v>
                </c:pt>
                <c:pt idx="2036">
                  <c:v>6.8</c:v>
                </c:pt>
                <c:pt idx="2037">
                  <c:v>7</c:v>
                </c:pt>
                <c:pt idx="2038">
                  <c:v>5.9</c:v>
                </c:pt>
                <c:pt idx="2039">
                  <c:v>6.5</c:v>
                </c:pt>
                <c:pt idx="2040">
                  <c:v>6.4</c:v>
                </c:pt>
                <c:pt idx="2041">
                  <c:v>5.8</c:v>
                </c:pt>
                <c:pt idx="2042">
                  <c:v>5.0999999999999996</c:v>
                </c:pt>
                <c:pt idx="2043">
                  <c:v>6.8</c:v>
                </c:pt>
                <c:pt idx="2044">
                  <c:v>5.3</c:v>
                </c:pt>
                <c:pt idx="2045">
                  <c:v>5.3</c:v>
                </c:pt>
                <c:pt idx="2046">
                  <c:v>4.9000000000000004</c:v>
                </c:pt>
                <c:pt idx="2047">
                  <c:v>6.8</c:v>
                </c:pt>
                <c:pt idx="2048">
                  <c:v>7.1</c:v>
                </c:pt>
                <c:pt idx="2049">
                  <c:v>6.1</c:v>
                </c:pt>
                <c:pt idx="2050">
                  <c:v>8.5</c:v>
                </c:pt>
                <c:pt idx="2051">
                  <c:v>5.9</c:v>
                </c:pt>
                <c:pt idx="2052">
                  <c:v>6.3</c:v>
                </c:pt>
                <c:pt idx="2053">
                  <c:v>5.9</c:v>
                </c:pt>
                <c:pt idx="2054">
                  <c:v>5.4</c:v>
                </c:pt>
                <c:pt idx="2055">
                  <c:v>6.9</c:v>
                </c:pt>
                <c:pt idx="2056">
                  <c:v>7.5</c:v>
                </c:pt>
                <c:pt idx="2057">
                  <c:v>8.1999999999999993</c:v>
                </c:pt>
                <c:pt idx="2058">
                  <c:v>5.9</c:v>
                </c:pt>
                <c:pt idx="2059">
                  <c:v>5</c:v>
                </c:pt>
                <c:pt idx="2060">
                  <c:v>7.3</c:v>
                </c:pt>
                <c:pt idx="2061">
                  <c:v>6.4</c:v>
                </c:pt>
                <c:pt idx="2062">
                  <c:v>6.6</c:v>
                </c:pt>
                <c:pt idx="2063">
                  <c:v>7.8</c:v>
                </c:pt>
                <c:pt idx="2064">
                  <c:v>4</c:v>
                </c:pt>
                <c:pt idx="2065">
                  <c:v>7.6</c:v>
                </c:pt>
                <c:pt idx="2066">
                  <c:v>7.7</c:v>
                </c:pt>
                <c:pt idx="2067">
                  <c:v>5.8</c:v>
                </c:pt>
                <c:pt idx="2068">
                  <c:v>5.6</c:v>
                </c:pt>
                <c:pt idx="2069">
                  <c:v>5.3</c:v>
                </c:pt>
                <c:pt idx="2070">
                  <c:v>6.6</c:v>
                </c:pt>
                <c:pt idx="2071">
                  <c:v>1.9</c:v>
                </c:pt>
                <c:pt idx="2072">
                  <c:v>5.7</c:v>
                </c:pt>
                <c:pt idx="2073">
                  <c:v>6.6</c:v>
                </c:pt>
                <c:pt idx="2074">
                  <c:v>6</c:v>
                </c:pt>
                <c:pt idx="2075">
                  <c:v>6.1</c:v>
                </c:pt>
                <c:pt idx="2076">
                  <c:v>4.8</c:v>
                </c:pt>
                <c:pt idx="2077">
                  <c:v>6.2</c:v>
                </c:pt>
                <c:pt idx="2078">
                  <c:v>7.5</c:v>
                </c:pt>
                <c:pt idx="2079">
                  <c:v>6.3</c:v>
                </c:pt>
                <c:pt idx="2080">
                  <c:v>7.1</c:v>
                </c:pt>
                <c:pt idx="2081">
                  <c:v>6.6</c:v>
                </c:pt>
                <c:pt idx="2082">
                  <c:v>6.1</c:v>
                </c:pt>
                <c:pt idx="2083">
                  <c:v>6.7</c:v>
                </c:pt>
                <c:pt idx="2084">
                  <c:v>5.6</c:v>
                </c:pt>
                <c:pt idx="2085">
                  <c:v>7.2</c:v>
                </c:pt>
                <c:pt idx="2086">
                  <c:v>4.3</c:v>
                </c:pt>
                <c:pt idx="2087">
                  <c:v>6.4</c:v>
                </c:pt>
                <c:pt idx="2088">
                  <c:v>7.1</c:v>
                </c:pt>
                <c:pt idx="2089">
                  <c:v>6.3</c:v>
                </c:pt>
                <c:pt idx="2090">
                  <c:v>7.4</c:v>
                </c:pt>
                <c:pt idx="2091">
                  <c:v>6.1</c:v>
                </c:pt>
                <c:pt idx="2092">
                  <c:v>6.6</c:v>
                </c:pt>
                <c:pt idx="2093">
                  <c:v>6</c:v>
                </c:pt>
                <c:pt idx="2094">
                  <c:v>6.8</c:v>
                </c:pt>
                <c:pt idx="2095">
                  <c:v>6.8</c:v>
                </c:pt>
                <c:pt idx="2096">
                  <c:v>7.2</c:v>
                </c:pt>
                <c:pt idx="2097">
                  <c:v>1.9</c:v>
                </c:pt>
                <c:pt idx="2098">
                  <c:v>5.5</c:v>
                </c:pt>
                <c:pt idx="2099">
                  <c:v>4.5</c:v>
                </c:pt>
                <c:pt idx="2100">
                  <c:v>6.3</c:v>
                </c:pt>
                <c:pt idx="2101">
                  <c:v>6.7</c:v>
                </c:pt>
                <c:pt idx="2102">
                  <c:v>2.8</c:v>
                </c:pt>
                <c:pt idx="2103">
                  <c:v>5</c:v>
                </c:pt>
                <c:pt idx="2104">
                  <c:v>4.3</c:v>
                </c:pt>
                <c:pt idx="2105">
                  <c:v>5.6</c:v>
                </c:pt>
                <c:pt idx="2106">
                  <c:v>6.2</c:v>
                </c:pt>
                <c:pt idx="2107">
                  <c:v>5.3</c:v>
                </c:pt>
                <c:pt idx="2108">
                  <c:v>7.4</c:v>
                </c:pt>
                <c:pt idx="2109">
                  <c:v>7.4</c:v>
                </c:pt>
                <c:pt idx="2110">
                  <c:v>6.5</c:v>
                </c:pt>
                <c:pt idx="2111">
                  <c:v>7.1</c:v>
                </c:pt>
                <c:pt idx="2112">
                  <c:v>7.2</c:v>
                </c:pt>
                <c:pt idx="2113">
                  <c:v>2.2999999999999998</c:v>
                </c:pt>
                <c:pt idx="2114">
                  <c:v>6.4</c:v>
                </c:pt>
                <c:pt idx="2115">
                  <c:v>6.1</c:v>
                </c:pt>
                <c:pt idx="2116">
                  <c:v>7</c:v>
                </c:pt>
                <c:pt idx="2117">
                  <c:v>7</c:v>
                </c:pt>
                <c:pt idx="2118">
                  <c:v>7</c:v>
                </c:pt>
                <c:pt idx="2119">
                  <c:v>4.9000000000000004</c:v>
                </c:pt>
                <c:pt idx="2120">
                  <c:v>6.9</c:v>
                </c:pt>
                <c:pt idx="2121">
                  <c:v>7.5</c:v>
                </c:pt>
                <c:pt idx="2122">
                  <c:v>8.4</c:v>
                </c:pt>
                <c:pt idx="2123">
                  <c:v>6.9</c:v>
                </c:pt>
                <c:pt idx="2124">
                  <c:v>4.5</c:v>
                </c:pt>
                <c:pt idx="2125">
                  <c:v>7.4</c:v>
                </c:pt>
                <c:pt idx="2126">
                  <c:v>7</c:v>
                </c:pt>
                <c:pt idx="2127">
                  <c:v>2.8</c:v>
                </c:pt>
                <c:pt idx="2128">
                  <c:v>7.5</c:v>
                </c:pt>
                <c:pt idx="2129">
                  <c:v>7.1</c:v>
                </c:pt>
                <c:pt idx="2130">
                  <c:v>6.4</c:v>
                </c:pt>
                <c:pt idx="2131">
                  <c:v>6.7</c:v>
                </c:pt>
                <c:pt idx="2132">
                  <c:v>5.3</c:v>
                </c:pt>
                <c:pt idx="2133">
                  <c:v>6.9</c:v>
                </c:pt>
                <c:pt idx="2134">
                  <c:v>6.2</c:v>
                </c:pt>
                <c:pt idx="2135">
                  <c:v>6.4</c:v>
                </c:pt>
                <c:pt idx="2136">
                  <c:v>6</c:v>
                </c:pt>
                <c:pt idx="2137">
                  <c:v>5.0999999999999996</c:v>
                </c:pt>
                <c:pt idx="2138">
                  <c:v>5.5</c:v>
                </c:pt>
                <c:pt idx="2139">
                  <c:v>5.4</c:v>
                </c:pt>
                <c:pt idx="2140">
                  <c:v>7.5</c:v>
                </c:pt>
                <c:pt idx="2141">
                  <c:v>7.4</c:v>
                </c:pt>
                <c:pt idx="2142">
                  <c:v>8</c:v>
                </c:pt>
                <c:pt idx="2143">
                  <c:v>5.7</c:v>
                </c:pt>
                <c:pt idx="2144">
                  <c:v>6.8</c:v>
                </c:pt>
                <c:pt idx="2145">
                  <c:v>5.9</c:v>
                </c:pt>
                <c:pt idx="2146">
                  <c:v>7.2</c:v>
                </c:pt>
                <c:pt idx="2147">
                  <c:v>5.5</c:v>
                </c:pt>
                <c:pt idx="2148">
                  <c:v>8.5</c:v>
                </c:pt>
                <c:pt idx="2149">
                  <c:v>5.6</c:v>
                </c:pt>
                <c:pt idx="2150">
                  <c:v>4.0999999999999996</c:v>
                </c:pt>
                <c:pt idx="2151">
                  <c:v>6.1</c:v>
                </c:pt>
                <c:pt idx="2152">
                  <c:v>5.4</c:v>
                </c:pt>
                <c:pt idx="2153">
                  <c:v>7.1</c:v>
                </c:pt>
                <c:pt idx="2154">
                  <c:v>3.6</c:v>
                </c:pt>
                <c:pt idx="2155">
                  <c:v>6.5</c:v>
                </c:pt>
                <c:pt idx="2156">
                  <c:v>8.6</c:v>
                </c:pt>
                <c:pt idx="2157">
                  <c:v>7</c:v>
                </c:pt>
                <c:pt idx="2158">
                  <c:v>7.6</c:v>
                </c:pt>
                <c:pt idx="2159">
                  <c:v>6.5</c:v>
                </c:pt>
                <c:pt idx="2160">
                  <c:v>6.4</c:v>
                </c:pt>
                <c:pt idx="2161">
                  <c:v>6.3</c:v>
                </c:pt>
                <c:pt idx="2162">
                  <c:v>5.7</c:v>
                </c:pt>
                <c:pt idx="2163">
                  <c:v>6.3</c:v>
                </c:pt>
                <c:pt idx="2164">
                  <c:v>6</c:v>
                </c:pt>
                <c:pt idx="2165">
                  <c:v>7.7</c:v>
                </c:pt>
                <c:pt idx="2166">
                  <c:v>6.2</c:v>
                </c:pt>
                <c:pt idx="2167">
                  <c:v>7.7</c:v>
                </c:pt>
                <c:pt idx="2168">
                  <c:v>6.4</c:v>
                </c:pt>
                <c:pt idx="2169">
                  <c:v>6.4</c:v>
                </c:pt>
                <c:pt idx="2170">
                  <c:v>6.9</c:v>
                </c:pt>
                <c:pt idx="2171">
                  <c:v>7.3</c:v>
                </c:pt>
                <c:pt idx="2172">
                  <c:v>7.3</c:v>
                </c:pt>
                <c:pt idx="2173">
                  <c:v>6.2</c:v>
                </c:pt>
                <c:pt idx="2174">
                  <c:v>6.6</c:v>
                </c:pt>
                <c:pt idx="2175">
                  <c:v>6.7</c:v>
                </c:pt>
                <c:pt idx="2176">
                  <c:v>5.7</c:v>
                </c:pt>
                <c:pt idx="2177">
                  <c:v>3.1</c:v>
                </c:pt>
                <c:pt idx="2178">
                  <c:v>6.3</c:v>
                </c:pt>
                <c:pt idx="2179">
                  <c:v>5.7</c:v>
                </c:pt>
                <c:pt idx="2180">
                  <c:v>7.1</c:v>
                </c:pt>
                <c:pt idx="2181">
                  <c:v>7</c:v>
                </c:pt>
                <c:pt idx="2182">
                  <c:v>6.1</c:v>
                </c:pt>
                <c:pt idx="2183">
                  <c:v>6.6</c:v>
                </c:pt>
                <c:pt idx="2184">
                  <c:v>7.8</c:v>
                </c:pt>
                <c:pt idx="2185">
                  <c:v>8.3000000000000007</c:v>
                </c:pt>
                <c:pt idx="2186">
                  <c:v>3.9</c:v>
                </c:pt>
                <c:pt idx="2187">
                  <c:v>7</c:v>
                </c:pt>
                <c:pt idx="2188">
                  <c:v>6.7</c:v>
                </c:pt>
                <c:pt idx="2189">
                  <c:v>7.3</c:v>
                </c:pt>
                <c:pt idx="2190">
                  <c:v>6.3</c:v>
                </c:pt>
                <c:pt idx="2191">
                  <c:v>7.8</c:v>
                </c:pt>
                <c:pt idx="2192">
                  <c:v>7.3</c:v>
                </c:pt>
                <c:pt idx="2193">
                  <c:v>7.6</c:v>
                </c:pt>
                <c:pt idx="2194">
                  <c:v>5.3</c:v>
                </c:pt>
                <c:pt idx="2195">
                  <c:v>5.3</c:v>
                </c:pt>
                <c:pt idx="2196">
                  <c:v>6.8</c:v>
                </c:pt>
                <c:pt idx="2197">
                  <c:v>7.1</c:v>
                </c:pt>
                <c:pt idx="2198">
                  <c:v>5.8</c:v>
                </c:pt>
                <c:pt idx="2199">
                  <c:v>5.8</c:v>
                </c:pt>
                <c:pt idx="2200">
                  <c:v>8.3000000000000007</c:v>
                </c:pt>
                <c:pt idx="2201">
                  <c:v>5.6</c:v>
                </c:pt>
                <c:pt idx="2202">
                  <c:v>6.8</c:v>
                </c:pt>
                <c:pt idx="2203">
                  <c:v>5</c:v>
                </c:pt>
                <c:pt idx="2204">
                  <c:v>7.6</c:v>
                </c:pt>
                <c:pt idx="2205">
                  <c:v>6.7</c:v>
                </c:pt>
                <c:pt idx="2206">
                  <c:v>6.7</c:v>
                </c:pt>
                <c:pt idx="2207">
                  <c:v>5.7</c:v>
                </c:pt>
                <c:pt idx="2208">
                  <c:v>5.2</c:v>
                </c:pt>
                <c:pt idx="2209">
                  <c:v>7.5</c:v>
                </c:pt>
                <c:pt idx="2210">
                  <c:v>7.2</c:v>
                </c:pt>
                <c:pt idx="2211">
                  <c:v>5.3</c:v>
                </c:pt>
                <c:pt idx="2212">
                  <c:v>6.5</c:v>
                </c:pt>
                <c:pt idx="2213">
                  <c:v>5</c:v>
                </c:pt>
                <c:pt idx="2214">
                  <c:v>6.1</c:v>
                </c:pt>
                <c:pt idx="2215">
                  <c:v>4.4000000000000004</c:v>
                </c:pt>
                <c:pt idx="2216">
                  <c:v>7.5</c:v>
                </c:pt>
                <c:pt idx="2217">
                  <c:v>5.7</c:v>
                </c:pt>
                <c:pt idx="2218">
                  <c:v>5.5</c:v>
                </c:pt>
                <c:pt idx="2219">
                  <c:v>7.1</c:v>
                </c:pt>
                <c:pt idx="2220">
                  <c:v>5.9</c:v>
                </c:pt>
                <c:pt idx="2221">
                  <c:v>6.7</c:v>
                </c:pt>
                <c:pt idx="2222">
                  <c:v>7</c:v>
                </c:pt>
                <c:pt idx="2223">
                  <c:v>7.9</c:v>
                </c:pt>
                <c:pt idx="2224">
                  <c:v>6.9</c:v>
                </c:pt>
                <c:pt idx="2225">
                  <c:v>7.3</c:v>
                </c:pt>
                <c:pt idx="2226">
                  <c:v>7.3</c:v>
                </c:pt>
                <c:pt idx="2227">
                  <c:v>3.5</c:v>
                </c:pt>
                <c:pt idx="2228">
                  <c:v>7.8</c:v>
                </c:pt>
                <c:pt idx="2229">
                  <c:v>6.7</c:v>
                </c:pt>
                <c:pt idx="2230">
                  <c:v>6.4</c:v>
                </c:pt>
                <c:pt idx="2231">
                  <c:v>7.1</c:v>
                </c:pt>
                <c:pt idx="2232">
                  <c:v>7.8</c:v>
                </c:pt>
                <c:pt idx="2233">
                  <c:v>5.9</c:v>
                </c:pt>
                <c:pt idx="2234">
                  <c:v>7.2</c:v>
                </c:pt>
                <c:pt idx="2235">
                  <c:v>6.2</c:v>
                </c:pt>
                <c:pt idx="2236">
                  <c:v>6.7</c:v>
                </c:pt>
                <c:pt idx="2237">
                  <c:v>7.6</c:v>
                </c:pt>
                <c:pt idx="2238">
                  <c:v>6.2</c:v>
                </c:pt>
                <c:pt idx="2239">
                  <c:v>6.5</c:v>
                </c:pt>
                <c:pt idx="2240">
                  <c:v>8.1</c:v>
                </c:pt>
                <c:pt idx="2241">
                  <c:v>6.3</c:v>
                </c:pt>
                <c:pt idx="2242">
                  <c:v>4.4000000000000004</c:v>
                </c:pt>
                <c:pt idx="2243">
                  <c:v>6</c:v>
                </c:pt>
                <c:pt idx="2244">
                  <c:v>7.6</c:v>
                </c:pt>
                <c:pt idx="2245">
                  <c:v>8.4</c:v>
                </c:pt>
                <c:pt idx="2246">
                  <c:v>7.9</c:v>
                </c:pt>
                <c:pt idx="2247">
                  <c:v>5.6</c:v>
                </c:pt>
                <c:pt idx="2248">
                  <c:v>6.5</c:v>
                </c:pt>
                <c:pt idx="2249">
                  <c:v>7.5</c:v>
                </c:pt>
                <c:pt idx="2250">
                  <c:v>6.3</c:v>
                </c:pt>
                <c:pt idx="2251">
                  <c:v>7.9</c:v>
                </c:pt>
                <c:pt idx="2252">
                  <c:v>5.0999999999999996</c:v>
                </c:pt>
                <c:pt idx="2253">
                  <c:v>6.7</c:v>
                </c:pt>
                <c:pt idx="2254">
                  <c:v>6.7</c:v>
                </c:pt>
                <c:pt idx="2255">
                  <c:v>5.6</c:v>
                </c:pt>
                <c:pt idx="2256">
                  <c:v>5.6</c:v>
                </c:pt>
                <c:pt idx="2257">
                  <c:v>6.2</c:v>
                </c:pt>
                <c:pt idx="2258">
                  <c:v>5.6</c:v>
                </c:pt>
                <c:pt idx="2259">
                  <c:v>6.4</c:v>
                </c:pt>
                <c:pt idx="2260">
                  <c:v>5.6</c:v>
                </c:pt>
                <c:pt idx="2261">
                  <c:v>7.4</c:v>
                </c:pt>
                <c:pt idx="2262">
                  <c:v>7.2</c:v>
                </c:pt>
                <c:pt idx="2263">
                  <c:v>4.9000000000000004</c:v>
                </c:pt>
                <c:pt idx="2264">
                  <c:v>7.5</c:v>
                </c:pt>
                <c:pt idx="2265">
                  <c:v>4.8</c:v>
                </c:pt>
                <c:pt idx="2266">
                  <c:v>3.1</c:v>
                </c:pt>
                <c:pt idx="2267">
                  <c:v>5.8</c:v>
                </c:pt>
                <c:pt idx="2268">
                  <c:v>6.7</c:v>
                </c:pt>
                <c:pt idx="2269">
                  <c:v>6.5</c:v>
                </c:pt>
                <c:pt idx="2270">
                  <c:v>5.9</c:v>
                </c:pt>
                <c:pt idx="2271">
                  <c:v>5.5</c:v>
                </c:pt>
                <c:pt idx="2272">
                  <c:v>3.6</c:v>
                </c:pt>
                <c:pt idx="2273">
                  <c:v>7.4</c:v>
                </c:pt>
                <c:pt idx="2274">
                  <c:v>3</c:v>
                </c:pt>
                <c:pt idx="2275">
                  <c:v>7.6</c:v>
                </c:pt>
                <c:pt idx="2276">
                  <c:v>6.4</c:v>
                </c:pt>
                <c:pt idx="2277">
                  <c:v>6.9</c:v>
                </c:pt>
                <c:pt idx="2278">
                  <c:v>6.6</c:v>
                </c:pt>
                <c:pt idx="2279">
                  <c:v>5.5</c:v>
                </c:pt>
                <c:pt idx="2280">
                  <c:v>4.0999999999999996</c:v>
                </c:pt>
                <c:pt idx="2281">
                  <c:v>6.8</c:v>
                </c:pt>
                <c:pt idx="2282">
                  <c:v>6.5</c:v>
                </c:pt>
                <c:pt idx="2283">
                  <c:v>7.4</c:v>
                </c:pt>
                <c:pt idx="2284">
                  <c:v>7.7</c:v>
                </c:pt>
                <c:pt idx="2285">
                  <c:v>7.1</c:v>
                </c:pt>
                <c:pt idx="2286">
                  <c:v>6.3</c:v>
                </c:pt>
                <c:pt idx="2287">
                  <c:v>7.6</c:v>
                </c:pt>
                <c:pt idx="2288">
                  <c:v>8</c:v>
                </c:pt>
                <c:pt idx="2289">
                  <c:v>7.3</c:v>
                </c:pt>
                <c:pt idx="2290">
                  <c:v>7.6</c:v>
                </c:pt>
                <c:pt idx="2291">
                  <c:v>7.8</c:v>
                </c:pt>
                <c:pt idx="2292">
                  <c:v>6.5</c:v>
                </c:pt>
                <c:pt idx="2293">
                  <c:v>6.4</c:v>
                </c:pt>
                <c:pt idx="2294">
                  <c:v>8</c:v>
                </c:pt>
                <c:pt idx="2295">
                  <c:v>4.8</c:v>
                </c:pt>
                <c:pt idx="2296">
                  <c:v>7.8</c:v>
                </c:pt>
                <c:pt idx="2297">
                  <c:v>5.9</c:v>
                </c:pt>
                <c:pt idx="2298">
                  <c:v>5.4</c:v>
                </c:pt>
                <c:pt idx="2299">
                  <c:v>3.3</c:v>
                </c:pt>
                <c:pt idx="2300">
                  <c:v>8.1999999999999993</c:v>
                </c:pt>
                <c:pt idx="2301">
                  <c:v>5.4</c:v>
                </c:pt>
                <c:pt idx="2302">
                  <c:v>6.4</c:v>
                </c:pt>
                <c:pt idx="2303">
                  <c:v>4.8</c:v>
                </c:pt>
                <c:pt idx="2304">
                  <c:v>5.9</c:v>
                </c:pt>
                <c:pt idx="2305">
                  <c:v>5.5</c:v>
                </c:pt>
                <c:pt idx="2306">
                  <c:v>7.9</c:v>
                </c:pt>
                <c:pt idx="2307">
                  <c:v>4.9000000000000004</c:v>
                </c:pt>
                <c:pt idx="2308">
                  <c:v>7.2</c:v>
                </c:pt>
                <c:pt idx="2309">
                  <c:v>5.3</c:v>
                </c:pt>
                <c:pt idx="2310">
                  <c:v>7.2</c:v>
                </c:pt>
                <c:pt idx="2311">
                  <c:v>5.0999999999999996</c:v>
                </c:pt>
                <c:pt idx="2312">
                  <c:v>5.6</c:v>
                </c:pt>
                <c:pt idx="2313">
                  <c:v>7.6</c:v>
                </c:pt>
                <c:pt idx="2314">
                  <c:v>7.2</c:v>
                </c:pt>
                <c:pt idx="2315">
                  <c:v>5.7</c:v>
                </c:pt>
                <c:pt idx="2316">
                  <c:v>5.2</c:v>
                </c:pt>
                <c:pt idx="2317">
                  <c:v>7.7</c:v>
                </c:pt>
                <c:pt idx="2318">
                  <c:v>7</c:v>
                </c:pt>
                <c:pt idx="2319">
                  <c:v>6</c:v>
                </c:pt>
                <c:pt idx="2320">
                  <c:v>6.6</c:v>
                </c:pt>
                <c:pt idx="2321">
                  <c:v>6.8</c:v>
                </c:pt>
                <c:pt idx="2322">
                  <c:v>7.2</c:v>
                </c:pt>
                <c:pt idx="2323">
                  <c:v>7.2</c:v>
                </c:pt>
                <c:pt idx="2324">
                  <c:v>2.8</c:v>
                </c:pt>
                <c:pt idx="2325">
                  <c:v>6.6</c:v>
                </c:pt>
                <c:pt idx="2326">
                  <c:v>6.7</c:v>
                </c:pt>
                <c:pt idx="2327">
                  <c:v>7</c:v>
                </c:pt>
                <c:pt idx="2328">
                  <c:v>4.4000000000000004</c:v>
                </c:pt>
                <c:pt idx="2329">
                  <c:v>6.2</c:v>
                </c:pt>
                <c:pt idx="2330">
                  <c:v>7.3</c:v>
                </c:pt>
                <c:pt idx="2331">
                  <c:v>5.0999999999999996</c:v>
                </c:pt>
                <c:pt idx="2332">
                  <c:v>6.6</c:v>
                </c:pt>
                <c:pt idx="2333">
                  <c:v>4.5</c:v>
                </c:pt>
                <c:pt idx="2334">
                  <c:v>5.9</c:v>
                </c:pt>
                <c:pt idx="2335">
                  <c:v>6.6</c:v>
                </c:pt>
                <c:pt idx="2336">
                  <c:v>6.5</c:v>
                </c:pt>
                <c:pt idx="2337">
                  <c:v>7.3</c:v>
                </c:pt>
                <c:pt idx="2338">
                  <c:v>7.5</c:v>
                </c:pt>
                <c:pt idx="2339">
                  <c:v>5.9</c:v>
                </c:pt>
                <c:pt idx="2340">
                  <c:v>7.4</c:v>
                </c:pt>
                <c:pt idx="2341">
                  <c:v>6.9</c:v>
                </c:pt>
                <c:pt idx="2342">
                  <c:v>7.9</c:v>
                </c:pt>
                <c:pt idx="2343">
                  <c:v>8.4</c:v>
                </c:pt>
                <c:pt idx="2344">
                  <c:v>8</c:v>
                </c:pt>
                <c:pt idx="2345">
                  <c:v>6</c:v>
                </c:pt>
                <c:pt idx="2346">
                  <c:v>6.8</c:v>
                </c:pt>
                <c:pt idx="2347">
                  <c:v>7.8</c:v>
                </c:pt>
                <c:pt idx="2348">
                  <c:v>8.1</c:v>
                </c:pt>
                <c:pt idx="2349">
                  <c:v>6.1</c:v>
                </c:pt>
                <c:pt idx="2350">
                  <c:v>6.2</c:v>
                </c:pt>
                <c:pt idx="2351">
                  <c:v>6.2</c:v>
                </c:pt>
                <c:pt idx="2352">
                  <c:v>7.4</c:v>
                </c:pt>
                <c:pt idx="2353">
                  <c:v>6.6</c:v>
                </c:pt>
                <c:pt idx="2354">
                  <c:v>7.3</c:v>
                </c:pt>
                <c:pt idx="2355">
                  <c:v>7.5</c:v>
                </c:pt>
                <c:pt idx="2356">
                  <c:v>5.6</c:v>
                </c:pt>
                <c:pt idx="2357">
                  <c:v>7.3</c:v>
                </c:pt>
                <c:pt idx="2358">
                  <c:v>6.4</c:v>
                </c:pt>
                <c:pt idx="2359">
                  <c:v>5</c:v>
                </c:pt>
                <c:pt idx="2360">
                  <c:v>5.4</c:v>
                </c:pt>
                <c:pt idx="2361">
                  <c:v>7.1</c:v>
                </c:pt>
                <c:pt idx="2362">
                  <c:v>5.3</c:v>
                </c:pt>
                <c:pt idx="2363">
                  <c:v>6.5</c:v>
                </c:pt>
                <c:pt idx="2364">
                  <c:v>6.2</c:v>
                </c:pt>
                <c:pt idx="2365">
                  <c:v>6.4</c:v>
                </c:pt>
                <c:pt idx="2366">
                  <c:v>6.9</c:v>
                </c:pt>
                <c:pt idx="2367">
                  <c:v>5.7</c:v>
                </c:pt>
                <c:pt idx="2368">
                  <c:v>7.7</c:v>
                </c:pt>
                <c:pt idx="2369">
                  <c:v>5.6</c:v>
                </c:pt>
                <c:pt idx="2370">
                  <c:v>7.7</c:v>
                </c:pt>
                <c:pt idx="2371">
                  <c:v>5.0999999999999996</c:v>
                </c:pt>
                <c:pt idx="2372">
                  <c:v>6.8</c:v>
                </c:pt>
                <c:pt idx="2373">
                  <c:v>8.4</c:v>
                </c:pt>
                <c:pt idx="2374">
                  <c:v>4.9000000000000004</c:v>
                </c:pt>
                <c:pt idx="2375">
                  <c:v>7.1</c:v>
                </c:pt>
                <c:pt idx="2376">
                  <c:v>6.6</c:v>
                </c:pt>
                <c:pt idx="2377">
                  <c:v>6.1</c:v>
                </c:pt>
                <c:pt idx="2378">
                  <c:v>4.0999999999999996</c:v>
                </c:pt>
                <c:pt idx="2379">
                  <c:v>8.1</c:v>
                </c:pt>
                <c:pt idx="2380">
                  <c:v>7.6</c:v>
                </c:pt>
                <c:pt idx="2381">
                  <c:v>7.8</c:v>
                </c:pt>
                <c:pt idx="2382">
                  <c:v>4.5999999999999996</c:v>
                </c:pt>
                <c:pt idx="2383">
                  <c:v>6</c:v>
                </c:pt>
                <c:pt idx="2384">
                  <c:v>7</c:v>
                </c:pt>
                <c:pt idx="2385">
                  <c:v>6.7</c:v>
                </c:pt>
                <c:pt idx="2386">
                  <c:v>6.4</c:v>
                </c:pt>
                <c:pt idx="2387">
                  <c:v>7.2</c:v>
                </c:pt>
                <c:pt idx="2388">
                  <c:v>7.4</c:v>
                </c:pt>
                <c:pt idx="2389">
                  <c:v>4.8</c:v>
                </c:pt>
                <c:pt idx="2390">
                  <c:v>4</c:v>
                </c:pt>
                <c:pt idx="2391">
                  <c:v>6.2</c:v>
                </c:pt>
                <c:pt idx="2392">
                  <c:v>7.7</c:v>
                </c:pt>
                <c:pt idx="2393">
                  <c:v>6.7</c:v>
                </c:pt>
                <c:pt idx="2394">
                  <c:v>7.9</c:v>
                </c:pt>
                <c:pt idx="2395">
                  <c:v>7.9</c:v>
                </c:pt>
                <c:pt idx="2396">
                  <c:v>5.5</c:v>
                </c:pt>
                <c:pt idx="2397">
                  <c:v>6.2</c:v>
                </c:pt>
                <c:pt idx="2398">
                  <c:v>5.0999999999999996</c:v>
                </c:pt>
                <c:pt idx="2399">
                  <c:v>4.0999999999999996</c:v>
                </c:pt>
                <c:pt idx="2400">
                  <c:v>6.7</c:v>
                </c:pt>
                <c:pt idx="2401">
                  <c:v>4.7</c:v>
                </c:pt>
                <c:pt idx="2402">
                  <c:v>6.4</c:v>
                </c:pt>
                <c:pt idx="2403">
                  <c:v>6.3</c:v>
                </c:pt>
                <c:pt idx="2404">
                  <c:v>5.5</c:v>
                </c:pt>
                <c:pt idx="2405">
                  <c:v>7.3</c:v>
                </c:pt>
                <c:pt idx="2406">
                  <c:v>6.3</c:v>
                </c:pt>
                <c:pt idx="2407">
                  <c:v>4.9000000000000004</c:v>
                </c:pt>
                <c:pt idx="2408">
                  <c:v>7.6</c:v>
                </c:pt>
                <c:pt idx="2409">
                  <c:v>6</c:v>
                </c:pt>
                <c:pt idx="2410">
                  <c:v>6.2</c:v>
                </c:pt>
                <c:pt idx="2411">
                  <c:v>6.8</c:v>
                </c:pt>
                <c:pt idx="2412">
                  <c:v>4.5</c:v>
                </c:pt>
                <c:pt idx="2413">
                  <c:v>5.7</c:v>
                </c:pt>
                <c:pt idx="2414">
                  <c:v>4.5999999999999996</c:v>
                </c:pt>
                <c:pt idx="2415">
                  <c:v>6.2</c:v>
                </c:pt>
                <c:pt idx="2416">
                  <c:v>7</c:v>
                </c:pt>
                <c:pt idx="2417">
                  <c:v>6.9</c:v>
                </c:pt>
                <c:pt idx="2418">
                  <c:v>6.7</c:v>
                </c:pt>
                <c:pt idx="2419">
                  <c:v>5.6</c:v>
                </c:pt>
                <c:pt idx="2420">
                  <c:v>6.6</c:v>
                </c:pt>
                <c:pt idx="2421">
                  <c:v>6.4</c:v>
                </c:pt>
                <c:pt idx="2422">
                  <c:v>2.8</c:v>
                </c:pt>
                <c:pt idx="2423">
                  <c:v>5.4</c:v>
                </c:pt>
                <c:pt idx="2424">
                  <c:v>5</c:v>
                </c:pt>
                <c:pt idx="2425">
                  <c:v>5.0999999999999996</c:v>
                </c:pt>
                <c:pt idx="2426">
                  <c:v>8</c:v>
                </c:pt>
                <c:pt idx="2427">
                  <c:v>5.9</c:v>
                </c:pt>
                <c:pt idx="2428">
                  <c:v>8.1999999999999993</c:v>
                </c:pt>
                <c:pt idx="2429">
                  <c:v>7</c:v>
                </c:pt>
                <c:pt idx="2430">
                  <c:v>6.6</c:v>
                </c:pt>
                <c:pt idx="2431">
                  <c:v>6.7</c:v>
                </c:pt>
                <c:pt idx="2432">
                  <c:v>5.5</c:v>
                </c:pt>
                <c:pt idx="2433">
                  <c:v>4.9000000000000004</c:v>
                </c:pt>
                <c:pt idx="2434">
                  <c:v>6.9</c:v>
                </c:pt>
                <c:pt idx="2435">
                  <c:v>5.6</c:v>
                </c:pt>
                <c:pt idx="2436">
                  <c:v>8</c:v>
                </c:pt>
                <c:pt idx="2437">
                  <c:v>5.3</c:v>
                </c:pt>
                <c:pt idx="2438">
                  <c:v>6.2</c:v>
                </c:pt>
                <c:pt idx="2439">
                  <c:v>5.3</c:v>
                </c:pt>
                <c:pt idx="2440">
                  <c:v>6.6</c:v>
                </c:pt>
                <c:pt idx="2441">
                  <c:v>7.2</c:v>
                </c:pt>
                <c:pt idx="2442">
                  <c:v>4.5999999999999996</c:v>
                </c:pt>
                <c:pt idx="2443">
                  <c:v>7.5</c:v>
                </c:pt>
                <c:pt idx="2444">
                  <c:v>6.5</c:v>
                </c:pt>
                <c:pt idx="2445">
                  <c:v>7.6</c:v>
                </c:pt>
                <c:pt idx="2446">
                  <c:v>6.2</c:v>
                </c:pt>
                <c:pt idx="2447">
                  <c:v>8</c:v>
                </c:pt>
                <c:pt idx="2448">
                  <c:v>6.3</c:v>
                </c:pt>
                <c:pt idx="2449">
                  <c:v>7.2</c:v>
                </c:pt>
                <c:pt idx="2450">
                  <c:v>6.7</c:v>
                </c:pt>
                <c:pt idx="2451">
                  <c:v>5.3</c:v>
                </c:pt>
                <c:pt idx="2452">
                  <c:v>6.3</c:v>
                </c:pt>
                <c:pt idx="2453">
                  <c:v>6.5</c:v>
                </c:pt>
                <c:pt idx="2454">
                  <c:v>8.3000000000000007</c:v>
                </c:pt>
                <c:pt idx="2455">
                  <c:v>7.2</c:v>
                </c:pt>
                <c:pt idx="2456">
                  <c:v>6.8</c:v>
                </c:pt>
                <c:pt idx="2457">
                  <c:v>6.4</c:v>
                </c:pt>
                <c:pt idx="2458">
                  <c:v>6.9</c:v>
                </c:pt>
                <c:pt idx="2459">
                  <c:v>6.2</c:v>
                </c:pt>
                <c:pt idx="2460">
                  <c:v>6.1</c:v>
                </c:pt>
                <c:pt idx="2461">
                  <c:v>5.0999999999999996</c:v>
                </c:pt>
                <c:pt idx="2462">
                  <c:v>4.5</c:v>
                </c:pt>
                <c:pt idx="2463">
                  <c:v>5.9</c:v>
                </c:pt>
                <c:pt idx="2464">
                  <c:v>8.1</c:v>
                </c:pt>
                <c:pt idx="2465">
                  <c:v>5.7</c:v>
                </c:pt>
                <c:pt idx="2466">
                  <c:v>6.8</c:v>
                </c:pt>
                <c:pt idx="2467">
                  <c:v>7.5</c:v>
                </c:pt>
                <c:pt idx="2468">
                  <c:v>8.3000000000000007</c:v>
                </c:pt>
                <c:pt idx="2469">
                  <c:v>7.4</c:v>
                </c:pt>
                <c:pt idx="2470">
                  <c:v>8</c:v>
                </c:pt>
                <c:pt idx="2471">
                  <c:v>6.9</c:v>
                </c:pt>
                <c:pt idx="2472">
                  <c:v>6.9</c:v>
                </c:pt>
                <c:pt idx="2473">
                  <c:v>5.5</c:v>
                </c:pt>
                <c:pt idx="2474">
                  <c:v>7.2</c:v>
                </c:pt>
                <c:pt idx="2475">
                  <c:v>6.9</c:v>
                </c:pt>
                <c:pt idx="2476">
                  <c:v>5.5</c:v>
                </c:pt>
                <c:pt idx="2477">
                  <c:v>5.2</c:v>
                </c:pt>
                <c:pt idx="2478">
                  <c:v>7.1</c:v>
                </c:pt>
                <c:pt idx="2479">
                  <c:v>5.5</c:v>
                </c:pt>
                <c:pt idx="2480">
                  <c:v>6.7</c:v>
                </c:pt>
                <c:pt idx="2481">
                  <c:v>5</c:v>
                </c:pt>
                <c:pt idx="2482">
                  <c:v>6.4</c:v>
                </c:pt>
                <c:pt idx="2483">
                  <c:v>6.6</c:v>
                </c:pt>
                <c:pt idx="2484">
                  <c:v>5.9</c:v>
                </c:pt>
                <c:pt idx="2485">
                  <c:v>5.7</c:v>
                </c:pt>
                <c:pt idx="2486">
                  <c:v>4.5</c:v>
                </c:pt>
                <c:pt idx="2487">
                  <c:v>5</c:v>
                </c:pt>
                <c:pt idx="2488">
                  <c:v>4.5999999999999996</c:v>
                </c:pt>
                <c:pt idx="2489">
                  <c:v>6.5</c:v>
                </c:pt>
                <c:pt idx="2490">
                  <c:v>4.9000000000000004</c:v>
                </c:pt>
                <c:pt idx="2491">
                  <c:v>6</c:v>
                </c:pt>
                <c:pt idx="2492">
                  <c:v>6.9</c:v>
                </c:pt>
                <c:pt idx="2493">
                  <c:v>5.7</c:v>
                </c:pt>
                <c:pt idx="2494">
                  <c:v>6.9</c:v>
                </c:pt>
                <c:pt idx="2495">
                  <c:v>4.4000000000000004</c:v>
                </c:pt>
                <c:pt idx="2496">
                  <c:v>7</c:v>
                </c:pt>
                <c:pt idx="2497">
                  <c:v>5.4</c:v>
                </c:pt>
                <c:pt idx="2498">
                  <c:v>5.4</c:v>
                </c:pt>
                <c:pt idx="2499">
                  <c:v>7.6</c:v>
                </c:pt>
                <c:pt idx="2500">
                  <c:v>5.9</c:v>
                </c:pt>
                <c:pt idx="2501">
                  <c:v>6.6</c:v>
                </c:pt>
                <c:pt idx="2502">
                  <c:v>6.7</c:v>
                </c:pt>
                <c:pt idx="2503">
                  <c:v>3.9</c:v>
                </c:pt>
                <c:pt idx="2504">
                  <c:v>5.7</c:v>
                </c:pt>
                <c:pt idx="2505">
                  <c:v>6.5</c:v>
                </c:pt>
                <c:pt idx="2506">
                  <c:v>6.8</c:v>
                </c:pt>
                <c:pt idx="2507">
                  <c:v>7.3</c:v>
                </c:pt>
                <c:pt idx="2508">
                  <c:v>7</c:v>
                </c:pt>
                <c:pt idx="2509">
                  <c:v>6.5</c:v>
                </c:pt>
                <c:pt idx="2510">
                  <c:v>7.7</c:v>
                </c:pt>
                <c:pt idx="2511">
                  <c:v>7.7</c:v>
                </c:pt>
                <c:pt idx="2512">
                  <c:v>6.8</c:v>
                </c:pt>
                <c:pt idx="2513">
                  <c:v>7.4</c:v>
                </c:pt>
                <c:pt idx="2514">
                  <c:v>5.0999999999999996</c:v>
                </c:pt>
                <c:pt idx="2515">
                  <c:v>7.4</c:v>
                </c:pt>
                <c:pt idx="2516">
                  <c:v>7.2</c:v>
                </c:pt>
                <c:pt idx="2517">
                  <c:v>8.3000000000000007</c:v>
                </c:pt>
                <c:pt idx="2518">
                  <c:v>8.1</c:v>
                </c:pt>
                <c:pt idx="2519">
                  <c:v>7.3</c:v>
                </c:pt>
                <c:pt idx="2520">
                  <c:v>3.6</c:v>
                </c:pt>
                <c:pt idx="2521">
                  <c:v>1.6</c:v>
                </c:pt>
                <c:pt idx="2522">
                  <c:v>8</c:v>
                </c:pt>
                <c:pt idx="2523">
                  <c:v>9</c:v>
                </c:pt>
                <c:pt idx="2524">
                  <c:v>6.1</c:v>
                </c:pt>
                <c:pt idx="2525">
                  <c:v>5.7</c:v>
                </c:pt>
                <c:pt idx="2526">
                  <c:v>6.8</c:v>
                </c:pt>
                <c:pt idx="2527">
                  <c:v>5.5</c:v>
                </c:pt>
                <c:pt idx="2528">
                  <c:v>6.8</c:v>
                </c:pt>
                <c:pt idx="2529">
                  <c:v>7.3</c:v>
                </c:pt>
                <c:pt idx="2530">
                  <c:v>6.1</c:v>
                </c:pt>
                <c:pt idx="2531">
                  <c:v>7.2</c:v>
                </c:pt>
                <c:pt idx="2532">
                  <c:v>5.9</c:v>
                </c:pt>
                <c:pt idx="2533">
                  <c:v>6.1</c:v>
                </c:pt>
                <c:pt idx="2534">
                  <c:v>6.8</c:v>
                </c:pt>
                <c:pt idx="2535">
                  <c:v>7.7</c:v>
                </c:pt>
                <c:pt idx="2536">
                  <c:v>4.9000000000000004</c:v>
                </c:pt>
                <c:pt idx="2537">
                  <c:v>6.1</c:v>
                </c:pt>
                <c:pt idx="2538">
                  <c:v>2.5</c:v>
                </c:pt>
                <c:pt idx="2539">
                  <c:v>6.1</c:v>
                </c:pt>
                <c:pt idx="2540">
                  <c:v>5.9</c:v>
                </c:pt>
                <c:pt idx="2541">
                  <c:v>5.7</c:v>
                </c:pt>
                <c:pt idx="2542">
                  <c:v>5.6</c:v>
                </c:pt>
                <c:pt idx="2543">
                  <c:v>7.2</c:v>
                </c:pt>
                <c:pt idx="2544">
                  <c:v>7.7</c:v>
                </c:pt>
                <c:pt idx="2545">
                  <c:v>7.8</c:v>
                </c:pt>
                <c:pt idx="2546">
                  <c:v>6.1</c:v>
                </c:pt>
                <c:pt idx="2547">
                  <c:v>5.8</c:v>
                </c:pt>
                <c:pt idx="2548">
                  <c:v>6.5</c:v>
                </c:pt>
                <c:pt idx="2549">
                  <c:v>7.9</c:v>
                </c:pt>
                <c:pt idx="2550">
                  <c:v>6.3</c:v>
                </c:pt>
                <c:pt idx="2551">
                  <c:v>3.8</c:v>
                </c:pt>
                <c:pt idx="2552">
                  <c:v>8.3000000000000007</c:v>
                </c:pt>
                <c:pt idx="2553">
                  <c:v>6.4</c:v>
                </c:pt>
                <c:pt idx="2554">
                  <c:v>6.7</c:v>
                </c:pt>
                <c:pt idx="2555">
                  <c:v>6.1</c:v>
                </c:pt>
                <c:pt idx="2556">
                  <c:v>6</c:v>
                </c:pt>
                <c:pt idx="2557">
                  <c:v>5.8</c:v>
                </c:pt>
                <c:pt idx="2558">
                  <c:v>5.6</c:v>
                </c:pt>
                <c:pt idx="2559">
                  <c:v>6.1</c:v>
                </c:pt>
                <c:pt idx="2560">
                  <c:v>5.9</c:v>
                </c:pt>
                <c:pt idx="2561">
                  <c:v>7.3</c:v>
                </c:pt>
                <c:pt idx="2562">
                  <c:v>6.8</c:v>
                </c:pt>
                <c:pt idx="2563">
                  <c:v>5.7</c:v>
                </c:pt>
                <c:pt idx="2564">
                  <c:v>7.3</c:v>
                </c:pt>
                <c:pt idx="2565">
                  <c:v>6.3</c:v>
                </c:pt>
                <c:pt idx="2566">
                  <c:v>5.9</c:v>
                </c:pt>
                <c:pt idx="2567">
                  <c:v>7.1</c:v>
                </c:pt>
                <c:pt idx="2568">
                  <c:v>8</c:v>
                </c:pt>
                <c:pt idx="2569">
                  <c:v>5.0999999999999996</c:v>
                </c:pt>
                <c:pt idx="2570">
                  <c:v>7.1</c:v>
                </c:pt>
                <c:pt idx="2571">
                  <c:v>6.5</c:v>
                </c:pt>
                <c:pt idx="2572">
                  <c:v>4.5</c:v>
                </c:pt>
                <c:pt idx="2573">
                  <c:v>6.6</c:v>
                </c:pt>
                <c:pt idx="2574">
                  <c:v>4.3</c:v>
                </c:pt>
                <c:pt idx="2575">
                  <c:v>6.7</c:v>
                </c:pt>
                <c:pt idx="2576">
                  <c:v>6.8</c:v>
                </c:pt>
                <c:pt idx="2577">
                  <c:v>5.4</c:v>
                </c:pt>
                <c:pt idx="2578">
                  <c:v>6.6</c:v>
                </c:pt>
                <c:pt idx="2579">
                  <c:v>7.3</c:v>
                </c:pt>
                <c:pt idx="2580">
                  <c:v>6.9</c:v>
                </c:pt>
                <c:pt idx="2581">
                  <c:v>8</c:v>
                </c:pt>
                <c:pt idx="2582">
                  <c:v>7.8</c:v>
                </c:pt>
                <c:pt idx="2583">
                  <c:v>6.1</c:v>
                </c:pt>
                <c:pt idx="2584">
                  <c:v>5.0999999999999996</c:v>
                </c:pt>
                <c:pt idx="2585">
                  <c:v>7.4</c:v>
                </c:pt>
                <c:pt idx="2586">
                  <c:v>7.8</c:v>
                </c:pt>
                <c:pt idx="2587">
                  <c:v>8</c:v>
                </c:pt>
                <c:pt idx="2588">
                  <c:v>6.7</c:v>
                </c:pt>
                <c:pt idx="2589">
                  <c:v>6.6</c:v>
                </c:pt>
                <c:pt idx="2590">
                  <c:v>6.4</c:v>
                </c:pt>
                <c:pt idx="2591">
                  <c:v>6.7</c:v>
                </c:pt>
                <c:pt idx="2592">
                  <c:v>6.2</c:v>
                </c:pt>
                <c:pt idx="2593">
                  <c:v>7.3</c:v>
                </c:pt>
                <c:pt idx="2594">
                  <c:v>8.1</c:v>
                </c:pt>
                <c:pt idx="2595">
                  <c:v>7</c:v>
                </c:pt>
                <c:pt idx="2596">
                  <c:v>8</c:v>
                </c:pt>
                <c:pt idx="2597">
                  <c:v>8</c:v>
                </c:pt>
                <c:pt idx="2598">
                  <c:v>7</c:v>
                </c:pt>
                <c:pt idx="2599">
                  <c:v>7.9</c:v>
                </c:pt>
                <c:pt idx="2600">
                  <c:v>5.9</c:v>
                </c:pt>
                <c:pt idx="2601">
                  <c:v>6.6</c:v>
                </c:pt>
                <c:pt idx="2602">
                  <c:v>6.3</c:v>
                </c:pt>
                <c:pt idx="2603">
                  <c:v>7.7</c:v>
                </c:pt>
                <c:pt idx="2604">
                  <c:v>6.9</c:v>
                </c:pt>
                <c:pt idx="2605">
                  <c:v>7.1</c:v>
                </c:pt>
                <c:pt idx="2606">
                  <c:v>7.4</c:v>
                </c:pt>
                <c:pt idx="2607">
                  <c:v>6.5</c:v>
                </c:pt>
                <c:pt idx="2608">
                  <c:v>6.5</c:v>
                </c:pt>
                <c:pt idx="2609">
                  <c:v>6.8</c:v>
                </c:pt>
                <c:pt idx="2610">
                  <c:v>7.5</c:v>
                </c:pt>
                <c:pt idx="2611">
                  <c:v>6.6</c:v>
                </c:pt>
                <c:pt idx="2612">
                  <c:v>7.1</c:v>
                </c:pt>
                <c:pt idx="2613">
                  <c:v>6.6</c:v>
                </c:pt>
                <c:pt idx="2614">
                  <c:v>7</c:v>
                </c:pt>
                <c:pt idx="2615">
                  <c:v>3.3</c:v>
                </c:pt>
                <c:pt idx="2616">
                  <c:v>6.7</c:v>
                </c:pt>
                <c:pt idx="2617">
                  <c:v>6.8</c:v>
                </c:pt>
                <c:pt idx="2618">
                  <c:v>6</c:v>
                </c:pt>
                <c:pt idx="2619">
                  <c:v>5.4</c:v>
                </c:pt>
                <c:pt idx="2620">
                  <c:v>4.3</c:v>
                </c:pt>
                <c:pt idx="2621">
                  <c:v>6.2</c:v>
                </c:pt>
                <c:pt idx="2622">
                  <c:v>7.7</c:v>
                </c:pt>
                <c:pt idx="2623">
                  <c:v>7.4</c:v>
                </c:pt>
                <c:pt idx="2624">
                  <c:v>5.9</c:v>
                </c:pt>
                <c:pt idx="2625">
                  <c:v>7.8</c:v>
                </c:pt>
                <c:pt idx="2626">
                  <c:v>7.4</c:v>
                </c:pt>
                <c:pt idx="2627">
                  <c:v>6.5</c:v>
                </c:pt>
                <c:pt idx="2628">
                  <c:v>7</c:v>
                </c:pt>
                <c:pt idx="2629">
                  <c:v>7.6</c:v>
                </c:pt>
                <c:pt idx="2630">
                  <c:v>6.9</c:v>
                </c:pt>
                <c:pt idx="2631">
                  <c:v>5.3</c:v>
                </c:pt>
                <c:pt idx="2632">
                  <c:v>6.4</c:v>
                </c:pt>
                <c:pt idx="2633">
                  <c:v>7.8</c:v>
                </c:pt>
                <c:pt idx="2634">
                  <c:v>6.7</c:v>
                </c:pt>
                <c:pt idx="2635">
                  <c:v>5.3</c:v>
                </c:pt>
                <c:pt idx="2636">
                  <c:v>6.3</c:v>
                </c:pt>
                <c:pt idx="2637">
                  <c:v>7</c:v>
                </c:pt>
                <c:pt idx="2638">
                  <c:v>6.6</c:v>
                </c:pt>
                <c:pt idx="2639">
                  <c:v>8.4</c:v>
                </c:pt>
                <c:pt idx="2640">
                  <c:v>5.4</c:v>
                </c:pt>
                <c:pt idx="2641">
                  <c:v>7.8</c:v>
                </c:pt>
                <c:pt idx="2642">
                  <c:v>7.6</c:v>
                </c:pt>
                <c:pt idx="2643">
                  <c:v>6.6</c:v>
                </c:pt>
                <c:pt idx="2644">
                  <c:v>6.4</c:v>
                </c:pt>
                <c:pt idx="2645">
                  <c:v>7</c:v>
                </c:pt>
                <c:pt idx="2646">
                  <c:v>5.7</c:v>
                </c:pt>
                <c:pt idx="2647">
                  <c:v>5.9</c:v>
                </c:pt>
                <c:pt idx="2648">
                  <c:v>6.3</c:v>
                </c:pt>
                <c:pt idx="2649">
                  <c:v>6.3</c:v>
                </c:pt>
                <c:pt idx="2650">
                  <c:v>6.2</c:v>
                </c:pt>
                <c:pt idx="2651">
                  <c:v>2.1</c:v>
                </c:pt>
                <c:pt idx="2652">
                  <c:v>5</c:v>
                </c:pt>
                <c:pt idx="2653">
                  <c:v>5.3</c:v>
                </c:pt>
                <c:pt idx="2654">
                  <c:v>7.1</c:v>
                </c:pt>
                <c:pt idx="2655">
                  <c:v>7</c:v>
                </c:pt>
                <c:pt idx="2656">
                  <c:v>7</c:v>
                </c:pt>
                <c:pt idx="2657">
                  <c:v>7.1</c:v>
                </c:pt>
                <c:pt idx="2658">
                  <c:v>7</c:v>
                </c:pt>
                <c:pt idx="2659">
                  <c:v>7.7</c:v>
                </c:pt>
                <c:pt idx="2660">
                  <c:v>7.1</c:v>
                </c:pt>
                <c:pt idx="2661">
                  <c:v>6.8</c:v>
                </c:pt>
                <c:pt idx="2662">
                  <c:v>7.5</c:v>
                </c:pt>
                <c:pt idx="2663">
                  <c:v>6.3</c:v>
                </c:pt>
                <c:pt idx="2664">
                  <c:v>7.3</c:v>
                </c:pt>
                <c:pt idx="2665">
                  <c:v>6.8</c:v>
                </c:pt>
                <c:pt idx="2666">
                  <c:v>7.2</c:v>
                </c:pt>
                <c:pt idx="2667">
                  <c:v>6.4</c:v>
                </c:pt>
                <c:pt idx="2668">
                  <c:v>6</c:v>
                </c:pt>
                <c:pt idx="2669">
                  <c:v>6.4</c:v>
                </c:pt>
                <c:pt idx="2670">
                  <c:v>7.5</c:v>
                </c:pt>
                <c:pt idx="2671">
                  <c:v>7.1</c:v>
                </c:pt>
                <c:pt idx="2672">
                  <c:v>4.5999999999999996</c:v>
                </c:pt>
                <c:pt idx="2673">
                  <c:v>7.7</c:v>
                </c:pt>
                <c:pt idx="2674">
                  <c:v>5.6</c:v>
                </c:pt>
                <c:pt idx="2675">
                  <c:v>7.5</c:v>
                </c:pt>
                <c:pt idx="2676">
                  <c:v>5.8</c:v>
                </c:pt>
                <c:pt idx="2677">
                  <c:v>8.3000000000000007</c:v>
                </c:pt>
                <c:pt idx="2678">
                  <c:v>6.6</c:v>
                </c:pt>
                <c:pt idx="2679">
                  <c:v>7.5</c:v>
                </c:pt>
                <c:pt idx="2680">
                  <c:v>7.2</c:v>
                </c:pt>
                <c:pt idx="2681">
                  <c:v>8.6999999999999993</c:v>
                </c:pt>
                <c:pt idx="2682">
                  <c:v>6</c:v>
                </c:pt>
                <c:pt idx="2683">
                  <c:v>8</c:v>
                </c:pt>
                <c:pt idx="2684">
                  <c:v>4.5</c:v>
                </c:pt>
                <c:pt idx="2685">
                  <c:v>7.9</c:v>
                </c:pt>
                <c:pt idx="2686">
                  <c:v>7.5</c:v>
                </c:pt>
                <c:pt idx="2687">
                  <c:v>6.8</c:v>
                </c:pt>
                <c:pt idx="2688">
                  <c:v>7.2</c:v>
                </c:pt>
                <c:pt idx="2689">
                  <c:v>7.1</c:v>
                </c:pt>
                <c:pt idx="2690">
                  <c:v>7.4</c:v>
                </c:pt>
                <c:pt idx="2691">
                  <c:v>7.6</c:v>
                </c:pt>
                <c:pt idx="2692">
                  <c:v>6.9</c:v>
                </c:pt>
                <c:pt idx="2693">
                  <c:v>6</c:v>
                </c:pt>
                <c:pt idx="2694">
                  <c:v>7.3</c:v>
                </c:pt>
                <c:pt idx="2695">
                  <c:v>4.5999999999999996</c:v>
                </c:pt>
                <c:pt idx="2696">
                  <c:v>6</c:v>
                </c:pt>
                <c:pt idx="2697">
                  <c:v>5.5</c:v>
                </c:pt>
                <c:pt idx="2698">
                  <c:v>7.5</c:v>
                </c:pt>
                <c:pt idx="2699">
                  <c:v>6.3</c:v>
                </c:pt>
                <c:pt idx="2700">
                  <c:v>5.0999999999999996</c:v>
                </c:pt>
                <c:pt idx="2701">
                  <c:v>6.8</c:v>
                </c:pt>
                <c:pt idx="2702">
                  <c:v>5.3</c:v>
                </c:pt>
                <c:pt idx="2703">
                  <c:v>7.3</c:v>
                </c:pt>
                <c:pt idx="2704">
                  <c:v>7.3</c:v>
                </c:pt>
                <c:pt idx="2705">
                  <c:v>7.1</c:v>
                </c:pt>
                <c:pt idx="2706">
                  <c:v>7.6</c:v>
                </c:pt>
                <c:pt idx="2707">
                  <c:v>5.3</c:v>
                </c:pt>
                <c:pt idx="2708">
                  <c:v>7.8</c:v>
                </c:pt>
                <c:pt idx="2709">
                  <c:v>7.7</c:v>
                </c:pt>
                <c:pt idx="2710">
                  <c:v>7.7</c:v>
                </c:pt>
                <c:pt idx="2711">
                  <c:v>5.4</c:v>
                </c:pt>
                <c:pt idx="2712">
                  <c:v>6.2</c:v>
                </c:pt>
                <c:pt idx="2713">
                  <c:v>7.4</c:v>
                </c:pt>
                <c:pt idx="2714">
                  <c:v>6.2</c:v>
                </c:pt>
                <c:pt idx="2715">
                  <c:v>5.0999999999999996</c:v>
                </c:pt>
                <c:pt idx="2716">
                  <c:v>6.8</c:v>
                </c:pt>
                <c:pt idx="2717">
                  <c:v>5.8</c:v>
                </c:pt>
                <c:pt idx="2718">
                  <c:v>6.4</c:v>
                </c:pt>
                <c:pt idx="2719">
                  <c:v>6</c:v>
                </c:pt>
                <c:pt idx="2720">
                  <c:v>6.9</c:v>
                </c:pt>
                <c:pt idx="2721">
                  <c:v>5.5</c:v>
                </c:pt>
                <c:pt idx="2722">
                  <c:v>5.4</c:v>
                </c:pt>
                <c:pt idx="2723">
                  <c:v>8.3000000000000007</c:v>
                </c:pt>
                <c:pt idx="2724">
                  <c:v>7.9</c:v>
                </c:pt>
                <c:pt idx="2725">
                  <c:v>6.5</c:v>
                </c:pt>
                <c:pt idx="2726">
                  <c:v>6.4</c:v>
                </c:pt>
                <c:pt idx="2727">
                  <c:v>6.6</c:v>
                </c:pt>
                <c:pt idx="2728">
                  <c:v>8.3000000000000007</c:v>
                </c:pt>
                <c:pt idx="2729">
                  <c:v>6.2</c:v>
                </c:pt>
                <c:pt idx="2730">
                  <c:v>6.9</c:v>
                </c:pt>
                <c:pt idx="2731">
                  <c:v>5.9</c:v>
                </c:pt>
                <c:pt idx="2732">
                  <c:v>6.1</c:v>
                </c:pt>
                <c:pt idx="2733">
                  <c:v>5.8</c:v>
                </c:pt>
                <c:pt idx="2734">
                  <c:v>5.9</c:v>
                </c:pt>
                <c:pt idx="2735">
                  <c:v>5.5</c:v>
                </c:pt>
                <c:pt idx="2736">
                  <c:v>5</c:v>
                </c:pt>
                <c:pt idx="2737">
                  <c:v>7</c:v>
                </c:pt>
                <c:pt idx="2738">
                  <c:v>6.4</c:v>
                </c:pt>
                <c:pt idx="2739">
                  <c:v>5.9</c:v>
                </c:pt>
                <c:pt idx="2740">
                  <c:v>7</c:v>
                </c:pt>
                <c:pt idx="2741">
                  <c:v>6.1</c:v>
                </c:pt>
                <c:pt idx="2742">
                  <c:v>6.9</c:v>
                </c:pt>
                <c:pt idx="2743">
                  <c:v>7.5</c:v>
                </c:pt>
                <c:pt idx="2744">
                  <c:v>7.3</c:v>
                </c:pt>
                <c:pt idx="2745">
                  <c:v>6.5</c:v>
                </c:pt>
                <c:pt idx="2746">
                  <c:v>6.2</c:v>
                </c:pt>
                <c:pt idx="2747">
                  <c:v>6</c:v>
                </c:pt>
                <c:pt idx="2748">
                  <c:v>6.3</c:v>
                </c:pt>
                <c:pt idx="2749">
                  <c:v>5.8</c:v>
                </c:pt>
                <c:pt idx="2750">
                  <c:v>6.1</c:v>
                </c:pt>
                <c:pt idx="2751">
                  <c:v>6.9</c:v>
                </c:pt>
                <c:pt idx="2752">
                  <c:v>5.4</c:v>
                </c:pt>
                <c:pt idx="2753">
                  <c:v>6.7</c:v>
                </c:pt>
                <c:pt idx="2754">
                  <c:v>7.4</c:v>
                </c:pt>
                <c:pt idx="2755">
                  <c:v>5.6</c:v>
                </c:pt>
                <c:pt idx="2756">
                  <c:v>6.5</c:v>
                </c:pt>
                <c:pt idx="2757">
                  <c:v>6.5</c:v>
                </c:pt>
                <c:pt idx="2758">
                  <c:v>5.8</c:v>
                </c:pt>
                <c:pt idx="2759">
                  <c:v>5</c:v>
                </c:pt>
                <c:pt idx="2760">
                  <c:v>5.5</c:v>
                </c:pt>
                <c:pt idx="2761">
                  <c:v>6.5</c:v>
                </c:pt>
                <c:pt idx="2762">
                  <c:v>7.2</c:v>
                </c:pt>
                <c:pt idx="2763">
                  <c:v>5.2</c:v>
                </c:pt>
                <c:pt idx="2764">
                  <c:v>5.7</c:v>
                </c:pt>
                <c:pt idx="2765">
                  <c:v>4.7</c:v>
                </c:pt>
                <c:pt idx="2766">
                  <c:v>5.9</c:v>
                </c:pt>
                <c:pt idx="2767">
                  <c:v>6.8</c:v>
                </c:pt>
                <c:pt idx="2768">
                  <c:v>5.9</c:v>
                </c:pt>
                <c:pt idx="2769">
                  <c:v>7.7</c:v>
                </c:pt>
                <c:pt idx="2770">
                  <c:v>4.4000000000000004</c:v>
                </c:pt>
                <c:pt idx="2771">
                  <c:v>6.6</c:v>
                </c:pt>
                <c:pt idx="2772">
                  <c:v>6.7</c:v>
                </c:pt>
                <c:pt idx="2773">
                  <c:v>5.5</c:v>
                </c:pt>
                <c:pt idx="2774">
                  <c:v>6.5</c:v>
                </c:pt>
                <c:pt idx="2775">
                  <c:v>6.2</c:v>
                </c:pt>
                <c:pt idx="2776">
                  <c:v>7.1</c:v>
                </c:pt>
                <c:pt idx="2777">
                  <c:v>6.1</c:v>
                </c:pt>
                <c:pt idx="2778">
                  <c:v>6</c:v>
                </c:pt>
                <c:pt idx="2779">
                  <c:v>7.4</c:v>
                </c:pt>
                <c:pt idx="2780">
                  <c:v>5.9</c:v>
                </c:pt>
                <c:pt idx="2781">
                  <c:v>4.0999999999999996</c:v>
                </c:pt>
                <c:pt idx="2782">
                  <c:v>5.9</c:v>
                </c:pt>
                <c:pt idx="2783">
                  <c:v>7</c:v>
                </c:pt>
                <c:pt idx="2784">
                  <c:v>6.8</c:v>
                </c:pt>
                <c:pt idx="2785">
                  <c:v>7.4</c:v>
                </c:pt>
                <c:pt idx="2786">
                  <c:v>7.1</c:v>
                </c:pt>
                <c:pt idx="2787">
                  <c:v>7</c:v>
                </c:pt>
                <c:pt idx="2788">
                  <c:v>5.8</c:v>
                </c:pt>
                <c:pt idx="2789">
                  <c:v>7.8</c:v>
                </c:pt>
                <c:pt idx="2790">
                  <c:v>6.5</c:v>
                </c:pt>
                <c:pt idx="2791">
                  <c:v>7</c:v>
                </c:pt>
                <c:pt idx="2792">
                  <c:v>6.3</c:v>
                </c:pt>
                <c:pt idx="2793">
                  <c:v>5.3</c:v>
                </c:pt>
                <c:pt idx="2794">
                  <c:v>5.5</c:v>
                </c:pt>
                <c:pt idx="2795">
                  <c:v>7.4</c:v>
                </c:pt>
                <c:pt idx="2796">
                  <c:v>4.3</c:v>
                </c:pt>
                <c:pt idx="2797">
                  <c:v>5.2</c:v>
                </c:pt>
                <c:pt idx="2798">
                  <c:v>6.7</c:v>
                </c:pt>
                <c:pt idx="2799">
                  <c:v>8.6</c:v>
                </c:pt>
                <c:pt idx="2800">
                  <c:v>6.1</c:v>
                </c:pt>
                <c:pt idx="2801">
                  <c:v>5.8</c:v>
                </c:pt>
                <c:pt idx="2802">
                  <c:v>7.7</c:v>
                </c:pt>
                <c:pt idx="2803">
                  <c:v>8</c:v>
                </c:pt>
                <c:pt idx="2804">
                  <c:v>5.6</c:v>
                </c:pt>
                <c:pt idx="2805">
                  <c:v>6.7</c:v>
                </c:pt>
                <c:pt idx="2806">
                  <c:v>6.6</c:v>
                </c:pt>
                <c:pt idx="2807">
                  <c:v>4.0999999999999996</c:v>
                </c:pt>
                <c:pt idx="2808">
                  <c:v>7.3</c:v>
                </c:pt>
                <c:pt idx="2809">
                  <c:v>7.1</c:v>
                </c:pt>
                <c:pt idx="2810">
                  <c:v>6.5</c:v>
                </c:pt>
                <c:pt idx="2811">
                  <c:v>7</c:v>
                </c:pt>
                <c:pt idx="2812">
                  <c:v>5.5</c:v>
                </c:pt>
                <c:pt idx="2813">
                  <c:v>6.6</c:v>
                </c:pt>
                <c:pt idx="2814">
                  <c:v>7.1</c:v>
                </c:pt>
                <c:pt idx="2815">
                  <c:v>7.9</c:v>
                </c:pt>
                <c:pt idx="2816">
                  <c:v>7.1</c:v>
                </c:pt>
                <c:pt idx="2817">
                  <c:v>5.6</c:v>
                </c:pt>
                <c:pt idx="2818">
                  <c:v>7.3</c:v>
                </c:pt>
                <c:pt idx="2819">
                  <c:v>3.3</c:v>
                </c:pt>
                <c:pt idx="2820">
                  <c:v>6.5</c:v>
                </c:pt>
                <c:pt idx="2821">
                  <c:v>4.8</c:v>
                </c:pt>
                <c:pt idx="2822">
                  <c:v>5.2</c:v>
                </c:pt>
                <c:pt idx="2823">
                  <c:v>6.3</c:v>
                </c:pt>
                <c:pt idx="2824">
                  <c:v>7.2</c:v>
                </c:pt>
                <c:pt idx="2825">
                  <c:v>6.8</c:v>
                </c:pt>
                <c:pt idx="2826">
                  <c:v>5.7</c:v>
                </c:pt>
                <c:pt idx="2827">
                  <c:v>7.2</c:v>
                </c:pt>
                <c:pt idx="2828">
                  <c:v>6.9</c:v>
                </c:pt>
                <c:pt idx="2829">
                  <c:v>6.2</c:v>
                </c:pt>
                <c:pt idx="2830">
                  <c:v>6.7</c:v>
                </c:pt>
                <c:pt idx="2831">
                  <c:v>6.5</c:v>
                </c:pt>
                <c:pt idx="2832">
                  <c:v>7.2</c:v>
                </c:pt>
                <c:pt idx="2833">
                  <c:v>5.3</c:v>
                </c:pt>
                <c:pt idx="2834">
                  <c:v>6.7</c:v>
                </c:pt>
                <c:pt idx="2835">
                  <c:v>3.6</c:v>
                </c:pt>
                <c:pt idx="2836">
                  <c:v>5.7</c:v>
                </c:pt>
                <c:pt idx="2837">
                  <c:v>7.3</c:v>
                </c:pt>
                <c:pt idx="2838">
                  <c:v>5</c:v>
                </c:pt>
                <c:pt idx="2839">
                  <c:v>6.6</c:v>
                </c:pt>
                <c:pt idx="2840">
                  <c:v>6.6</c:v>
                </c:pt>
                <c:pt idx="2841">
                  <c:v>7.3</c:v>
                </c:pt>
                <c:pt idx="2842">
                  <c:v>6.2</c:v>
                </c:pt>
                <c:pt idx="2843">
                  <c:v>6.6</c:v>
                </c:pt>
                <c:pt idx="2844">
                  <c:v>6.3</c:v>
                </c:pt>
                <c:pt idx="2845">
                  <c:v>3.3</c:v>
                </c:pt>
                <c:pt idx="2846">
                  <c:v>6.2</c:v>
                </c:pt>
                <c:pt idx="2847">
                  <c:v>3.5</c:v>
                </c:pt>
                <c:pt idx="2848">
                  <c:v>5.5</c:v>
                </c:pt>
                <c:pt idx="2849">
                  <c:v>5.9</c:v>
                </c:pt>
                <c:pt idx="2850">
                  <c:v>4.7</c:v>
                </c:pt>
                <c:pt idx="2851">
                  <c:v>3.9</c:v>
                </c:pt>
                <c:pt idx="2852">
                  <c:v>6.1</c:v>
                </c:pt>
                <c:pt idx="2853">
                  <c:v>6.7</c:v>
                </c:pt>
                <c:pt idx="2854">
                  <c:v>6.9</c:v>
                </c:pt>
                <c:pt idx="2855">
                  <c:v>7.3</c:v>
                </c:pt>
                <c:pt idx="2856">
                  <c:v>6.7</c:v>
                </c:pt>
                <c:pt idx="2857">
                  <c:v>6.1</c:v>
                </c:pt>
                <c:pt idx="2858">
                  <c:v>6.9</c:v>
                </c:pt>
                <c:pt idx="2859">
                  <c:v>7.9</c:v>
                </c:pt>
                <c:pt idx="2860">
                  <c:v>4.5</c:v>
                </c:pt>
                <c:pt idx="2861">
                  <c:v>7.6</c:v>
                </c:pt>
                <c:pt idx="2862">
                  <c:v>7.5</c:v>
                </c:pt>
                <c:pt idx="2863">
                  <c:v>6</c:v>
                </c:pt>
                <c:pt idx="2864">
                  <c:v>7.1</c:v>
                </c:pt>
                <c:pt idx="2865">
                  <c:v>6.9</c:v>
                </c:pt>
                <c:pt idx="2866">
                  <c:v>8.5</c:v>
                </c:pt>
                <c:pt idx="2867">
                  <c:v>7.5</c:v>
                </c:pt>
                <c:pt idx="2868">
                  <c:v>6.6</c:v>
                </c:pt>
                <c:pt idx="2869">
                  <c:v>8</c:v>
                </c:pt>
                <c:pt idx="2870">
                  <c:v>7</c:v>
                </c:pt>
                <c:pt idx="2871">
                  <c:v>6.8</c:v>
                </c:pt>
                <c:pt idx="2872">
                  <c:v>6.7</c:v>
                </c:pt>
                <c:pt idx="2873">
                  <c:v>6.5</c:v>
                </c:pt>
                <c:pt idx="2874">
                  <c:v>8</c:v>
                </c:pt>
                <c:pt idx="2875">
                  <c:v>6.5</c:v>
                </c:pt>
                <c:pt idx="2876">
                  <c:v>4.9000000000000004</c:v>
                </c:pt>
                <c:pt idx="2877">
                  <c:v>7.1</c:v>
                </c:pt>
                <c:pt idx="2878">
                  <c:v>7</c:v>
                </c:pt>
                <c:pt idx="2879">
                  <c:v>7</c:v>
                </c:pt>
                <c:pt idx="2880">
                  <c:v>4.5</c:v>
                </c:pt>
                <c:pt idx="2881">
                  <c:v>7.7</c:v>
                </c:pt>
                <c:pt idx="2882">
                  <c:v>6.7</c:v>
                </c:pt>
                <c:pt idx="2883">
                  <c:v>7</c:v>
                </c:pt>
                <c:pt idx="2884">
                  <c:v>6.5</c:v>
                </c:pt>
                <c:pt idx="2885">
                  <c:v>6.2</c:v>
                </c:pt>
                <c:pt idx="2886">
                  <c:v>5.7</c:v>
                </c:pt>
                <c:pt idx="2887">
                  <c:v>6.4</c:v>
                </c:pt>
                <c:pt idx="2888">
                  <c:v>5.4</c:v>
                </c:pt>
                <c:pt idx="2889">
                  <c:v>6.6</c:v>
                </c:pt>
                <c:pt idx="2890">
                  <c:v>6.1</c:v>
                </c:pt>
                <c:pt idx="2891">
                  <c:v>7.6</c:v>
                </c:pt>
                <c:pt idx="2892">
                  <c:v>6.2</c:v>
                </c:pt>
                <c:pt idx="2893">
                  <c:v>6.6</c:v>
                </c:pt>
                <c:pt idx="2894">
                  <c:v>7.3</c:v>
                </c:pt>
                <c:pt idx="2895">
                  <c:v>4.2</c:v>
                </c:pt>
                <c:pt idx="2896">
                  <c:v>6.5</c:v>
                </c:pt>
                <c:pt idx="2897">
                  <c:v>6.5</c:v>
                </c:pt>
                <c:pt idx="2898">
                  <c:v>5.7</c:v>
                </c:pt>
                <c:pt idx="2899">
                  <c:v>7.3</c:v>
                </c:pt>
                <c:pt idx="2900">
                  <c:v>6.9</c:v>
                </c:pt>
                <c:pt idx="2901">
                  <c:v>5</c:v>
                </c:pt>
                <c:pt idx="2902">
                  <c:v>7.3</c:v>
                </c:pt>
                <c:pt idx="2903">
                  <c:v>6.5</c:v>
                </c:pt>
                <c:pt idx="2904">
                  <c:v>2.1</c:v>
                </c:pt>
                <c:pt idx="2905">
                  <c:v>7</c:v>
                </c:pt>
                <c:pt idx="2906">
                  <c:v>8</c:v>
                </c:pt>
                <c:pt idx="2907">
                  <c:v>6.9</c:v>
                </c:pt>
                <c:pt idx="2908">
                  <c:v>7.1</c:v>
                </c:pt>
                <c:pt idx="2909">
                  <c:v>6.7</c:v>
                </c:pt>
                <c:pt idx="2910">
                  <c:v>8.9</c:v>
                </c:pt>
                <c:pt idx="2911">
                  <c:v>7.9</c:v>
                </c:pt>
                <c:pt idx="2912">
                  <c:v>5.6</c:v>
                </c:pt>
                <c:pt idx="2913">
                  <c:v>8</c:v>
                </c:pt>
                <c:pt idx="2914">
                  <c:v>6.2</c:v>
                </c:pt>
                <c:pt idx="2915">
                  <c:v>7.9</c:v>
                </c:pt>
                <c:pt idx="2916">
                  <c:v>8.1</c:v>
                </c:pt>
                <c:pt idx="2917">
                  <c:v>7.6</c:v>
                </c:pt>
                <c:pt idx="2918">
                  <c:v>3.5</c:v>
                </c:pt>
                <c:pt idx="2919">
                  <c:v>7.6</c:v>
                </c:pt>
                <c:pt idx="2920">
                  <c:v>6.5</c:v>
                </c:pt>
                <c:pt idx="2921">
                  <c:v>5.6</c:v>
                </c:pt>
                <c:pt idx="2922">
                  <c:v>7.7</c:v>
                </c:pt>
                <c:pt idx="2923">
                  <c:v>5.2</c:v>
                </c:pt>
                <c:pt idx="2924">
                  <c:v>6.1</c:v>
                </c:pt>
                <c:pt idx="2925">
                  <c:v>7.4</c:v>
                </c:pt>
                <c:pt idx="2926">
                  <c:v>6.8</c:v>
                </c:pt>
                <c:pt idx="2927">
                  <c:v>6.4</c:v>
                </c:pt>
                <c:pt idx="2928">
                  <c:v>5.7</c:v>
                </c:pt>
                <c:pt idx="2929">
                  <c:v>6.7</c:v>
                </c:pt>
                <c:pt idx="2930">
                  <c:v>5.6</c:v>
                </c:pt>
                <c:pt idx="2931">
                  <c:v>7.6</c:v>
                </c:pt>
                <c:pt idx="2932">
                  <c:v>6.5</c:v>
                </c:pt>
                <c:pt idx="2933">
                  <c:v>6.3</c:v>
                </c:pt>
                <c:pt idx="2934">
                  <c:v>7.1</c:v>
                </c:pt>
                <c:pt idx="2935">
                  <c:v>7.1</c:v>
                </c:pt>
                <c:pt idx="2936">
                  <c:v>6.9</c:v>
                </c:pt>
                <c:pt idx="2937">
                  <c:v>5.4</c:v>
                </c:pt>
                <c:pt idx="2938">
                  <c:v>5.0999999999999996</c:v>
                </c:pt>
                <c:pt idx="2939">
                  <c:v>5.3</c:v>
                </c:pt>
                <c:pt idx="2940">
                  <c:v>7.3</c:v>
                </c:pt>
                <c:pt idx="2941">
                  <c:v>7.3</c:v>
                </c:pt>
                <c:pt idx="2942">
                  <c:v>7.1</c:v>
                </c:pt>
                <c:pt idx="2943">
                  <c:v>6</c:v>
                </c:pt>
                <c:pt idx="2944">
                  <c:v>6.6</c:v>
                </c:pt>
                <c:pt idx="2945">
                  <c:v>7.2</c:v>
                </c:pt>
                <c:pt idx="2946">
                  <c:v>7.2</c:v>
                </c:pt>
                <c:pt idx="2947">
                  <c:v>6.9</c:v>
                </c:pt>
                <c:pt idx="2948">
                  <c:v>6.8</c:v>
                </c:pt>
                <c:pt idx="2949">
                  <c:v>7.7</c:v>
                </c:pt>
                <c:pt idx="2950">
                  <c:v>7.4</c:v>
                </c:pt>
                <c:pt idx="2951">
                  <c:v>6.5</c:v>
                </c:pt>
                <c:pt idx="2952">
                  <c:v>6.4</c:v>
                </c:pt>
                <c:pt idx="2953">
                  <c:v>5.6</c:v>
                </c:pt>
                <c:pt idx="2954">
                  <c:v>6.8</c:v>
                </c:pt>
                <c:pt idx="2955">
                  <c:v>5.5</c:v>
                </c:pt>
                <c:pt idx="2956">
                  <c:v>6.9</c:v>
                </c:pt>
                <c:pt idx="2957">
                  <c:v>6</c:v>
                </c:pt>
                <c:pt idx="2958">
                  <c:v>6.4</c:v>
                </c:pt>
                <c:pt idx="2959">
                  <c:v>6.6</c:v>
                </c:pt>
                <c:pt idx="2960">
                  <c:v>5.3</c:v>
                </c:pt>
                <c:pt idx="2961">
                  <c:v>8.1</c:v>
                </c:pt>
                <c:pt idx="2962">
                  <c:v>6.9</c:v>
                </c:pt>
                <c:pt idx="2963">
                  <c:v>6.5</c:v>
                </c:pt>
                <c:pt idx="2964">
                  <c:v>7.4</c:v>
                </c:pt>
                <c:pt idx="2965">
                  <c:v>6.9</c:v>
                </c:pt>
                <c:pt idx="2966">
                  <c:v>6.7</c:v>
                </c:pt>
                <c:pt idx="2967">
                  <c:v>7.6</c:v>
                </c:pt>
                <c:pt idx="2968">
                  <c:v>5.4</c:v>
                </c:pt>
                <c:pt idx="2969">
                  <c:v>7.3</c:v>
                </c:pt>
                <c:pt idx="2970">
                  <c:v>6</c:v>
                </c:pt>
                <c:pt idx="2971">
                  <c:v>7.2</c:v>
                </c:pt>
                <c:pt idx="2972">
                  <c:v>6</c:v>
                </c:pt>
                <c:pt idx="2973">
                  <c:v>3.1</c:v>
                </c:pt>
                <c:pt idx="2974">
                  <c:v>6.9</c:v>
                </c:pt>
                <c:pt idx="2975">
                  <c:v>6.2</c:v>
                </c:pt>
                <c:pt idx="2976">
                  <c:v>6.9</c:v>
                </c:pt>
                <c:pt idx="2977">
                  <c:v>6.3</c:v>
                </c:pt>
                <c:pt idx="2978">
                  <c:v>6.7</c:v>
                </c:pt>
                <c:pt idx="2979">
                  <c:v>5.4</c:v>
                </c:pt>
                <c:pt idx="2980">
                  <c:v>8</c:v>
                </c:pt>
                <c:pt idx="2981">
                  <c:v>7</c:v>
                </c:pt>
                <c:pt idx="2982">
                  <c:v>7.2</c:v>
                </c:pt>
                <c:pt idx="2983">
                  <c:v>3.5</c:v>
                </c:pt>
                <c:pt idx="2984">
                  <c:v>7.5</c:v>
                </c:pt>
                <c:pt idx="2985">
                  <c:v>6.7</c:v>
                </c:pt>
                <c:pt idx="2986">
                  <c:v>9.1999999999999993</c:v>
                </c:pt>
                <c:pt idx="2987">
                  <c:v>6.1</c:v>
                </c:pt>
                <c:pt idx="2988">
                  <c:v>7.7</c:v>
                </c:pt>
                <c:pt idx="2989">
                  <c:v>7.6</c:v>
                </c:pt>
                <c:pt idx="2990">
                  <c:v>6.1</c:v>
                </c:pt>
                <c:pt idx="2991">
                  <c:v>4.9000000000000004</c:v>
                </c:pt>
                <c:pt idx="2992">
                  <c:v>6.8</c:v>
                </c:pt>
                <c:pt idx="2993">
                  <c:v>7</c:v>
                </c:pt>
                <c:pt idx="2994">
                  <c:v>5.7</c:v>
                </c:pt>
                <c:pt idx="2995">
                  <c:v>7.5</c:v>
                </c:pt>
                <c:pt idx="2996">
                  <c:v>7.4</c:v>
                </c:pt>
                <c:pt idx="2997">
                  <c:v>7.2</c:v>
                </c:pt>
                <c:pt idx="2998">
                  <c:v>6.8</c:v>
                </c:pt>
                <c:pt idx="2999">
                  <c:v>6.8</c:v>
                </c:pt>
                <c:pt idx="3000">
                  <c:v>5.2</c:v>
                </c:pt>
                <c:pt idx="3001">
                  <c:v>7.2</c:v>
                </c:pt>
                <c:pt idx="3002">
                  <c:v>4</c:v>
                </c:pt>
                <c:pt idx="3003">
                  <c:v>6.8</c:v>
                </c:pt>
                <c:pt idx="3004">
                  <c:v>6.9</c:v>
                </c:pt>
                <c:pt idx="3005">
                  <c:v>7.3</c:v>
                </c:pt>
                <c:pt idx="3006">
                  <c:v>6.1</c:v>
                </c:pt>
                <c:pt idx="3007">
                  <c:v>6</c:v>
                </c:pt>
                <c:pt idx="3008">
                  <c:v>7</c:v>
                </c:pt>
                <c:pt idx="3009">
                  <c:v>7.1</c:v>
                </c:pt>
                <c:pt idx="3010">
                  <c:v>6.2</c:v>
                </c:pt>
                <c:pt idx="3011">
                  <c:v>6.9</c:v>
                </c:pt>
                <c:pt idx="3012">
                  <c:v>7.6</c:v>
                </c:pt>
                <c:pt idx="3013">
                  <c:v>7.6</c:v>
                </c:pt>
                <c:pt idx="3014">
                  <c:v>6.4</c:v>
                </c:pt>
                <c:pt idx="3015">
                  <c:v>6.2</c:v>
                </c:pt>
                <c:pt idx="3016">
                  <c:v>7.5</c:v>
                </c:pt>
                <c:pt idx="3017">
                  <c:v>2</c:v>
                </c:pt>
                <c:pt idx="3018">
                  <c:v>6.2</c:v>
                </c:pt>
                <c:pt idx="3019">
                  <c:v>6.5</c:v>
                </c:pt>
                <c:pt idx="3020">
                  <c:v>7.9</c:v>
                </c:pt>
                <c:pt idx="3021">
                  <c:v>6.8</c:v>
                </c:pt>
                <c:pt idx="3022">
                  <c:v>6.3</c:v>
                </c:pt>
                <c:pt idx="3023">
                  <c:v>6.3</c:v>
                </c:pt>
                <c:pt idx="3024">
                  <c:v>6.6</c:v>
                </c:pt>
                <c:pt idx="3025">
                  <c:v>6.4</c:v>
                </c:pt>
                <c:pt idx="3026">
                  <c:v>7.5</c:v>
                </c:pt>
                <c:pt idx="3027">
                  <c:v>6.5</c:v>
                </c:pt>
                <c:pt idx="3028">
                  <c:v>7.2</c:v>
                </c:pt>
                <c:pt idx="3029">
                  <c:v>6.3</c:v>
                </c:pt>
                <c:pt idx="3030">
                  <c:v>7</c:v>
                </c:pt>
                <c:pt idx="3031">
                  <c:v>6.3</c:v>
                </c:pt>
                <c:pt idx="3032">
                  <c:v>2.2999999999999998</c:v>
                </c:pt>
                <c:pt idx="3033">
                  <c:v>7.1</c:v>
                </c:pt>
                <c:pt idx="3034">
                  <c:v>6.2</c:v>
                </c:pt>
                <c:pt idx="3035">
                  <c:v>6.7</c:v>
                </c:pt>
                <c:pt idx="3036">
                  <c:v>6.5</c:v>
                </c:pt>
                <c:pt idx="3037">
                  <c:v>5.9</c:v>
                </c:pt>
                <c:pt idx="3038">
                  <c:v>6</c:v>
                </c:pt>
                <c:pt idx="3039">
                  <c:v>6.9</c:v>
                </c:pt>
                <c:pt idx="3040">
                  <c:v>7.3</c:v>
                </c:pt>
                <c:pt idx="3041">
                  <c:v>7.7</c:v>
                </c:pt>
                <c:pt idx="3042">
                  <c:v>7.3</c:v>
                </c:pt>
                <c:pt idx="3043">
                  <c:v>7</c:v>
                </c:pt>
                <c:pt idx="3044">
                  <c:v>6.4</c:v>
                </c:pt>
                <c:pt idx="3045">
                  <c:v>5.6</c:v>
                </c:pt>
                <c:pt idx="3046">
                  <c:v>8.1999999999999993</c:v>
                </c:pt>
                <c:pt idx="3047">
                  <c:v>6.5</c:v>
                </c:pt>
                <c:pt idx="3048">
                  <c:v>8.1</c:v>
                </c:pt>
                <c:pt idx="3049">
                  <c:v>5.4</c:v>
                </c:pt>
                <c:pt idx="3050">
                  <c:v>6.3</c:v>
                </c:pt>
                <c:pt idx="3051">
                  <c:v>7.8</c:v>
                </c:pt>
                <c:pt idx="3052">
                  <c:v>6.8</c:v>
                </c:pt>
                <c:pt idx="3053">
                  <c:v>7.1</c:v>
                </c:pt>
                <c:pt idx="3054">
                  <c:v>6.2</c:v>
                </c:pt>
                <c:pt idx="3055">
                  <c:v>7.3</c:v>
                </c:pt>
                <c:pt idx="3056">
                  <c:v>5.9</c:v>
                </c:pt>
                <c:pt idx="3057">
                  <c:v>3.6</c:v>
                </c:pt>
                <c:pt idx="3058">
                  <c:v>7.7</c:v>
                </c:pt>
                <c:pt idx="3059">
                  <c:v>7.3</c:v>
                </c:pt>
                <c:pt idx="3060">
                  <c:v>7.4</c:v>
                </c:pt>
                <c:pt idx="3061">
                  <c:v>6.6</c:v>
                </c:pt>
                <c:pt idx="3062">
                  <c:v>6.9</c:v>
                </c:pt>
                <c:pt idx="3063">
                  <c:v>6.8</c:v>
                </c:pt>
                <c:pt idx="3064">
                  <c:v>7.3</c:v>
                </c:pt>
                <c:pt idx="3065">
                  <c:v>7.2</c:v>
                </c:pt>
                <c:pt idx="3066">
                  <c:v>7.7</c:v>
                </c:pt>
                <c:pt idx="3067">
                  <c:v>8.1</c:v>
                </c:pt>
                <c:pt idx="3068">
                  <c:v>7.7</c:v>
                </c:pt>
                <c:pt idx="3069">
                  <c:v>7.6</c:v>
                </c:pt>
                <c:pt idx="3070">
                  <c:v>7.2</c:v>
                </c:pt>
                <c:pt idx="3071">
                  <c:v>7.2</c:v>
                </c:pt>
                <c:pt idx="3072">
                  <c:v>8.1</c:v>
                </c:pt>
                <c:pt idx="3073">
                  <c:v>7.5</c:v>
                </c:pt>
                <c:pt idx="3074">
                  <c:v>8.1</c:v>
                </c:pt>
                <c:pt idx="3075">
                  <c:v>7.8</c:v>
                </c:pt>
                <c:pt idx="3076">
                  <c:v>7.8</c:v>
                </c:pt>
                <c:pt idx="3077">
                  <c:v>7.6</c:v>
                </c:pt>
                <c:pt idx="3078">
                  <c:v>7.4</c:v>
                </c:pt>
                <c:pt idx="3079">
                  <c:v>6.3</c:v>
                </c:pt>
                <c:pt idx="3080">
                  <c:v>6.9</c:v>
                </c:pt>
                <c:pt idx="3081">
                  <c:v>8.6</c:v>
                </c:pt>
                <c:pt idx="3082">
                  <c:v>5.0999999999999996</c:v>
                </c:pt>
                <c:pt idx="3083">
                  <c:v>6.4</c:v>
                </c:pt>
                <c:pt idx="3084">
                  <c:v>7.9</c:v>
                </c:pt>
                <c:pt idx="3085">
                  <c:v>6.9</c:v>
                </c:pt>
                <c:pt idx="3086">
                  <c:v>7.5</c:v>
                </c:pt>
                <c:pt idx="3087">
                  <c:v>7.2</c:v>
                </c:pt>
                <c:pt idx="3088">
                  <c:v>5.8</c:v>
                </c:pt>
                <c:pt idx="3089">
                  <c:v>2.9</c:v>
                </c:pt>
                <c:pt idx="3090">
                  <c:v>6.2</c:v>
                </c:pt>
                <c:pt idx="3091">
                  <c:v>6.8</c:v>
                </c:pt>
                <c:pt idx="3092">
                  <c:v>6.1</c:v>
                </c:pt>
                <c:pt idx="3093">
                  <c:v>7.7</c:v>
                </c:pt>
                <c:pt idx="3094">
                  <c:v>5.2</c:v>
                </c:pt>
                <c:pt idx="3095">
                  <c:v>6.8</c:v>
                </c:pt>
                <c:pt idx="3096">
                  <c:v>6.5</c:v>
                </c:pt>
                <c:pt idx="3097">
                  <c:v>7</c:v>
                </c:pt>
                <c:pt idx="3098">
                  <c:v>5.9</c:v>
                </c:pt>
                <c:pt idx="3099">
                  <c:v>7.1</c:v>
                </c:pt>
                <c:pt idx="3100">
                  <c:v>5.5</c:v>
                </c:pt>
                <c:pt idx="3101">
                  <c:v>7.4</c:v>
                </c:pt>
                <c:pt idx="3102">
                  <c:v>7.3</c:v>
                </c:pt>
                <c:pt idx="3103">
                  <c:v>4.5999999999999996</c:v>
                </c:pt>
                <c:pt idx="3104">
                  <c:v>7.2</c:v>
                </c:pt>
                <c:pt idx="3105">
                  <c:v>5.0999999999999996</c:v>
                </c:pt>
                <c:pt idx="3106">
                  <c:v>6.7</c:v>
                </c:pt>
                <c:pt idx="3107">
                  <c:v>5.3</c:v>
                </c:pt>
                <c:pt idx="3108">
                  <c:v>7.8</c:v>
                </c:pt>
                <c:pt idx="3109">
                  <c:v>6.7</c:v>
                </c:pt>
                <c:pt idx="3110">
                  <c:v>7.2</c:v>
                </c:pt>
                <c:pt idx="3111">
                  <c:v>5.8</c:v>
                </c:pt>
                <c:pt idx="3112">
                  <c:v>7</c:v>
                </c:pt>
                <c:pt idx="3113">
                  <c:v>3.8</c:v>
                </c:pt>
                <c:pt idx="3114">
                  <c:v>5.7</c:v>
                </c:pt>
                <c:pt idx="3115">
                  <c:v>6.7</c:v>
                </c:pt>
                <c:pt idx="3116">
                  <c:v>6.1</c:v>
                </c:pt>
                <c:pt idx="3117">
                  <c:v>6.2</c:v>
                </c:pt>
                <c:pt idx="3118">
                  <c:v>6.2</c:v>
                </c:pt>
                <c:pt idx="3119">
                  <c:v>4.7</c:v>
                </c:pt>
                <c:pt idx="3120">
                  <c:v>6.3</c:v>
                </c:pt>
                <c:pt idx="3121">
                  <c:v>7.3</c:v>
                </c:pt>
                <c:pt idx="3122">
                  <c:v>5.8</c:v>
                </c:pt>
                <c:pt idx="3123">
                  <c:v>7.1</c:v>
                </c:pt>
                <c:pt idx="3124">
                  <c:v>7.1</c:v>
                </c:pt>
                <c:pt idx="3125">
                  <c:v>6.7</c:v>
                </c:pt>
                <c:pt idx="3126">
                  <c:v>6.9</c:v>
                </c:pt>
                <c:pt idx="3127">
                  <c:v>2.1</c:v>
                </c:pt>
                <c:pt idx="3128">
                  <c:v>6.6</c:v>
                </c:pt>
                <c:pt idx="3129">
                  <c:v>8.3000000000000007</c:v>
                </c:pt>
                <c:pt idx="3130">
                  <c:v>7.2</c:v>
                </c:pt>
                <c:pt idx="3131">
                  <c:v>5.6</c:v>
                </c:pt>
                <c:pt idx="3132">
                  <c:v>7.7</c:v>
                </c:pt>
                <c:pt idx="3133">
                  <c:v>6.6</c:v>
                </c:pt>
                <c:pt idx="3134">
                  <c:v>7.4</c:v>
                </c:pt>
                <c:pt idx="3135">
                  <c:v>7.1</c:v>
                </c:pt>
                <c:pt idx="3136">
                  <c:v>7.9</c:v>
                </c:pt>
                <c:pt idx="3137">
                  <c:v>6.7</c:v>
                </c:pt>
                <c:pt idx="3138">
                  <c:v>6.6</c:v>
                </c:pt>
                <c:pt idx="3139">
                  <c:v>7.9</c:v>
                </c:pt>
                <c:pt idx="3140">
                  <c:v>4.9000000000000004</c:v>
                </c:pt>
                <c:pt idx="3141">
                  <c:v>7.2</c:v>
                </c:pt>
                <c:pt idx="3142">
                  <c:v>6.1</c:v>
                </c:pt>
                <c:pt idx="3143">
                  <c:v>5.3</c:v>
                </c:pt>
                <c:pt idx="3144">
                  <c:v>5</c:v>
                </c:pt>
                <c:pt idx="3145">
                  <c:v>7.6</c:v>
                </c:pt>
                <c:pt idx="3146">
                  <c:v>7.6</c:v>
                </c:pt>
                <c:pt idx="3147">
                  <c:v>6.6</c:v>
                </c:pt>
                <c:pt idx="3148">
                  <c:v>6.6</c:v>
                </c:pt>
                <c:pt idx="3149">
                  <c:v>7.3</c:v>
                </c:pt>
                <c:pt idx="3150">
                  <c:v>6.6</c:v>
                </c:pt>
                <c:pt idx="3151">
                  <c:v>6.9</c:v>
                </c:pt>
                <c:pt idx="3152">
                  <c:v>5.8</c:v>
                </c:pt>
                <c:pt idx="3153">
                  <c:v>4.4000000000000004</c:v>
                </c:pt>
                <c:pt idx="3154">
                  <c:v>6.6</c:v>
                </c:pt>
                <c:pt idx="3155">
                  <c:v>7.6</c:v>
                </c:pt>
                <c:pt idx="3156">
                  <c:v>4.5999999999999996</c:v>
                </c:pt>
                <c:pt idx="3157">
                  <c:v>6.8</c:v>
                </c:pt>
                <c:pt idx="3158">
                  <c:v>4.9000000000000004</c:v>
                </c:pt>
                <c:pt idx="3159">
                  <c:v>7.3</c:v>
                </c:pt>
                <c:pt idx="3160">
                  <c:v>5</c:v>
                </c:pt>
                <c:pt idx="3161">
                  <c:v>8</c:v>
                </c:pt>
                <c:pt idx="3162">
                  <c:v>5.2</c:v>
                </c:pt>
                <c:pt idx="3163">
                  <c:v>8.5</c:v>
                </c:pt>
                <c:pt idx="3164">
                  <c:v>6.5</c:v>
                </c:pt>
                <c:pt idx="3165">
                  <c:v>7.4</c:v>
                </c:pt>
                <c:pt idx="3166">
                  <c:v>7.7</c:v>
                </c:pt>
                <c:pt idx="3167">
                  <c:v>7.4</c:v>
                </c:pt>
                <c:pt idx="3168">
                  <c:v>5.0999999999999996</c:v>
                </c:pt>
                <c:pt idx="3169">
                  <c:v>5</c:v>
                </c:pt>
                <c:pt idx="3170">
                  <c:v>7.2</c:v>
                </c:pt>
                <c:pt idx="3171">
                  <c:v>6.4</c:v>
                </c:pt>
                <c:pt idx="3172">
                  <c:v>5.6</c:v>
                </c:pt>
                <c:pt idx="3173">
                  <c:v>6.1</c:v>
                </c:pt>
                <c:pt idx="3174">
                  <c:v>5.2</c:v>
                </c:pt>
                <c:pt idx="3175">
                  <c:v>7.3</c:v>
                </c:pt>
                <c:pt idx="3176">
                  <c:v>7.5</c:v>
                </c:pt>
                <c:pt idx="3177">
                  <c:v>4.5</c:v>
                </c:pt>
                <c:pt idx="3178">
                  <c:v>6.6</c:v>
                </c:pt>
                <c:pt idx="3179">
                  <c:v>5.3</c:v>
                </c:pt>
                <c:pt idx="3180">
                  <c:v>4.9000000000000004</c:v>
                </c:pt>
                <c:pt idx="3181">
                  <c:v>7.7</c:v>
                </c:pt>
                <c:pt idx="3182">
                  <c:v>8</c:v>
                </c:pt>
                <c:pt idx="3183">
                  <c:v>3.8</c:v>
                </c:pt>
                <c:pt idx="3184">
                  <c:v>7.6</c:v>
                </c:pt>
                <c:pt idx="3185">
                  <c:v>5.9</c:v>
                </c:pt>
                <c:pt idx="3186">
                  <c:v>6.2</c:v>
                </c:pt>
                <c:pt idx="3187">
                  <c:v>7.2</c:v>
                </c:pt>
                <c:pt idx="3188">
                  <c:v>6.3</c:v>
                </c:pt>
                <c:pt idx="3189">
                  <c:v>5.2</c:v>
                </c:pt>
                <c:pt idx="3190">
                  <c:v>6.9</c:v>
                </c:pt>
                <c:pt idx="3191">
                  <c:v>6.8</c:v>
                </c:pt>
                <c:pt idx="3192">
                  <c:v>3.5</c:v>
                </c:pt>
                <c:pt idx="3193">
                  <c:v>6.1</c:v>
                </c:pt>
                <c:pt idx="3194">
                  <c:v>4.5</c:v>
                </c:pt>
                <c:pt idx="3195">
                  <c:v>5.9</c:v>
                </c:pt>
                <c:pt idx="3196">
                  <c:v>6.9</c:v>
                </c:pt>
                <c:pt idx="3197">
                  <c:v>7.7</c:v>
                </c:pt>
                <c:pt idx="3198">
                  <c:v>5.3</c:v>
                </c:pt>
                <c:pt idx="3199">
                  <c:v>7</c:v>
                </c:pt>
                <c:pt idx="3200">
                  <c:v>6.6</c:v>
                </c:pt>
                <c:pt idx="3201">
                  <c:v>6.4</c:v>
                </c:pt>
                <c:pt idx="3202">
                  <c:v>7.9</c:v>
                </c:pt>
                <c:pt idx="3203">
                  <c:v>6.9</c:v>
                </c:pt>
                <c:pt idx="3204">
                  <c:v>7.7</c:v>
                </c:pt>
                <c:pt idx="3205">
                  <c:v>7.2</c:v>
                </c:pt>
                <c:pt idx="3206">
                  <c:v>6.8</c:v>
                </c:pt>
                <c:pt idx="3207">
                  <c:v>7.4</c:v>
                </c:pt>
                <c:pt idx="3208">
                  <c:v>4.5999999999999996</c:v>
                </c:pt>
                <c:pt idx="3209">
                  <c:v>6.4</c:v>
                </c:pt>
                <c:pt idx="3210">
                  <c:v>7</c:v>
                </c:pt>
                <c:pt idx="3211">
                  <c:v>7.7</c:v>
                </c:pt>
                <c:pt idx="3212">
                  <c:v>6.8</c:v>
                </c:pt>
                <c:pt idx="3213">
                  <c:v>7</c:v>
                </c:pt>
                <c:pt idx="3214">
                  <c:v>7</c:v>
                </c:pt>
                <c:pt idx="3215">
                  <c:v>6.3</c:v>
                </c:pt>
                <c:pt idx="3216">
                  <c:v>7.1</c:v>
                </c:pt>
                <c:pt idx="3217">
                  <c:v>4.4000000000000004</c:v>
                </c:pt>
                <c:pt idx="3218">
                  <c:v>7.1</c:v>
                </c:pt>
                <c:pt idx="3219">
                  <c:v>6.1</c:v>
                </c:pt>
                <c:pt idx="3220">
                  <c:v>7.3</c:v>
                </c:pt>
                <c:pt idx="3221">
                  <c:v>6.2</c:v>
                </c:pt>
                <c:pt idx="3222">
                  <c:v>6.2</c:v>
                </c:pt>
                <c:pt idx="3223">
                  <c:v>6.2</c:v>
                </c:pt>
                <c:pt idx="3224">
                  <c:v>3.3</c:v>
                </c:pt>
                <c:pt idx="3225">
                  <c:v>7.5</c:v>
                </c:pt>
                <c:pt idx="3226">
                  <c:v>7.4</c:v>
                </c:pt>
                <c:pt idx="3227">
                  <c:v>7.3</c:v>
                </c:pt>
                <c:pt idx="3228">
                  <c:v>8</c:v>
                </c:pt>
                <c:pt idx="3229">
                  <c:v>5.9</c:v>
                </c:pt>
                <c:pt idx="3230">
                  <c:v>6.8</c:v>
                </c:pt>
                <c:pt idx="3231">
                  <c:v>7.4</c:v>
                </c:pt>
                <c:pt idx="3232">
                  <c:v>6.7</c:v>
                </c:pt>
                <c:pt idx="3233">
                  <c:v>5.5</c:v>
                </c:pt>
                <c:pt idx="3234">
                  <c:v>5.7</c:v>
                </c:pt>
                <c:pt idx="3235">
                  <c:v>7.2</c:v>
                </c:pt>
                <c:pt idx="3236">
                  <c:v>5.9</c:v>
                </c:pt>
                <c:pt idx="3237">
                  <c:v>6.7</c:v>
                </c:pt>
                <c:pt idx="3238">
                  <c:v>7.1</c:v>
                </c:pt>
                <c:pt idx="3239">
                  <c:v>7.7</c:v>
                </c:pt>
                <c:pt idx="3240">
                  <c:v>7.4</c:v>
                </c:pt>
                <c:pt idx="3241">
                  <c:v>8.4</c:v>
                </c:pt>
                <c:pt idx="3242">
                  <c:v>7.2</c:v>
                </c:pt>
                <c:pt idx="3243">
                  <c:v>5.4</c:v>
                </c:pt>
                <c:pt idx="3244">
                  <c:v>8.1</c:v>
                </c:pt>
                <c:pt idx="3245">
                  <c:v>7.8</c:v>
                </c:pt>
                <c:pt idx="3246">
                  <c:v>6.8</c:v>
                </c:pt>
                <c:pt idx="3247">
                  <c:v>7.7</c:v>
                </c:pt>
                <c:pt idx="3248">
                  <c:v>6.5</c:v>
                </c:pt>
                <c:pt idx="3249">
                  <c:v>7.3</c:v>
                </c:pt>
                <c:pt idx="3250">
                  <c:v>5.9</c:v>
                </c:pt>
                <c:pt idx="3251">
                  <c:v>8.6999999999999993</c:v>
                </c:pt>
                <c:pt idx="3252">
                  <c:v>5.8</c:v>
                </c:pt>
                <c:pt idx="3253">
                  <c:v>6.1</c:v>
                </c:pt>
                <c:pt idx="3254">
                  <c:v>7.6</c:v>
                </c:pt>
                <c:pt idx="3255">
                  <c:v>7.2</c:v>
                </c:pt>
                <c:pt idx="3256">
                  <c:v>6.5</c:v>
                </c:pt>
                <c:pt idx="3257">
                  <c:v>7.3</c:v>
                </c:pt>
                <c:pt idx="3258">
                  <c:v>6.2</c:v>
                </c:pt>
                <c:pt idx="3259">
                  <c:v>5</c:v>
                </c:pt>
                <c:pt idx="3260">
                  <c:v>7.8</c:v>
                </c:pt>
                <c:pt idx="3261">
                  <c:v>8.1</c:v>
                </c:pt>
                <c:pt idx="3262">
                  <c:v>6.7</c:v>
                </c:pt>
                <c:pt idx="3263">
                  <c:v>7.1</c:v>
                </c:pt>
                <c:pt idx="3264">
                  <c:v>5.6</c:v>
                </c:pt>
                <c:pt idx="3265">
                  <c:v>7.6</c:v>
                </c:pt>
                <c:pt idx="3266">
                  <c:v>4.5999999999999996</c:v>
                </c:pt>
                <c:pt idx="3267">
                  <c:v>7.1</c:v>
                </c:pt>
                <c:pt idx="3268">
                  <c:v>7.3</c:v>
                </c:pt>
                <c:pt idx="3269">
                  <c:v>4</c:v>
                </c:pt>
                <c:pt idx="3270">
                  <c:v>8</c:v>
                </c:pt>
                <c:pt idx="3271">
                  <c:v>6.7</c:v>
                </c:pt>
                <c:pt idx="3272">
                  <c:v>4.5999999999999996</c:v>
                </c:pt>
                <c:pt idx="3273">
                  <c:v>4</c:v>
                </c:pt>
                <c:pt idx="3274">
                  <c:v>7</c:v>
                </c:pt>
                <c:pt idx="3275">
                  <c:v>5.9</c:v>
                </c:pt>
                <c:pt idx="3276">
                  <c:v>7.5</c:v>
                </c:pt>
                <c:pt idx="3277">
                  <c:v>4.7</c:v>
                </c:pt>
                <c:pt idx="3278">
                  <c:v>6.7</c:v>
                </c:pt>
                <c:pt idx="3279">
                  <c:v>6.7</c:v>
                </c:pt>
                <c:pt idx="3280">
                  <c:v>7.1</c:v>
                </c:pt>
                <c:pt idx="3281">
                  <c:v>2.7</c:v>
                </c:pt>
                <c:pt idx="3282">
                  <c:v>7.3</c:v>
                </c:pt>
                <c:pt idx="3283">
                  <c:v>7.6</c:v>
                </c:pt>
                <c:pt idx="3284">
                  <c:v>5.8</c:v>
                </c:pt>
                <c:pt idx="3285">
                  <c:v>6.5</c:v>
                </c:pt>
                <c:pt idx="3286">
                  <c:v>6.6</c:v>
                </c:pt>
                <c:pt idx="3287">
                  <c:v>6.9</c:v>
                </c:pt>
                <c:pt idx="3288">
                  <c:v>8.5</c:v>
                </c:pt>
                <c:pt idx="3289">
                  <c:v>4.8</c:v>
                </c:pt>
                <c:pt idx="3290">
                  <c:v>7</c:v>
                </c:pt>
                <c:pt idx="3291">
                  <c:v>5.4</c:v>
                </c:pt>
                <c:pt idx="3292">
                  <c:v>6.9</c:v>
                </c:pt>
                <c:pt idx="3293">
                  <c:v>6.6</c:v>
                </c:pt>
                <c:pt idx="3294">
                  <c:v>5.9</c:v>
                </c:pt>
                <c:pt idx="3295">
                  <c:v>6.3</c:v>
                </c:pt>
                <c:pt idx="3296">
                  <c:v>6.3</c:v>
                </c:pt>
                <c:pt idx="3297">
                  <c:v>7.7</c:v>
                </c:pt>
                <c:pt idx="3298">
                  <c:v>7</c:v>
                </c:pt>
                <c:pt idx="3299">
                  <c:v>6.3</c:v>
                </c:pt>
                <c:pt idx="3300">
                  <c:v>5.9</c:v>
                </c:pt>
                <c:pt idx="3301">
                  <c:v>6.2</c:v>
                </c:pt>
                <c:pt idx="3302">
                  <c:v>7.7</c:v>
                </c:pt>
                <c:pt idx="3303">
                  <c:v>6.5</c:v>
                </c:pt>
                <c:pt idx="3304">
                  <c:v>5.8</c:v>
                </c:pt>
                <c:pt idx="3305">
                  <c:v>6.1</c:v>
                </c:pt>
                <c:pt idx="3306">
                  <c:v>5.2</c:v>
                </c:pt>
                <c:pt idx="3307">
                  <c:v>8.1999999999999993</c:v>
                </c:pt>
                <c:pt idx="3308">
                  <c:v>6</c:v>
                </c:pt>
                <c:pt idx="3309">
                  <c:v>6.8</c:v>
                </c:pt>
                <c:pt idx="3310">
                  <c:v>7</c:v>
                </c:pt>
                <c:pt idx="3311">
                  <c:v>6.8</c:v>
                </c:pt>
                <c:pt idx="3312">
                  <c:v>7.1</c:v>
                </c:pt>
                <c:pt idx="3313">
                  <c:v>6.9</c:v>
                </c:pt>
                <c:pt idx="3314">
                  <c:v>6.9</c:v>
                </c:pt>
                <c:pt idx="3315">
                  <c:v>7.2</c:v>
                </c:pt>
                <c:pt idx="3316">
                  <c:v>7.8</c:v>
                </c:pt>
                <c:pt idx="3317">
                  <c:v>7.3</c:v>
                </c:pt>
                <c:pt idx="3318">
                  <c:v>7.5</c:v>
                </c:pt>
                <c:pt idx="3319">
                  <c:v>6</c:v>
                </c:pt>
                <c:pt idx="3320">
                  <c:v>6.8</c:v>
                </c:pt>
                <c:pt idx="3321">
                  <c:v>3.9</c:v>
                </c:pt>
                <c:pt idx="3322">
                  <c:v>6.1</c:v>
                </c:pt>
                <c:pt idx="3323">
                  <c:v>7.5</c:v>
                </c:pt>
                <c:pt idx="3324">
                  <c:v>8.1999999999999993</c:v>
                </c:pt>
                <c:pt idx="3325">
                  <c:v>7.8</c:v>
                </c:pt>
                <c:pt idx="3326">
                  <c:v>5.2</c:v>
                </c:pt>
                <c:pt idx="3327">
                  <c:v>6.8</c:v>
                </c:pt>
                <c:pt idx="3328">
                  <c:v>7</c:v>
                </c:pt>
                <c:pt idx="3329">
                  <c:v>6.5</c:v>
                </c:pt>
                <c:pt idx="3330">
                  <c:v>6.4</c:v>
                </c:pt>
                <c:pt idx="3331">
                  <c:v>5.3</c:v>
                </c:pt>
                <c:pt idx="3332">
                  <c:v>4.7</c:v>
                </c:pt>
                <c:pt idx="3333">
                  <c:v>7</c:v>
                </c:pt>
                <c:pt idx="3334">
                  <c:v>7.6</c:v>
                </c:pt>
                <c:pt idx="3335">
                  <c:v>7.1</c:v>
                </c:pt>
                <c:pt idx="3336">
                  <c:v>6.5</c:v>
                </c:pt>
                <c:pt idx="3337">
                  <c:v>8.5</c:v>
                </c:pt>
                <c:pt idx="3338">
                  <c:v>8.6999999999999993</c:v>
                </c:pt>
                <c:pt idx="3339">
                  <c:v>7.1</c:v>
                </c:pt>
                <c:pt idx="3340">
                  <c:v>8.3000000000000007</c:v>
                </c:pt>
                <c:pt idx="3341">
                  <c:v>7.4</c:v>
                </c:pt>
                <c:pt idx="3342">
                  <c:v>6.4</c:v>
                </c:pt>
                <c:pt idx="3343">
                  <c:v>7.5</c:v>
                </c:pt>
                <c:pt idx="3344">
                  <c:v>7.2</c:v>
                </c:pt>
                <c:pt idx="3345">
                  <c:v>7.6</c:v>
                </c:pt>
                <c:pt idx="3346">
                  <c:v>7.8</c:v>
                </c:pt>
                <c:pt idx="3347">
                  <c:v>8.1999999999999993</c:v>
                </c:pt>
                <c:pt idx="3348">
                  <c:v>6.6</c:v>
                </c:pt>
                <c:pt idx="3349">
                  <c:v>5.7</c:v>
                </c:pt>
                <c:pt idx="3350">
                  <c:v>7.4</c:v>
                </c:pt>
                <c:pt idx="3351">
                  <c:v>8</c:v>
                </c:pt>
                <c:pt idx="3352">
                  <c:v>5.4</c:v>
                </c:pt>
                <c:pt idx="3353">
                  <c:v>7.4</c:v>
                </c:pt>
                <c:pt idx="3354">
                  <c:v>5.7</c:v>
                </c:pt>
                <c:pt idx="3355">
                  <c:v>6.8</c:v>
                </c:pt>
                <c:pt idx="3356">
                  <c:v>5.4</c:v>
                </c:pt>
                <c:pt idx="3357">
                  <c:v>5.0999999999999996</c:v>
                </c:pt>
                <c:pt idx="3358">
                  <c:v>5.9</c:v>
                </c:pt>
                <c:pt idx="3359">
                  <c:v>8.1999999999999993</c:v>
                </c:pt>
                <c:pt idx="3360">
                  <c:v>5.3</c:v>
                </c:pt>
                <c:pt idx="3361">
                  <c:v>4.3</c:v>
                </c:pt>
                <c:pt idx="3362">
                  <c:v>7.2</c:v>
                </c:pt>
                <c:pt idx="3363">
                  <c:v>5.9</c:v>
                </c:pt>
                <c:pt idx="3364">
                  <c:v>3</c:v>
                </c:pt>
                <c:pt idx="3365">
                  <c:v>7.9</c:v>
                </c:pt>
                <c:pt idx="3366">
                  <c:v>3.2</c:v>
                </c:pt>
                <c:pt idx="3367">
                  <c:v>6.5</c:v>
                </c:pt>
                <c:pt idx="3368">
                  <c:v>7</c:v>
                </c:pt>
                <c:pt idx="3369">
                  <c:v>6.9</c:v>
                </c:pt>
                <c:pt idx="3370">
                  <c:v>4.4000000000000004</c:v>
                </c:pt>
                <c:pt idx="3371">
                  <c:v>6</c:v>
                </c:pt>
                <c:pt idx="3372">
                  <c:v>5.3</c:v>
                </c:pt>
                <c:pt idx="3373">
                  <c:v>5.3</c:v>
                </c:pt>
                <c:pt idx="3374">
                  <c:v>7.1</c:v>
                </c:pt>
                <c:pt idx="3375">
                  <c:v>5.4</c:v>
                </c:pt>
                <c:pt idx="3376">
                  <c:v>6.9</c:v>
                </c:pt>
                <c:pt idx="3377">
                  <c:v>7.3</c:v>
                </c:pt>
                <c:pt idx="3378">
                  <c:v>7.8</c:v>
                </c:pt>
                <c:pt idx="3379">
                  <c:v>6.6</c:v>
                </c:pt>
                <c:pt idx="3380">
                  <c:v>5.4</c:v>
                </c:pt>
                <c:pt idx="3381">
                  <c:v>8.4</c:v>
                </c:pt>
                <c:pt idx="3382">
                  <c:v>6.3</c:v>
                </c:pt>
                <c:pt idx="3383">
                  <c:v>6.1</c:v>
                </c:pt>
                <c:pt idx="3384">
                  <c:v>5</c:v>
                </c:pt>
                <c:pt idx="3385">
                  <c:v>5.3</c:v>
                </c:pt>
                <c:pt idx="3386">
                  <c:v>5.3</c:v>
                </c:pt>
                <c:pt idx="3387">
                  <c:v>7.4</c:v>
                </c:pt>
                <c:pt idx="3388">
                  <c:v>5.9</c:v>
                </c:pt>
                <c:pt idx="3389">
                  <c:v>4.0999999999999996</c:v>
                </c:pt>
                <c:pt idx="3390">
                  <c:v>6.7</c:v>
                </c:pt>
                <c:pt idx="3391">
                  <c:v>5.8</c:v>
                </c:pt>
                <c:pt idx="3392">
                  <c:v>5.9</c:v>
                </c:pt>
                <c:pt idx="3393">
                  <c:v>8</c:v>
                </c:pt>
                <c:pt idx="3394">
                  <c:v>6.5</c:v>
                </c:pt>
                <c:pt idx="3395">
                  <c:v>6.4</c:v>
                </c:pt>
                <c:pt idx="3396">
                  <c:v>6.8</c:v>
                </c:pt>
                <c:pt idx="3397">
                  <c:v>7.4</c:v>
                </c:pt>
                <c:pt idx="3398">
                  <c:v>8.3000000000000007</c:v>
                </c:pt>
                <c:pt idx="3399">
                  <c:v>5.3</c:v>
                </c:pt>
                <c:pt idx="3400">
                  <c:v>8.1</c:v>
                </c:pt>
                <c:pt idx="3401">
                  <c:v>8</c:v>
                </c:pt>
                <c:pt idx="3402">
                  <c:v>5.7</c:v>
                </c:pt>
                <c:pt idx="3403">
                  <c:v>7.1</c:v>
                </c:pt>
                <c:pt idx="3404">
                  <c:v>7.8</c:v>
                </c:pt>
                <c:pt idx="3405">
                  <c:v>5.9</c:v>
                </c:pt>
                <c:pt idx="3406">
                  <c:v>7.8</c:v>
                </c:pt>
                <c:pt idx="3407">
                  <c:v>6</c:v>
                </c:pt>
                <c:pt idx="3408">
                  <c:v>7.2</c:v>
                </c:pt>
                <c:pt idx="3409">
                  <c:v>5.0999999999999996</c:v>
                </c:pt>
                <c:pt idx="3410">
                  <c:v>5.0999999999999996</c:v>
                </c:pt>
                <c:pt idx="3411">
                  <c:v>6.9</c:v>
                </c:pt>
                <c:pt idx="3412">
                  <c:v>4.5999999999999996</c:v>
                </c:pt>
                <c:pt idx="3413">
                  <c:v>6.7</c:v>
                </c:pt>
                <c:pt idx="3414">
                  <c:v>7.1</c:v>
                </c:pt>
                <c:pt idx="3415">
                  <c:v>7.6</c:v>
                </c:pt>
                <c:pt idx="3416">
                  <c:v>8.1</c:v>
                </c:pt>
                <c:pt idx="3417">
                  <c:v>7</c:v>
                </c:pt>
                <c:pt idx="3418">
                  <c:v>7.1</c:v>
                </c:pt>
                <c:pt idx="3419">
                  <c:v>7.6</c:v>
                </c:pt>
                <c:pt idx="3420">
                  <c:v>7.1</c:v>
                </c:pt>
                <c:pt idx="3421">
                  <c:v>7.1</c:v>
                </c:pt>
                <c:pt idx="3422">
                  <c:v>7.7</c:v>
                </c:pt>
                <c:pt idx="3423">
                  <c:v>7.6</c:v>
                </c:pt>
                <c:pt idx="3424">
                  <c:v>6.6</c:v>
                </c:pt>
                <c:pt idx="3425">
                  <c:v>5.7</c:v>
                </c:pt>
                <c:pt idx="3426">
                  <c:v>7.1</c:v>
                </c:pt>
                <c:pt idx="3427">
                  <c:v>6.2</c:v>
                </c:pt>
                <c:pt idx="3428">
                  <c:v>6.1</c:v>
                </c:pt>
                <c:pt idx="3429">
                  <c:v>5.9</c:v>
                </c:pt>
                <c:pt idx="3430">
                  <c:v>6.8</c:v>
                </c:pt>
                <c:pt idx="3431">
                  <c:v>6.8</c:v>
                </c:pt>
                <c:pt idx="3432">
                  <c:v>5.0999999999999996</c:v>
                </c:pt>
                <c:pt idx="3433">
                  <c:v>7.7</c:v>
                </c:pt>
                <c:pt idx="3434">
                  <c:v>3.9</c:v>
                </c:pt>
                <c:pt idx="3435">
                  <c:v>7.8</c:v>
                </c:pt>
                <c:pt idx="3436">
                  <c:v>5.7</c:v>
                </c:pt>
                <c:pt idx="3437">
                  <c:v>4.7</c:v>
                </c:pt>
                <c:pt idx="3438">
                  <c:v>5.9</c:v>
                </c:pt>
                <c:pt idx="3439">
                  <c:v>5.9</c:v>
                </c:pt>
                <c:pt idx="3440">
                  <c:v>8.1</c:v>
                </c:pt>
                <c:pt idx="3441">
                  <c:v>7.6</c:v>
                </c:pt>
                <c:pt idx="3442">
                  <c:v>7.2</c:v>
                </c:pt>
                <c:pt idx="3443">
                  <c:v>7.5</c:v>
                </c:pt>
                <c:pt idx="3444">
                  <c:v>5.0999999999999996</c:v>
                </c:pt>
                <c:pt idx="3445">
                  <c:v>6.9</c:v>
                </c:pt>
                <c:pt idx="3446">
                  <c:v>7.6</c:v>
                </c:pt>
                <c:pt idx="3447">
                  <c:v>7.6</c:v>
                </c:pt>
                <c:pt idx="3448">
                  <c:v>7.6</c:v>
                </c:pt>
                <c:pt idx="3449">
                  <c:v>5.3</c:v>
                </c:pt>
                <c:pt idx="3450">
                  <c:v>8.5</c:v>
                </c:pt>
                <c:pt idx="3451">
                  <c:v>7</c:v>
                </c:pt>
                <c:pt idx="3452">
                  <c:v>7.8</c:v>
                </c:pt>
                <c:pt idx="3453">
                  <c:v>7.2</c:v>
                </c:pt>
                <c:pt idx="3454">
                  <c:v>8</c:v>
                </c:pt>
                <c:pt idx="3455">
                  <c:v>8.1</c:v>
                </c:pt>
                <c:pt idx="3456">
                  <c:v>6.8</c:v>
                </c:pt>
                <c:pt idx="3457">
                  <c:v>7.2</c:v>
                </c:pt>
                <c:pt idx="3458">
                  <c:v>7.4</c:v>
                </c:pt>
                <c:pt idx="3459">
                  <c:v>6.1</c:v>
                </c:pt>
                <c:pt idx="3460">
                  <c:v>7</c:v>
                </c:pt>
                <c:pt idx="3461">
                  <c:v>5.3</c:v>
                </c:pt>
                <c:pt idx="3462">
                  <c:v>4.7</c:v>
                </c:pt>
                <c:pt idx="3463">
                  <c:v>5.7</c:v>
                </c:pt>
                <c:pt idx="3464">
                  <c:v>6.5</c:v>
                </c:pt>
                <c:pt idx="3465">
                  <c:v>8</c:v>
                </c:pt>
                <c:pt idx="3466">
                  <c:v>3.3</c:v>
                </c:pt>
                <c:pt idx="3467">
                  <c:v>8.3000000000000007</c:v>
                </c:pt>
                <c:pt idx="3468">
                  <c:v>6.9</c:v>
                </c:pt>
                <c:pt idx="3469">
                  <c:v>8.1</c:v>
                </c:pt>
                <c:pt idx="3470">
                  <c:v>6.8</c:v>
                </c:pt>
                <c:pt idx="3471">
                  <c:v>4.5999999999999996</c:v>
                </c:pt>
                <c:pt idx="3472">
                  <c:v>7</c:v>
                </c:pt>
                <c:pt idx="3473">
                  <c:v>6.7</c:v>
                </c:pt>
                <c:pt idx="3474">
                  <c:v>5.8</c:v>
                </c:pt>
                <c:pt idx="3475">
                  <c:v>4.5</c:v>
                </c:pt>
                <c:pt idx="3476">
                  <c:v>6.2</c:v>
                </c:pt>
                <c:pt idx="3477">
                  <c:v>6.6</c:v>
                </c:pt>
                <c:pt idx="3478">
                  <c:v>6.6</c:v>
                </c:pt>
                <c:pt idx="3479">
                  <c:v>7.8</c:v>
                </c:pt>
                <c:pt idx="3480">
                  <c:v>7.7</c:v>
                </c:pt>
                <c:pt idx="3481">
                  <c:v>5.7</c:v>
                </c:pt>
                <c:pt idx="3482">
                  <c:v>7.1</c:v>
                </c:pt>
                <c:pt idx="3483">
                  <c:v>6.4</c:v>
                </c:pt>
                <c:pt idx="3484">
                  <c:v>7</c:v>
                </c:pt>
                <c:pt idx="3485">
                  <c:v>5.8</c:v>
                </c:pt>
                <c:pt idx="3486">
                  <c:v>7.8</c:v>
                </c:pt>
                <c:pt idx="3487">
                  <c:v>7.2</c:v>
                </c:pt>
                <c:pt idx="3488">
                  <c:v>5.6</c:v>
                </c:pt>
                <c:pt idx="3489">
                  <c:v>6.8</c:v>
                </c:pt>
                <c:pt idx="3490">
                  <c:v>7.3</c:v>
                </c:pt>
                <c:pt idx="3491">
                  <c:v>7.3</c:v>
                </c:pt>
                <c:pt idx="3492">
                  <c:v>6.6</c:v>
                </c:pt>
                <c:pt idx="3493">
                  <c:v>7.5</c:v>
                </c:pt>
                <c:pt idx="3494">
                  <c:v>7.8</c:v>
                </c:pt>
                <c:pt idx="3495">
                  <c:v>6.7</c:v>
                </c:pt>
                <c:pt idx="3496">
                  <c:v>7.5</c:v>
                </c:pt>
                <c:pt idx="3497">
                  <c:v>6.3</c:v>
                </c:pt>
                <c:pt idx="3498">
                  <c:v>6.3</c:v>
                </c:pt>
                <c:pt idx="3499">
                  <c:v>6.8</c:v>
                </c:pt>
                <c:pt idx="3500">
                  <c:v>7.8</c:v>
                </c:pt>
                <c:pt idx="3501">
                  <c:v>6.9</c:v>
                </c:pt>
                <c:pt idx="3502">
                  <c:v>4.3</c:v>
                </c:pt>
                <c:pt idx="3503">
                  <c:v>7.2</c:v>
                </c:pt>
                <c:pt idx="3504">
                  <c:v>7.3</c:v>
                </c:pt>
                <c:pt idx="3505">
                  <c:v>7.2</c:v>
                </c:pt>
                <c:pt idx="3506">
                  <c:v>5.4</c:v>
                </c:pt>
                <c:pt idx="3507">
                  <c:v>7.1</c:v>
                </c:pt>
                <c:pt idx="3508">
                  <c:v>6.8</c:v>
                </c:pt>
                <c:pt idx="3509">
                  <c:v>7</c:v>
                </c:pt>
                <c:pt idx="3510">
                  <c:v>7.4</c:v>
                </c:pt>
                <c:pt idx="3511">
                  <c:v>6.7</c:v>
                </c:pt>
                <c:pt idx="3512">
                  <c:v>7.2</c:v>
                </c:pt>
                <c:pt idx="3513">
                  <c:v>7.5</c:v>
                </c:pt>
                <c:pt idx="3514">
                  <c:v>6.8</c:v>
                </c:pt>
                <c:pt idx="3515">
                  <c:v>7.9</c:v>
                </c:pt>
                <c:pt idx="3516">
                  <c:v>6.7</c:v>
                </c:pt>
                <c:pt idx="3517">
                  <c:v>5.8</c:v>
                </c:pt>
                <c:pt idx="3518">
                  <c:v>6.5</c:v>
                </c:pt>
                <c:pt idx="3519">
                  <c:v>7.2</c:v>
                </c:pt>
                <c:pt idx="3520">
                  <c:v>6.5</c:v>
                </c:pt>
                <c:pt idx="3521">
                  <c:v>6.2</c:v>
                </c:pt>
                <c:pt idx="3522">
                  <c:v>8.6</c:v>
                </c:pt>
                <c:pt idx="3523">
                  <c:v>6.5</c:v>
                </c:pt>
                <c:pt idx="3524">
                  <c:v>6.3</c:v>
                </c:pt>
                <c:pt idx="3525">
                  <c:v>4.3</c:v>
                </c:pt>
                <c:pt idx="3526">
                  <c:v>6.1</c:v>
                </c:pt>
                <c:pt idx="3527">
                  <c:v>5.8</c:v>
                </c:pt>
                <c:pt idx="3528">
                  <c:v>6.7</c:v>
                </c:pt>
                <c:pt idx="3529">
                  <c:v>6.7</c:v>
                </c:pt>
                <c:pt idx="3530">
                  <c:v>5.0999999999999996</c:v>
                </c:pt>
                <c:pt idx="3531">
                  <c:v>7.7</c:v>
                </c:pt>
                <c:pt idx="3532">
                  <c:v>6.7</c:v>
                </c:pt>
                <c:pt idx="3533">
                  <c:v>6.6</c:v>
                </c:pt>
                <c:pt idx="3534">
                  <c:v>8.1999999999999993</c:v>
                </c:pt>
                <c:pt idx="3535">
                  <c:v>8.1</c:v>
                </c:pt>
                <c:pt idx="3536">
                  <c:v>7.2</c:v>
                </c:pt>
                <c:pt idx="3537">
                  <c:v>7.4</c:v>
                </c:pt>
                <c:pt idx="3538">
                  <c:v>6.5</c:v>
                </c:pt>
                <c:pt idx="3539">
                  <c:v>5.7</c:v>
                </c:pt>
                <c:pt idx="3540">
                  <c:v>6.2</c:v>
                </c:pt>
                <c:pt idx="3541">
                  <c:v>3.3</c:v>
                </c:pt>
                <c:pt idx="3542">
                  <c:v>6.1</c:v>
                </c:pt>
                <c:pt idx="3543">
                  <c:v>5.7</c:v>
                </c:pt>
                <c:pt idx="3544">
                  <c:v>7.2</c:v>
                </c:pt>
                <c:pt idx="3545">
                  <c:v>7.7</c:v>
                </c:pt>
                <c:pt idx="3546">
                  <c:v>7.1</c:v>
                </c:pt>
                <c:pt idx="3547">
                  <c:v>7</c:v>
                </c:pt>
                <c:pt idx="3548">
                  <c:v>7.4</c:v>
                </c:pt>
                <c:pt idx="3549">
                  <c:v>7.7</c:v>
                </c:pt>
                <c:pt idx="3550">
                  <c:v>6.6</c:v>
                </c:pt>
                <c:pt idx="3551">
                  <c:v>6</c:v>
                </c:pt>
                <c:pt idx="3552">
                  <c:v>8.4</c:v>
                </c:pt>
                <c:pt idx="3553">
                  <c:v>8.9</c:v>
                </c:pt>
                <c:pt idx="3554">
                  <c:v>7.9</c:v>
                </c:pt>
                <c:pt idx="3555">
                  <c:v>6</c:v>
                </c:pt>
                <c:pt idx="3556">
                  <c:v>6.1</c:v>
                </c:pt>
                <c:pt idx="3557">
                  <c:v>7.4</c:v>
                </c:pt>
                <c:pt idx="3558">
                  <c:v>6.2</c:v>
                </c:pt>
                <c:pt idx="3559">
                  <c:v>7.2</c:v>
                </c:pt>
                <c:pt idx="3560">
                  <c:v>6.2</c:v>
                </c:pt>
                <c:pt idx="3561">
                  <c:v>6.8</c:v>
                </c:pt>
                <c:pt idx="3562">
                  <c:v>7.7</c:v>
                </c:pt>
                <c:pt idx="3563">
                  <c:v>5.9</c:v>
                </c:pt>
                <c:pt idx="3564">
                  <c:v>7</c:v>
                </c:pt>
                <c:pt idx="3565">
                  <c:v>6.1</c:v>
                </c:pt>
                <c:pt idx="3566">
                  <c:v>7.6</c:v>
                </c:pt>
                <c:pt idx="3567">
                  <c:v>8.1</c:v>
                </c:pt>
                <c:pt idx="3568">
                  <c:v>5.7</c:v>
                </c:pt>
                <c:pt idx="3569">
                  <c:v>6.6</c:v>
                </c:pt>
                <c:pt idx="3570">
                  <c:v>7.3</c:v>
                </c:pt>
                <c:pt idx="3571">
                  <c:v>5</c:v>
                </c:pt>
                <c:pt idx="3572">
                  <c:v>7</c:v>
                </c:pt>
                <c:pt idx="3573">
                  <c:v>3.4</c:v>
                </c:pt>
                <c:pt idx="3574">
                  <c:v>5.9</c:v>
                </c:pt>
                <c:pt idx="3575">
                  <c:v>6</c:v>
                </c:pt>
                <c:pt idx="3576">
                  <c:v>7.4</c:v>
                </c:pt>
                <c:pt idx="3577">
                  <c:v>7.4</c:v>
                </c:pt>
                <c:pt idx="3578">
                  <c:v>4.2</c:v>
                </c:pt>
                <c:pt idx="3579">
                  <c:v>6.2</c:v>
                </c:pt>
                <c:pt idx="3580">
                  <c:v>5.4</c:v>
                </c:pt>
                <c:pt idx="3581">
                  <c:v>7.2</c:v>
                </c:pt>
                <c:pt idx="3582">
                  <c:v>6.7</c:v>
                </c:pt>
                <c:pt idx="3583">
                  <c:v>7.2</c:v>
                </c:pt>
                <c:pt idx="3584">
                  <c:v>7.4</c:v>
                </c:pt>
                <c:pt idx="3585">
                  <c:v>5.6</c:v>
                </c:pt>
                <c:pt idx="3586">
                  <c:v>6.8</c:v>
                </c:pt>
                <c:pt idx="3587">
                  <c:v>7.7</c:v>
                </c:pt>
                <c:pt idx="3588">
                  <c:v>7</c:v>
                </c:pt>
                <c:pt idx="3589">
                  <c:v>7.2</c:v>
                </c:pt>
                <c:pt idx="3590">
                  <c:v>7.2</c:v>
                </c:pt>
                <c:pt idx="3591">
                  <c:v>6.2</c:v>
                </c:pt>
                <c:pt idx="3592">
                  <c:v>6.2</c:v>
                </c:pt>
                <c:pt idx="3593">
                  <c:v>6.9</c:v>
                </c:pt>
                <c:pt idx="3594">
                  <c:v>7</c:v>
                </c:pt>
                <c:pt idx="3595">
                  <c:v>6.7</c:v>
                </c:pt>
                <c:pt idx="3596">
                  <c:v>3.6</c:v>
                </c:pt>
                <c:pt idx="3597">
                  <c:v>7.4</c:v>
                </c:pt>
                <c:pt idx="3598">
                  <c:v>6.1</c:v>
                </c:pt>
                <c:pt idx="3599">
                  <c:v>8.1999999999999993</c:v>
                </c:pt>
                <c:pt idx="3600">
                  <c:v>7.7</c:v>
                </c:pt>
                <c:pt idx="3601">
                  <c:v>7.3</c:v>
                </c:pt>
                <c:pt idx="3602">
                  <c:v>7.6</c:v>
                </c:pt>
                <c:pt idx="3603">
                  <c:v>6.8</c:v>
                </c:pt>
                <c:pt idx="3604">
                  <c:v>5.6</c:v>
                </c:pt>
                <c:pt idx="3605">
                  <c:v>4.8</c:v>
                </c:pt>
                <c:pt idx="3606">
                  <c:v>6.4</c:v>
                </c:pt>
                <c:pt idx="3607">
                  <c:v>6.8</c:v>
                </c:pt>
                <c:pt idx="3608">
                  <c:v>6.1</c:v>
                </c:pt>
                <c:pt idx="3609">
                  <c:v>6</c:v>
                </c:pt>
                <c:pt idx="3610">
                  <c:v>6.1</c:v>
                </c:pt>
                <c:pt idx="3611">
                  <c:v>5.5</c:v>
                </c:pt>
                <c:pt idx="3612">
                  <c:v>6.9</c:v>
                </c:pt>
                <c:pt idx="3613">
                  <c:v>4.0999999999999996</c:v>
                </c:pt>
                <c:pt idx="3614">
                  <c:v>5.4</c:v>
                </c:pt>
                <c:pt idx="3615">
                  <c:v>8.1999999999999993</c:v>
                </c:pt>
                <c:pt idx="3616">
                  <c:v>5.7</c:v>
                </c:pt>
                <c:pt idx="3617">
                  <c:v>7.9</c:v>
                </c:pt>
                <c:pt idx="3618">
                  <c:v>7.1</c:v>
                </c:pt>
                <c:pt idx="3619">
                  <c:v>6.4</c:v>
                </c:pt>
                <c:pt idx="3620">
                  <c:v>7.5</c:v>
                </c:pt>
                <c:pt idx="3621">
                  <c:v>6.4</c:v>
                </c:pt>
                <c:pt idx="3622">
                  <c:v>7.3</c:v>
                </c:pt>
                <c:pt idx="3623">
                  <c:v>7.2</c:v>
                </c:pt>
                <c:pt idx="3624">
                  <c:v>6</c:v>
                </c:pt>
                <c:pt idx="3625">
                  <c:v>5.6</c:v>
                </c:pt>
                <c:pt idx="3626">
                  <c:v>8.4</c:v>
                </c:pt>
                <c:pt idx="3627">
                  <c:v>7.5</c:v>
                </c:pt>
                <c:pt idx="3628">
                  <c:v>7.2</c:v>
                </c:pt>
                <c:pt idx="3629">
                  <c:v>7.2</c:v>
                </c:pt>
                <c:pt idx="3630">
                  <c:v>6.5</c:v>
                </c:pt>
                <c:pt idx="3631">
                  <c:v>5.0999999999999996</c:v>
                </c:pt>
                <c:pt idx="3632">
                  <c:v>6.4</c:v>
                </c:pt>
                <c:pt idx="3633">
                  <c:v>6.8</c:v>
                </c:pt>
                <c:pt idx="3634">
                  <c:v>7.5</c:v>
                </c:pt>
                <c:pt idx="3635">
                  <c:v>6.9</c:v>
                </c:pt>
                <c:pt idx="3636">
                  <c:v>7</c:v>
                </c:pt>
                <c:pt idx="3637">
                  <c:v>6.3</c:v>
                </c:pt>
                <c:pt idx="3638">
                  <c:v>5.5</c:v>
                </c:pt>
                <c:pt idx="3639">
                  <c:v>6.6</c:v>
                </c:pt>
                <c:pt idx="3640">
                  <c:v>5.2</c:v>
                </c:pt>
                <c:pt idx="3641">
                  <c:v>8.3000000000000007</c:v>
                </c:pt>
                <c:pt idx="3642">
                  <c:v>7.2</c:v>
                </c:pt>
                <c:pt idx="3643">
                  <c:v>7.2</c:v>
                </c:pt>
                <c:pt idx="3644">
                  <c:v>6.5</c:v>
                </c:pt>
                <c:pt idx="3645">
                  <c:v>6.5</c:v>
                </c:pt>
                <c:pt idx="3646">
                  <c:v>7.8</c:v>
                </c:pt>
                <c:pt idx="3647">
                  <c:v>6.4</c:v>
                </c:pt>
                <c:pt idx="3648">
                  <c:v>8.1</c:v>
                </c:pt>
                <c:pt idx="3649">
                  <c:v>5.6</c:v>
                </c:pt>
                <c:pt idx="3650">
                  <c:v>5.6</c:v>
                </c:pt>
                <c:pt idx="3651">
                  <c:v>6.6</c:v>
                </c:pt>
                <c:pt idx="3652">
                  <c:v>7.7</c:v>
                </c:pt>
                <c:pt idx="3653">
                  <c:v>7.2</c:v>
                </c:pt>
                <c:pt idx="3654">
                  <c:v>6.5</c:v>
                </c:pt>
                <c:pt idx="3655">
                  <c:v>6.1</c:v>
                </c:pt>
                <c:pt idx="3656">
                  <c:v>5.7</c:v>
                </c:pt>
                <c:pt idx="3657">
                  <c:v>5.9</c:v>
                </c:pt>
                <c:pt idx="3658">
                  <c:v>7.7</c:v>
                </c:pt>
                <c:pt idx="3659">
                  <c:v>7.1</c:v>
                </c:pt>
                <c:pt idx="3660">
                  <c:v>7.6</c:v>
                </c:pt>
                <c:pt idx="3661">
                  <c:v>6.4</c:v>
                </c:pt>
                <c:pt idx="3662">
                  <c:v>7.4</c:v>
                </c:pt>
                <c:pt idx="3663">
                  <c:v>6.8</c:v>
                </c:pt>
                <c:pt idx="3664">
                  <c:v>6.5</c:v>
                </c:pt>
                <c:pt idx="3665">
                  <c:v>6</c:v>
                </c:pt>
                <c:pt idx="3666">
                  <c:v>7.3</c:v>
                </c:pt>
                <c:pt idx="3667">
                  <c:v>7.3</c:v>
                </c:pt>
                <c:pt idx="3668">
                  <c:v>6.5</c:v>
                </c:pt>
                <c:pt idx="3669">
                  <c:v>6</c:v>
                </c:pt>
                <c:pt idx="3670">
                  <c:v>5.3</c:v>
                </c:pt>
                <c:pt idx="3671">
                  <c:v>6.6</c:v>
                </c:pt>
                <c:pt idx="3672">
                  <c:v>7.1</c:v>
                </c:pt>
                <c:pt idx="3673">
                  <c:v>8.6999999999999993</c:v>
                </c:pt>
                <c:pt idx="3674">
                  <c:v>8.4</c:v>
                </c:pt>
                <c:pt idx="3675">
                  <c:v>6.2</c:v>
                </c:pt>
                <c:pt idx="3676">
                  <c:v>5.8</c:v>
                </c:pt>
                <c:pt idx="3677">
                  <c:v>5.7</c:v>
                </c:pt>
                <c:pt idx="3678">
                  <c:v>6.1</c:v>
                </c:pt>
                <c:pt idx="3679">
                  <c:v>6.4</c:v>
                </c:pt>
                <c:pt idx="3680">
                  <c:v>6.5</c:v>
                </c:pt>
                <c:pt idx="3681">
                  <c:v>4.5999999999999996</c:v>
                </c:pt>
                <c:pt idx="3682">
                  <c:v>6.8</c:v>
                </c:pt>
                <c:pt idx="3683">
                  <c:v>5.9</c:v>
                </c:pt>
                <c:pt idx="3684">
                  <c:v>7.7</c:v>
                </c:pt>
                <c:pt idx="3685">
                  <c:v>7.1</c:v>
                </c:pt>
                <c:pt idx="3686">
                  <c:v>6.2</c:v>
                </c:pt>
                <c:pt idx="3687">
                  <c:v>7.7</c:v>
                </c:pt>
                <c:pt idx="3688">
                  <c:v>7.5</c:v>
                </c:pt>
                <c:pt idx="3689">
                  <c:v>7.6</c:v>
                </c:pt>
                <c:pt idx="3690">
                  <c:v>6.9</c:v>
                </c:pt>
                <c:pt idx="3691">
                  <c:v>7.1</c:v>
                </c:pt>
                <c:pt idx="3692">
                  <c:v>6.3</c:v>
                </c:pt>
                <c:pt idx="3693">
                  <c:v>8.3000000000000007</c:v>
                </c:pt>
                <c:pt idx="3694">
                  <c:v>7.1</c:v>
                </c:pt>
                <c:pt idx="3695">
                  <c:v>4.7</c:v>
                </c:pt>
                <c:pt idx="3696">
                  <c:v>7.2</c:v>
                </c:pt>
                <c:pt idx="3697">
                  <c:v>5.0999999999999996</c:v>
                </c:pt>
                <c:pt idx="3698">
                  <c:v>6.9</c:v>
                </c:pt>
                <c:pt idx="3699">
                  <c:v>6.1</c:v>
                </c:pt>
                <c:pt idx="3700">
                  <c:v>7</c:v>
                </c:pt>
                <c:pt idx="3701">
                  <c:v>6.3</c:v>
                </c:pt>
                <c:pt idx="3702">
                  <c:v>6.1</c:v>
                </c:pt>
                <c:pt idx="3703">
                  <c:v>7.2</c:v>
                </c:pt>
                <c:pt idx="3704">
                  <c:v>7.8</c:v>
                </c:pt>
                <c:pt idx="3705">
                  <c:v>4.7</c:v>
                </c:pt>
                <c:pt idx="3706">
                  <c:v>6.7</c:v>
                </c:pt>
                <c:pt idx="3707">
                  <c:v>6.6</c:v>
                </c:pt>
                <c:pt idx="3708">
                  <c:v>6.9</c:v>
                </c:pt>
                <c:pt idx="3709">
                  <c:v>7.1</c:v>
                </c:pt>
                <c:pt idx="3710">
                  <c:v>6.7</c:v>
                </c:pt>
                <c:pt idx="3711">
                  <c:v>7.1</c:v>
                </c:pt>
                <c:pt idx="3712">
                  <c:v>7.6</c:v>
                </c:pt>
                <c:pt idx="3713">
                  <c:v>8.1</c:v>
                </c:pt>
                <c:pt idx="3714">
                  <c:v>5.5</c:v>
                </c:pt>
                <c:pt idx="3715">
                  <c:v>6.6</c:v>
                </c:pt>
                <c:pt idx="3716">
                  <c:v>4.8</c:v>
                </c:pt>
                <c:pt idx="3717">
                  <c:v>6.4</c:v>
                </c:pt>
                <c:pt idx="3718">
                  <c:v>7.3</c:v>
                </c:pt>
                <c:pt idx="3719">
                  <c:v>6.9</c:v>
                </c:pt>
                <c:pt idx="3720">
                  <c:v>7.2</c:v>
                </c:pt>
                <c:pt idx="3721">
                  <c:v>6.5</c:v>
                </c:pt>
                <c:pt idx="3722">
                  <c:v>6.6</c:v>
                </c:pt>
                <c:pt idx="3723">
                  <c:v>6.7</c:v>
                </c:pt>
                <c:pt idx="3724">
                  <c:v>7.3</c:v>
                </c:pt>
                <c:pt idx="3725">
                  <c:v>6.4</c:v>
                </c:pt>
                <c:pt idx="3726">
                  <c:v>7</c:v>
                </c:pt>
                <c:pt idx="3727">
                  <c:v>5.5</c:v>
                </c:pt>
                <c:pt idx="3728">
                  <c:v>6.7</c:v>
                </c:pt>
                <c:pt idx="3729">
                  <c:v>6.1</c:v>
                </c:pt>
                <c:pt idx="3730">
                  <c:v>3.9</c:v>
                </c:pt>
                <c:pt idx="3731">
                  <c:v>6.3</c:v>
                </c:pt>
                <c:pt idx="3732">
                  <c:v>7.5</c:v>
                </c:pt>
                <c:pt idx="3733">
                  <c:v>7</c:v>
                </c:pt>
                <c:pt idx="3734">
                  <c:v>6.7</c:v>
                </c:pt>
                <c:pt idx="3735">
                  <c:v>7.4</c:v>
                </c:pt>
                <c:pt idx="3736">
                  <c:v>8</c:v>
                </c:pt>
                <c:pt idx="3737">
                  <c:v>7.2</c:v>
                </c:pt>
                <c:pt idx="3738">
                  <c:v>6.4</c:v>
                </c:pt>
                <c:pt idx="3739">
                  <c:v>6.5</c:v>
                </c:pt>
                <c:pt idx="3740">
                  <c:v>6.9</c:v>
                </c:pt>
                <c:pt idx="3741">
                  <c:v>7.5</c:v>
                </c:pt>
                <c:pt idx="3742">
                  <c:v>7.7</c:v>
                </c:pt>
                <c:pt idx="3743">
                  <c:v>8.5</c:v>
                </c:pt>
                <c:pt idx="3744">
                  <c:v>7.7</c:v>
                </c:pt>
                <c:pt idx="3745">
                  <c:v>6.5</c:v>
                </c:pt>
                <c:pt idx="3746">
                  <c:v>7</c:v>
                </c:pt>
                <c:pt idx="3747">
                  <c:v>5.5</c:v>
                </c:pt>
                <c:pt idx="3748">
                  <c:v>6.3</c:v>
                </c:pt>
                <c:pt idx="3749">
                  <c:v>7.9</c:v>
                </c:pt>
                <c:pt idx="3750">
                  <c:v>7.3</c:v>
                </c:pt>
                <c:pt idx="3751">
                  <c:v>7.4</c:v>
                </c:pt>
                <c:pt idx="3752">
                  <c:v>7</c:v>
                </c:pt>
                <c:pt idx="3753">
                  <c:v>7.1</c:v>
                </c:pt>
                <c:pt idx="3754">
                  <c:v>7.5</c:v>
                </c:pt>
                <c:pt idx="3755">
                  <c:v>6.7</c:v>
                </c:pt>
                <c:pt idx="3756">
                  <c:v>6.7</c:v>
                </c:pt>
                <c:pt idx="3757">
                  <c:v>4.2</c:v>
                </c:pt>
                <c:pt idx="3758">
                  <c:v>7</c:v>
                </c:pt>
                <c:pt idx="3759">
                  <c:v>7</c:v>
                </c:pt>
                <c:pt idx="3760">
                  <c:v>6.8</c:v>
                </c:pt>
                <c:pt idx="3761">
                  <c:v>7.5</c:v>
                </c:pt>
                <c:pt idx="3762">
                  <c:v>5.3</c:v>
                </c:pt>
                <c:pt idx="3763">
                  <c:v>7.3</c:v>
                </c:pt>
                <c:pt idx="3764">
                  <c:v>5.6</c:v>
                </c:pt>
                <c:pt idx="3765">
                  <c:v>5.6</c:v>
                </c:pt>
                <c:pt idx="3766">
                  <c:v>6.6</c:v>
                </c:pt>
                <c:pt idx="3767">
                  <c:v>6.3</c:v>
                </c:pt>
                <c:pt idx="3768">
                  <c:v>7.5</c:v>
                </c:pt>
                <c:pt idx="3769">
                  <c:v>7.6</c:v>
                </c:pt>
                <c:pt idx="3770">
                  <c:v>4.0999999999999996</c:v>
                </c:pt>
                <c:pt idx="3771">
                  <c:v>7.8</c:v>
                </c:pt>
                <c:pt idx="3772">
                  <c:v>6.7</c:v>
                </c:pt>
                <c:pt idx="3773">
                  <c:v>7.3</c:v>
                </c:pt>
                <c:pt idx="3774">
                  <c:v>7.1</c:v>
                </c:pt>
                <c:pt idx="3775">
                  <c:v>6.6</c:v>
                </c:pt>
                <c:pt idx="3776">
                  <c:v>6.2</c:v>
                </c:pt>
                <c:pt idx="3777">
                  <c:v>6.1</c:v>
                </c:pt>
                <c:pt idx="3778">
                  <c:v>6.9</c:v>
                </c:pt>
                <c:pt idx="3779">
                  <c:v>7.5</c:v>
                </c:pt>
                <c:pt idx="3780">
                  <c:v>7.4</c:v>
                </c:pt>
                <c:pt idx="3781">
                  <c:v>7</c:v>
                </c:pt>
                <c:pt idx="3782">
                  <c:v>6.3</c:v>
                </c:pt>
                <c:pt idx="3783">
                  <c:v>6.9</c:v>
                </c:pt>
                <c:pt idx="3784">
                  <c:v>6.4</c:v>
                </c:pt>
                <c:pt idx="3785">
                  <c:v>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6-4E3B-ADFC-2CECB1549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92917"/>
        <c:axId val="1110002570"/>
      </c:scatterChart>
      <c:valAx>
        <c:axId val="13752929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0002570"/>
        <c:crosses val="autoZero"/>
        <c:crossBetween val="midCat"/>
      </c:valAx>
      <c:valAx>
        <c:axId val="1110002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529291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37274549098201"/>
          <c:y val="0.43638325407343886"/>
          <c:w val="0.20959919839679361"/>
          <c:h val="0.2183226007640134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  <cx:data id="3">
      <cx:strDim type="cat">
        <cx:f>_xlchart.v1.0</cx:f>
      </cx:strDim>
      <cx:numDim type="size">
        <cx:f>_xlchart.v1.8</cx:f>
      </cx:numDim>
    </cx:data>
    <cx:data id="4">
      <cx:strDim type="cat">
        <cx:f>_xlchart.v1.0</cx:f>
      </cx:strDim>
      <cx:numDim type="size">
        <cx:f>_xlchart.v1.10</cx:f>
      </cx:numDim>
    </cx:data>
    <cx:data id="5">
      <cx:strDim type="cat">
        <cx:f>_xlchart.v1.0</cx:f>
      </cx:strDim>
      <cx:numDim type="size">
        <cx:f>_xlchart.v1.12</cx:f>
      </cx:numDim>
    </cx:data>
    <cx:data id="6">
      <cx:strDim type="cat">
        <cx:f>_xlchart.v1.0</cx:f>
      </cx:strDim>
      <cx:numDim type="size">
        <cx:f>_xlchart.v1.14</cx:f>
      </cx:numDim>
    </cx:data>
    <cx:data id="7">
      <cx:strDim type="cat">
        <cx:f>_xlchart.v1.0</cx:f>
      </cx:strDim>
      <cx:numDim type="size">
        <cx:f>_xlchart.v1.16</cx:f>
      </cx:numDim>
    </cx:data>
  </cx:chartData>
  <cx:chart>
    <cx:title pos="t" align="ctr" overlay="0"/>
    <cx:plotArea>
      <cx:plotAreaRegion>
        <cx:series layoutId="treemap" uniqueId="{BF8919AA-6BF2-4F3D-AE5F-73F3FC060659}" formatIdx="0">
          <cx:tx>
            <cx:txData>
              <cx:f>_xlchart.v1.1</cx:f>
              <cx:v>No_of_movies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24462D3D-41C1-4DAE-B490-A4968BD46DE2}" formatIdx="1">
          <cx:tx>
            <cx:txData>
              <cx:f>_xlchart.v1.3</cx:f>
              <cx:v>Mean_imdb</cx:v>
            </cx:txData>
          </cx:tx>
          <cx:dataLabels pos="ctr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D59D9920-A30B-4CE0-8D17-7C65D598F65A}" formatIdx="2">
          <cx:tx>
            <cx:txData>
              <cx:f>_xlchart.v1.5</cx:f>
              <cx:v>Median_imdb</cx:v>
            </cx:txData>
          </cx:tx>
          <cx:dataLabels pos="ctr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5651677E-50A6-4E9A-8B9C-22FA36EF639A}" formatIdx="3">
          <cx:tx>
            <cx:txData>
              <cx:f>_xlchart.v1.7</cx:f>
              <cx:v>Mode_imdb</cx:v>
            </cx:txData>
          </cx:tx>
          <cx:dataLabels pos="ctr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2A8D2F4E-4420-4B03-B178-B066CB302E61}" formatIdx="4">
          <cx:tx>
            <cx:txData>
              <cx:f>_xlchart.v1.9</cx:f>
              <cx:v>Max_imdb</cx:v>
            </cx:txData>
          </cx:tx>
          <cx:dataLabels pos="ctr">
            <cx:visibility seriesName="0" categoryName="1" value="0"/>
          </cx:dataLabels>
          <cx:dataId val="4"/>
          <cx:layoutPr>
            <cx:parentLabelLayout val="overlapping"/>
          </cx:layoutPr>
        </cx:series>
        <cx:series layoutId="treemap" hidden="1" uniqueId="{28986816-2B27-4CA3-B8CD-26DF6F17FA1F}" formatIdx="5">
          <cx:tx>
            <cx:txData>
              <cx:f>_xlchart.v1.11</cx:f>
              <cx:v>Min_imdb</cx:v>
            </cx:txData>
          </cx:tx>
          <cx:dataLabels pos="ctr">
            <cx:visibility seriesName="0" categoryName="1" value="0"/>
          </cx:dataLabels>
          <cx:dataId val="5"/>
          <cx:layoutPr>
            <cx:parentLabelLayout val="overlapping"/>
          </cx:layoutPr>
        </cx:series>
        <cx:series layoutId="treemap" hidden="1" uniqueId="{3BD3CE73-3916-41AE-9184-E2A5451FA9DD}" formatIdx="6">
          <cx:tx>
            <cx:txData>
              <cx:f>_xlchart.v1.13</cx:f>
              <cx:v>StdDev_imdb</cx:v>
            </cx:txData>
          </cx:tx>
          <cx:dataLabels pos="ctr">
            <cx:visibility seriesName="0" categoryName="1" value="0"/>
          </cx:dataLabels>
          <cx:dataId val="6"/>
          <cx:layoutPr>
            <cx:parentLabelLayout val="overlapping"/>
          </cx:layoutPr>
        </cx:series>
        <cx:series layoutId="treemap" hidden="1" uniqueId="{8FBB4352-1B74-4D8E-B4E5-C1BF361F3DA8}" formatIdx="7">
          <cx:tx>
            <cx:txData>
              <cx:f>_xlchart.v1.15</cx:f>
              <cx:v>Var_imdb</cx:v>
            </cx:txData>
          </cx:tx>
          <cx:dataLabels pos="ctr">
            <cx:visibility seriesName="0" categoryName="1" value="0"/>
          </cx:dataLabels>
          <cx:dataId val="7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_xlchart.v2.17</cx:f>
      </cx:strDim>
      <cx:numDim type="val">
        <cx:f>_xlchart.v2.19</cx:f>
      </cx:numDim>
    </cx:data>
  </cx:chartData>
  <cx:chart>
    <cx:title pos="t" align="ctr" overlay="0"/>
    <cx:plotArea>
      <cx:plotAreaRegion>
        <cx:series layoutId="funnel" uniqueId="{1E347A88-FC6A-498B-9FD6-F399C6E7E9BB}">
          <cx:tx>
            <cx:txData>
              <cx:f>_xlchart.v2.18</cx:f>
              <cx:v>Profits in Millions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260349</xdr:colOff>
      <xdr:row>3</xdr:row>
      <xdr:rowOff>101022</xdr:rowOff>
    </xdr:from>
    <xdr:to>
      <xdr:col>21</xdr:col>
      <xdr:colOff>396875</xdr:colOff>
      <xdr:row>28</xdr:row>
      <xdr:rowOff>129887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6D8270-808B-89D1-7DB7-13E660312B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7699" y="628072"/>
              <a:ext cx="6842126" cy="4003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1</xdr:row>
      <xdr:rowOff>209550</xdr:rowOff>
    </xdr:from>
    <xdr:ext cx="6629400" cy="3206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A4759A38-B3C6-4C10-A9B7-5D322B058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15</xdr:row>
      <xdr:rowOff>57150</xdr:rowOff>
    </xdr:from>
    <xdr:to>
      <xdr:col>5</xdr:col>
      <xdr:colOff>50800</xdr:colOff>
      <xdr:row>31</xdr:row>
      <xdr:rowOff>158750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491C30D-433C-66D6-6ABC-F96173D7E7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400" y="2806700"/>
              <a:ext cx="5048250" cy="264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0A5347-2B15-4B10-9060-FCC5FFE88906}" name="Table_17" displayName="Table_17" ref="B4:J21">
  <tableColumns count="9">
    <tableColumn id="1" xr3:uid="{99208AD1-5AB9-4C03-B03B-14B148831A0A}" name="GENRE"/>
    <tableColumn id="2" xr3:uid="{3F27429B-64E6-4C37-B6BC-E575B874B84A}" name="No_of_movies"/>
    <tableColumn id="3" xr3:uid="{495D1A61-3417-4E4C-89DA-A930FE219B12}" name="Mean_imdb"/>
    <tableColumn id="4" xr3:uid="{B66F5F29-368B-4EB1-93E5-9EE2B84BD931}" name="Median_imdb"/>
    <tableColumn id="5" xr3:uid="{4401ACD6-D192-40AD-838A-330AAAC77F06}" name="Mode_imdb"/>
    <tableColumn id="6" xr3:uid="{E7CC2E80-B07E-4EF0-BF26-7BF0E3C2E943}" name="Max_imdb"/>
    <tableColumn id="7" xr3:uid="{6A0A6C00-421A-412E-A561-87F9E5297C99}" name="Min_imdb"/>
    <tableColumn id="8" xr3:uid="{8587B9E5-6B30-451A-825D-DB7B7B46A270}" name="StdDev_imdb"/>
    <tableColumn id="9" xr3:uid="{ADAF91C1-CB3E-4C9C-B487-B1E0707D9296}" name="Var_imdb" dataDxfId="20"/>
  </tableColumns>
  <tableStyleInfo name="TableStyleMedium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ECAC6E-E2DC-4DB9-BDA1-F5FB951F72B5}" name="Table_28" displayName="Table_28" ref="B4:C9">
  <tableColumns count="2">
    <tableColumn id="1" xr3:uid="{8ECED41F-41D4-4CB8-8DB6-F602B6E305A9}" name="Operations"/>
    <tableColumn id="2" xr3:uid="{7F1C5507-6353-4134-8C98-B694FD28BC4D}" name="Values"/>
  </tableColumns>
  <tableStyleInfo name="TableStyleMedium7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BABCDE-1E58-4FA1-B5DE-3E9BAA9E784C}" name="Table1" displayName="Table1" ref="B4:F42" totalsRowShown="0" headerRowDxfId="19" dataDxfId="17" headerRowBorderDxfId="18" tableBorderDxfId="16" totalsRowBorderDxfId="15">
  <autoFilter ref="B4:F42" xr:uid="{4CBABCDE-1E58-4FA1-B5DE-3E9BAA9E784C}"/>
  <tableColumns count="5">
    <tableColumn id="1" xr3:uid="{985BE7CA-F766-455F-A89C-A8AD95593FC2}" name="Language" dataDxfId="14"/>
    <tableColumn id="2" xr3:uid="{043F9078-6DA7-450C-BD97-FB078416566C}" name="No_of_movies" dataDxfId="13"/>
    <tableColumn id="3" xr3:uid="{A48DCF7C-079E-45C0-BF0C-01F8AE009860}" name="Average_imdb" dataDxfId="12"/>
    <tableColumn id="4" xr3:uid="{517ADDD8-B966-4831-8B83-A55065CED32A}" name="Median_imdb" dataDxfId="11"/>
    <tableColumn id="6" xr3:uid="{1A6D0F7A-3B66-45B8-B15C-5074D0E2B679}" name="StdDev_imdb" dataDxfId="10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9FD62F-B7D6-4A68-A58D-9493D495C16C}" name="Table69" displayName="Table69" ref="B3:E1754" headerRowDxfId="9" dataDxfId="8">
  <autoFilter ref="B3:E1754" xr:uid="{E29FD62F-B7D6-4A68-A58D-9493D495C16C}"/>
  <tableColumns count="4">
    <tableColumn id="1" xr3:uid="{F33F96E2-10E2-412B-8039-4960DD2AE66E}" name="Director" totalsRowLabel="Total" dataDxfId="7" totalsRowDxfId="6"/>
    <tableColumn id="2" xr3:uid="{1AA76EB0-4D1F-4C28-91D0-4024DA232816}" name="Average_imdb" dataDxfId="5" totalsRowDxfId="4"/>
    <tableColumn id="3" xr3:uid="{A0808372-F029-43D2-8562-07E98158332F}" name="percentile" dataDxfId="3" totalsRowDxfId="2"/>
    <tableColumn id="4" xr3:uid="{51F740C8-2337-4B85-92F0-07A2264AB17C}" name="Count_movies" totalsRowFunction="sum" dataDxfId="1" totalsRowDxfId="0"/>
  </tableColumns>
  <tableStyleInfo name="TableStyleLight21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B464D5-A3F2-4BD6-9814-5CFD20377CD3}" name="Table_410" displayName="Table_410" ref="B4:C14">
  <tableColumns count="2">
    <tableColumn id="1" xr3:uid="{020D162D-B87C-4395-A506-F9EFB66B7C59}" name="Movies"/>
    <tableColumn id="2" xr3:uid="{F2C6BB8F-8DA5-4DC0-B873-45B85FC03600}" name="Profits in Millions"/>
  </tableColumns>
  <tableStyleInfo name="TableStyleMedium7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AB378A3-60D8-4C1D-9956-0BCF8D9FAA20}" name="Table_311" displayName="Table_311" ref="G3:H3788">
  <tableColumns count="2">
    <tableColumn id="1" xr3:uid="{E9676946-769D-4EDE-996F-77BAA46162ED}" name="Movie_Title"/>
    <tableColumn id="2" xr3:uid="{51F8A746-9867-4B47-BFD3-A85A70C33B87}" name="Profit"/>
  </tableColumns>
  <tableStyleInfo name="IMDB_Movies-style 3" showFirstColumn="1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844"/>
  <sheetViews>
    <sheetView tabSelected="1" zoomScale="92" zoomScaleNormal="70" workbookViewId="0">
      <selection activeCell="M4" sqref="M4"/>
    </sheetView>
  </sheetViews>
  <sheetFormatPr defaultColWidth="12.6328125" defaultRowHeight="15.75" customHeight="1" x14ac:dyDescent="0.25"/>
  <cols>
    <col min="1" max="1" width="29" bestFit="1" customWidth="1"/>
    <col min="2" max="2" width="10.453125" bestFit="1" customWidth="1"/>
    <col min="3" max="3" width="9.81640625" bestFit="1" customWidth="1"/>
    <col min="4" max="4" width="58.36328125" bestFit="1" customWidth="1"/>
    <col min="5" max="5" width="69.90625" bestFit="1" customWidth="1"/>
    <col min="6" max="6" width="11.26953125" bestFit="1" customWidth="1"/>
    <col min="7" max="7" width="13.36328125" bestFit="1" customWidth="1"/>
    <col min="8" max="8" width="11.81640625" bestFit="1" customWidth="1"/>
    <col min="9" max="9" width="13.54296875" bestFit="1" customWidth="1"/>
    <col min="10" max="10" width="12.453125" bestFit="1" customWidth="1"/>
    <col min="11" max="11" width="12.7265625" bestFit="1" customWidth="1"/>
    <col min="12" max="12" width="19.7265625" bestFit="1" customWidth="1"/>
    <col min="13" max="14" width="32.1796875" customWidth="1"/>
    <col min="15" max="15" width="34.1796875" customWidth="1"/>
    <col min="16" max="26" width="32.1796875" customWidth="1"/>
  </cols>
  <sheetData>
    <row r="1" spans="1:2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6431</v>
      </c>
      <c r="L1" s="1" t="s">
        <v>10</v>
      </c>
    </row>
    <row r="2" spans="1:26" ht="15.75" customHeight="1" x14ac:dyDescent="0.25">
      <c r="A2" s="2" t="s">
        <v>11</v>
      </c>
      <c r="B2" s="2">
        <v>178</v>
      </c>
      <c r="C2" s="2">
        <v>760505847</v>
      </c>
      <c r="D2" s="2" t="s">
        <v>12</v>
      </c>
      <c r="E2" s="2" t="s">
        <v>13</v>
      </c>
      <c r="F2" s="2" t="s">
        <v>14</v>
      </c>
      <c r="G2" s="2" t="s">
        <v>15</v>
      </c>
      <c r="H2" s="2">
        <v>237000000</v>
      </c>
      <c r="I2" s="2">
        <v>7.9</v>
      </c>
      <c r="J2" s="2">
        <f t="shared" ref="J2:J256" si="0">(C2-H2)</f>
        <v>523505847</v>
      </c>
      <c r="K2" s="2">
        <f>CORREL(H$2:H$3787,C$2:C$3787)</f>
        <v>9.6568920597219582E-2</v>
      </c>
      <c r="L2" s="2" t="str">
        <f>IF(ISNUMBER(SEARCH("|",IMDB_Movies!$D2)),LEFT(IMDB_Movies!$D2,SEARCH("|",IMDB_Movies!$D2)-1),IMDB_Movies!$D2)</f>
        <v>Action</v>
      </c>
    </row>
    <row r="3" spans="1:26" ht="15.75" customHeight="1" x14ac:dyDescent="0.25">
      <c r="A3" s="2" t="s">
        <v>16</v>
      </c>
      <c r="B3" s="2">
        <v>169</v>
      </c>
      <c r="C3" s="2">
        <v>309404152</v>
      </c>
      <c r="D3" s="2" t="s">
        <v>17</v>
      </c>
      <c r="E3" s="2" t="s">
        <v>18</v>
      </c>
      <c r="F3" s="2" t="s">
        <v>14</v>
      </c>
      <c r="G3" s="2" t="s">
        <v>15</v>
      </c>
      <c r="H3" s="2">
        <v>300000000</v>
      </c>
      <c r="I3" s="2">
        <v>7.1</v>
      </c>
      <c r="J3" s="2">
        <f t="shared" si="0"/>
        <v>9404152</v>
      </c>
      <c r="K3" s="2">
        <f t="shared" ref="K3:K257" si="1">CORREL(H3:H3788,C3:C3788)</f>
        <v>9.5605235348428685E-2</v>
      </c>
      <c r="L3" s="2" t="str">
        <f>IF(ISNUMBER(SEARCH("|",IMDB_Movies!$D3)),LEFT(IMDB_Movies!$D3,SEARCH("|",IMDB_Movies!$D3)-1),IMDB_Movies!$D3)</f>
        <v>Action</v>
      </c>
    </row>
    <row r="4" spans="1:26" ht="15.75" customHeight="1" x14ac:dyDescent="0.4">
      <c r="A4" s="2" t="s">
        <v>19</v>
      </c>
      <c r="B4" s="2">
        <v>148</v>
      </c>
      <c r="C4" s="2">
        <v>200074175</v>
      </c>
      <c r="D4" s="2" t="s">
        <v>20</v>
      </c>
      <c r="E4" s="2" t="s">
        <v>21</v>
      </c>
      <c r="F4" s="2" t="s">
        <v>14</v>
      </c>
      <c r="G4" s="2" t="s">
        <v>22</v>
      </c>
      <c r="H4" s="2">
        <v>245000000</v>
      </c>
      <c r="I4" s="2">
        <v>6.8</v>
      </c>
      <c r="J4" s="2">
        <f t="shared" si="0"/>
        <v>-44925825</v>
      </c>
      <c r="K4" s="2">
        <f t="shared" si="1"/>
        <v>9.4657888571984483E-2</v>
      </c>
      <c r="L4" s="2" t="str">
        <f>IF(ISNUMBER(SEARCH("|",IMDB_Movies!$D4)),LEFT(IMDB_Movies!$D4,SEARCH("|",IMDB_Movies!$D4)-1),IMDB_Movies!$D4)</f>
        <v>Action</v>
      </c>
      <c r="N4" s="3"/>
    </row>
    <row r="5" spans="1:26" ht="15.75" customHeight="1" x14ac:dyDescent="0.25">
      <c r="A5" s="2" t="s">
        <v>24</v>
      </c>
      <c r="B5" s="2">
        <v>164</v>
      </c>
      <c r="C5" s="2">
        <v>448130642</v>
      </c>
      <c r="D5" s="2" t="s">
        <v>25</v>
      </c>
      <c r="E5" s="2" t="s">
        <v>26</v>
      </c>
      <c r="F5" s="2" t="s">
        <v>14</v>
      </c>
      <c r="G5" s="2" t="s">
        <v>15</v>
      </c>
      <c r="H5" s="2">
        <v>250000000</v>
      </c>
      <c r="I5" s="2">
        <v>8.5</v>
      </c>
      <c r="J5" s="2">
        <f t="shared" si="0"/>
        <v>198130642</v>
      </c>
      <c r="K5" s="2">
        <f t="shared" si="1"/>
        <v>9.4207108412713916E-2</v>
      </c>
      <c r="L5" s="2" t="str">
        <f>IF(ISNUMBER(SEARCH("|",IMDB_Movies!$D5)),LEFT(IMDB_Movies!$D5,SEARCH("|",IMDB_Movies!$D5)-1),IMDB_Movies!$D5)</f>
        <v>Action</v>
      </c>
    </row>
    <row r="6" spans="1:26" ht="13" x14ac:dyDescent="0.3">
      <c r="A6" s="2" t="s">
        <v>27</v>
      </c>
      <c r="B6" s="2">
        <v>132</v>
      </c>
      <c r="C6" s="2">
        <v>73058679</v>
      </c>
      <c r="D6" s="2" t="s">
        <v>28</v>
      </c>
      <c r="E6" s="2" t="s">
        <v>29</v>
      </c>
      <c r="F6" s="2" t="s">
        <v>14</v>
      </c>
      <c r="G6" s="2" t="s">
        <v>15</v>
      </c>
      <c r="H6" s="2">
        <v>263700000</v>
      </c>
      <c r="I6" s="2">
        <v>6.6</v>
      </c>
      <c r="J6" s="2">
        <f t="shared" si="0"/>
        <v>-190641321</v>
      </c>
      <c r="K6" s="2">
        <f t="shared" si="1"/>
        <v>9.3225101047009179E-2</v>
      </c>
      <c r="L6" s="2" t="str">
        <f>IF(ISNUMBER(SEARCH("|",IMDB_Movies!$D6)),LEFT(IMDB_Movies!$D6,SEARCH("|",IMDB_Movies!$D6)-1),IMDB_Movies!$D6)</f>
        <v>Action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2" t="s">
        <v>39</v>
      </c>
      <c r="B7" s="2">
        <v>156</v>
      </c>
      <c r="C7" s="2">
        <v>336530303</v>
      </c>
      <c r="D7" s="2" t="s">
        <v>40</v>
      </c>
      <c r="E7" s="2" t="s">
        <v>41</v>
      </c>
      <c r="F7" s="2" t="s">
        <v>14</v>
      </c>
      <c r="G7" s="2" t="s">
        <v>15</v>
      </c>
      <c r="H7" s="2">
        <v>258000000</v>
      </c>
      <c r="I7" s="2">
        <v>6.2</v>
      </c>
      <c r="J7" s="2">
        <f t="shared" si="0"/>
        <v>78530303</v>
      </c>
      <c r="K7" s="2">
        <f t="shared" si="1"/>
        <v>9.3149436461240132E-2</v>
      </c>
      <c r="L7" s="2" t="str">
        <f>IF(ISNUMBER(SEARCH("|",IMDB_Movies!$D7)),LEFT(IMDB_Movies!$D7,SEARCH("|",IMDB_Movies!$D7)-1),IMDB_Movies!$D7)</f>
        <v>Action</v>
      </c>
      <c r="N7" s="2"/>
      <c r="O7" s="2"/>
      <c r="P7" s="2"/>
      <c r="Q7" s="2"/>
      <c r="R7" s="2"/>
      <c r="S7" s="2"/>
      <c r="T7" s="2"/>
      <c r="U7" s="2"/>
      <c r="V7" s="2"/>
    </row>
    <row r="8" spans="1:26" ht="15.75" customHeight="1" x14ac:dyDescent="0.25">
      <c r="A8" s="2" t="s">
        <v>42</v>
      </c>
      <c r="B8" s="2">
        <v>100</v>
      </c>
      <c r="C8" s="2">
        <v>200807262</v>
      </c>
      <c r="D8" s="2" t="s">
        <v>43</v>
      </c>
      <c r="E8" s="2" t="s">
        <v>44</v>
      </c>
      <c r="F8" s="2" t="s">
        <v>14</v>
      </c>
      <c r="G8" s="2" t="s">
        <v>15</v>
      </c>
      <c r="H8" s="2">
        <v>260000000</v>
      </c>
      <c r="I8" s="2">
        <v>7.8</v>
      </c>
      <c r="J8" s="2">
        <f t="shared" si="0"/>
        <v>-59192738</v>
      </c>
      <c r="K8" s="2">
        <f t="shared" si="1"/>
        <v>9.2313644928747982E-2</v>
      </c>
      <c r="L8" s="2" t="str">
        <f>IF(ISNUMBER(SEARCH("|",IMDB_Movies!$D8)),LEFT(IMDB_Movies!$D8,SEARCH("|",IMDB_Movies!$D8)-1),IMDB_Movies!$D8)</f>
        <v>Adventure</v>
      </c>
      <c r="N8" s="2"/>
      <c r="O8" s="2"/>
      <c r="P8" s="2"/>
      <c r="Q8" s="2"/>
      <c r="R8" s="2"/>
      <c r="S8" s="2"/>
      <c r="T8" s="2"/>
      <c r="U8" s="2"/>
      <c r="V8" s="2"/>
    </row>
    <row r="9" spans="1:26" ht="15.75" customHeight="1" x14ac:dyDescent="0.25">
      <c r="A9" s="2" t="s">
        <v>45</v>
      </c>
      <c r="B9" s="2">
        <v>141</v>
      </c>
      <c r="C9" s="2">
        <v>458991599</v>
      </c>
      <c r="D9" s="2" t="s">
        <v>28</v>
      </c>
      <c r="E9" s="2" t="s">
        <v>46</v>
      </c>
      <c r="F9" s="2" t="s">
        <v>14</v>
      </c>
      <c r="G9" s="2" t="s">
        <v>15</v>
      </c>
      <c r="H9" s="2">
        <v>250000000</v>
      </c>
      <c r="I9" s="2">
        <v>7.5</v>
      </c>
      <c r="J9" s="2">
        <f t="shared" si="0"/>
        <v>208991599</v>
      </c>
      <c r="K9" s="2">
        <f t="shared" si="1"/>
        <v>9.1816423892971691E-2</v>
      </c>
      <c r="L9" s="2" t="str">
        <f>IF(ISNUMBER(SEARCH("|",IMDB_Movies!$D9)),LEFT(IMDB_Movies!$D9,SEARCH("|",IMDB_Movies!$D9)-1),IMDB_Movies!$D9)</f>
        <v>Action</v>
      </c>
      <c r="N9" s="2"/>
      <c r="O9" s="2"/>
      <c r="P9" s="2"/>
      <c r="Q9" s="2"/>
      <c r="R9" s="2"/>
      <c r="S9" s="2"/>
      <c r="T9" s="2"/>
      <c r="U9" s="2"/>
      <c r="V9" s="2"/>
    </row>
    <row r="10" spans="1:26" ht="15.75" customHeight="1" x14ac:dyDescent="0.25">
      <c r="A10" s="2" t="s">
        <v>47</v>
      </c>
      <c r="B10" s="2">
        <v>153</v>
      </c>
      <c r="C10" s="2">
        <v>301956980</v>
      </c>
      <c r="D10" s="2" t="s">
        <v>48</v>
      </c>
      <c r="E10" s="2" t="s">
        <v>49</v>
      </c>
      <c r="F10" s="2" t="s">
        <v>14</v>
      </c>
      <c r="G10" s="2" t="s">
        <v>22</v>
      </c>
      <c r="H10" s="2">
        <v>250000000</v>
      </c>
      <c r="I10" s="2">
        <v>7.5</v>
      </c>
      <c r="J10" s="2">
        <f t="shared" si="0"/>
        <v>51956980</v>
      </c>
      <c r="K10" s="2">
        <f t="shared" si="1"/>
        <v>9.0800351837326002E-2</v>
      </c>
      <c r="L10" s="2" t="str">
        <f>IF(ISNUMBER(SEARCH("|",IMDB_Movies!$D10)),LEFT(IMDB_Movies!$D10,SEARCH("|",IMDB_Movies!$D10)-1),IMDB_Movies!$D10)</f>
        <v>Adventure</v>
      </c>
      <c r="N10" s="2"/>
      <c r="O10" s="2"/>
      <c r="P10" s="2"/>
      <c r="Q10" s="2"/>
      <c r="R10" s="2"/>
      <c r="S10" s="2"/>
      <c r="T10" s="2"/>
      <c r="U10" s="2"/>
      <c r="V10" s="2"/>
    </row>
    <row r="11" spans="1:26" ht="15.75" customHeight="1" x14ac:dyDescent="0.25">
      <c r="A11" s="2" t="s">
        <v>50</v>
      </c>
      <c r="B11" s="2">
        <v>183</v>
      </c>
      <c r="C11" s="2">
        <v>330249062</v>
      </c>
      <c r="D11" s="2" t="s">
        <v>28</v>
      </c>
      <c r="E11" s="2" t="s">
        <v>51</v>
      </c>
      <c r="F11" s="2" t="s">
        <v>14</v>
      </c>
      <c r="G11" s="2" t="s">
        <v>15</v>
      </c>
      <c r="H11" s="2">
        <v>250000000</v>
      </c>
      <c r="I11" s="2">
        <v>6.9</v>
      </c>
      <c r="J11" s="2">
        <f t="shared" si="0"/>
        <v>80249062</v>
      </c>
      <c r="K11" s="2">
        <f t="shared" si="1"/>
        <v>9.0066961993095135E-2</v>
      </c>
      <c r="L11" s="2" t="str">
        <f>IF(ISNUMBER(SEARCH("|",IMDB_Movies!$D11)),LEFT(IMDB_Movies!$D11,SEARCH("|",IMDB_Movies!$D11)-1),IMDB_Movies!$D11)</f>
        <v>Action</v>
      </c>
      <c r="N11" s="2"/>
      <c r="O11" s="2"/>
      <c r="P11" s="2"/>
      <c r="Q11" s="2"/>
      <c r="R11" s="2"/>
      <c r="S11" s="2"/>
      <c r="T11" s="2"/>
      <c r="U11" s="2"/>
      <c r="V11" s="2"/>
    </row>
    <row r="12" spans="1:26" ht="15.75" customHeight="1" x14ac:dyDescent="0.25">
      <c r="A12" s="2" t="s">
        <v>52</v>
      </c>
      <c r="B12" s="2">
        <v>169</v>
      </c>
      <c r="C12" s="2">
        <v>200069408</v>
      </c>
      <c r="D12" s="2" t="s">
        <v>28</v>
      </c>
      <c r="E12" s="2" t="s">
        <v>53</v>
      </c>
      <c r="F12" s="2" t="s">
        <v>14</v>
      </c>
      <c r="G12" s="2" t="s">
        <v>15</v>
      </c>
      <c r="H12" s="2">
        <v>209000000</v>
      </c>
      <c r="I12" s="2">
        <v>6.1</v>
      </c>
      <c r="J12" s="2">
        <f t="shared" si="0"/>
        <v>-8930592</v>
      </c>
      <c r="K12" s="2">
        <f t="shared" si="1"/>
        <v>8.9267905473636847E-2</v>
      </c>
      <c r="L12" s="2" t="str">
        <f>IF(ISNUMBER(SEARCH("|",IMDB_Movies!$D12)),LEFT(IMDB_Movies!$D12,SEARCH("|",IMDB_Movies!$D12)-1),IMDB_Movies!$D12)</f>
        <v>Action</v>
      </c>
      <c r="N12" s="2"/>
      <c r="O12" s="2"/>
      <c r="P12" s="2"/>
      <c r="Q12" s="2"/>
      <c r="R12" s="2"/>
      <c r="S12" s="2"/>
      <c r="T12" s="2"/>
      <c r="U12" s="2"/>
      <c r="V12" s="2"/>
    </row>
    <row r="13" spans="1:26" ht="15.75" customHeight="1" x14ac:dyDescent="0.25">
      <c r="A13" s="2" t="s">
        <v>54</v>
      </c>
      <c r="B13" s="2">
        <v>106</v>
      </c>
      <c r="C13" s="2">
        <v>168368427</v>
      </c>
      <c r="D13" s="2" t="s">
        <v>55</v>
      </c>
      <c r="E13" s="2" t="s">
        <v>56</v>
      </c>
      <c r="F13" s="2" t="s">
        <v>14</v>
      </c>
      <c r="G13" s="2" t="s">
        <v>22</v>
      </c>
      <c r="H13" s="2">
        <v>200000000</v>
      </c>
      <c r="I13" s="2">
        <v>6.7</v>
      </c>
      <c r="J13" s="2">
        <f t="shared" si="0"/>
        <v>-31631573</v>
      </c>
      <c r="K13" s="2">
        <f t="shared" si="1"/>
        <v>8.8895733720321113E-2</v>
      </c>
      <c r="L13" s="2" t="str">
        <f>IF(ISNUMBER(SEARCH("|",IMDB_Movies!$D13)),LEFT(IMDB_Movies!$D13,SEARCH("|",IMDB_Movies!$D13)-1),IMDB_Movies!$D13)</f>
        <v>Action</v>
      </c>
      <c r="N13" s="2"/>
      <c r="O13" s="2"/>
      <c r="P13" s="2"/>
      <c r="Q13" s="2"/>
      <c r="R13" s="2"/>
      <c r="S13" s="2"/>
      <c r="T13" s="2"/>
      <c r="U13" s="2"/>
      <c r="V13" s="2"/>
    </row>
    <row r="14" spans="1:26" ht="15.75" customHeight="1" x14ac:dyDescent="0.25">
      <c r="A14" s="2" t="s">
        <v>16</v>
      </c>
      <c r="B14" s="2">
        <v>151</v>
      </c>
      <c r="C14" s="2">
        <v>423032628</v>
      </c>
      <c r="D14" s="2" t="s">
        <v>17</v>
      </c>
      <c r="E14" s="2" t="s">
        <v>57</v>
      </c>
      <c r="F14" s="2" t="s">
        <v>14</v>
      </c>
      <c r="G14" s="2" t="s">
        <v>15</v>
      </c>
      <c r="H14" s="2">
        <v>225000000</v>
      </c>
      <c r="I14" s="2">
        <v>7.3</v>
      </c>
      <c r="J14" s="2">
        <f t="shared" si="0"/>
        <v>198032628</v>
      </c>
      <c r="K14" s="2">
        <f t="shared" si="1"/>
        <v>8.8610942100556256E-2</v>
      </c>
      <c r="L14" s="2" t="str">
        <f>IF(ISNUMBER(SEARCH("|",IMDB_Movies!$D14)),LEFT(IMDB_Movies!$D14,SEARCH("|",IMDB_Movies!$D14)-1),IMDB_Movies!$D14)</f>
        <v>Action</v>
      </c>
      <c r="N14" s="2"/>
      <c r="O14" s="2"/>
      <c r="P14" s="2"/>
      <c r="Q14" s="2"/>
      <c r="R14" s="2"/>
      <c r="S14" s="2"/>
      <c r="T14" s="2"/>
      <c r="U14" s="2"/>
      <c r="V14" s="2"/>
    </row>
    <row r="15" spans="1:26" ht="15.75" customHeight="1" x14ac:dyDescent="0.25">
      <c r="A15" s="2" t="s">
        <v>16</v>
      </c>
      <c r="B15" s="2">
        <v>150</v>
      </c>
      <c r="C15" s="2">
        <v>89289910</v>
      </c>
      <c r="D15" s="2" t="s">
        <v>58</v>
      </c>
      <c r="E15" s="2" t="s">
        <v>59</v>
      </c>
      <c r="F15" s="2" t="s">
        <v>14</v>
      </c>
      <c r="G15" s="2" t="s">
        <v>15</v>
      </c>
      <c r="H15" s="2">
        <v>215000000</v>
      </c>
      <c r="I15" s="2">
        <v>6.5</v>
      </c>
      <c r="J15" s="2">
        <f t="shared" si="0"/>
        <v>-125710090</v>
      </c>
      <c r="K15" s="2">
        <f t="shared" si="1"/>
        <v>8.7790257025332996E-2</v>
      </c>
      <c r="L15" s="2" t="str">
        <f>IF(ISNUMBER(SEARCH("|",IMDB_Movies!$D15)),LEFT(IMDB_Movies!$D15,SEARCH("|",IMDB_Movies!$D15)-1),IMDB_Movies!$D15)</f>
        <v>Action</v>
      </c>
      <c r="N15" s="2"/>
      <c r="O15" s="2"/>
      <c r="P15" s="2"/>
      <c r="Q15" s="2"/>
      <c r="R15" s="2"/>
      <c r="S15" s="2"/>
      <c r="T15" s="2"/>
      <c r="U15" s="2"/>
      <c r="V15" s="2"/>
    </row>
    <row r="16" spans="1:26" ht="15.75" customHeight="1" x14ac:dyDescent="0.25">
      <c r="A16" s="2" t="s">
        <v>50</v>
      </c>
      <c r="B16" s="2">
        <v>143</v>
      </c>
      <c r="C16" s="2">
        <v>291021565</v>
      </c>
      <c r="D16" s="2" t="s">
        <v>12</v>
      </c>
      <c r="E16" s="2" t="s">
        <v>60</v>
      </c>
      <c r="F16" s="2" t="s">
        <v>14</v>
      </c>
      <c r="G16" s="2" t="s">
        <v>15</v>
      </c>
      <c r="H16" s="2">
        <v>225000000</v>
      </c>
      <c r="I16" s="2">
        <v>7.2</v>
      </c>
      <c r="J16" s="2">
        <f t="shared" si="0"/>
        <v>66021565</v>
      </c>
      <c r="K16" s="2">
        <f t="shared" si="1"/>
        <v>8.7679664524139625E-2</v>
      </c>
      <c r="L16" s="2" t="str">
        <f>IF(ISNUMBER(SEARCH("|",IMDB_Movies!$D16)),LEFT(IMDB_Movies!$D16,SEARCH("|",IMDB_Movies!$D16)-1),IMDB_Movies!$D16)</f>
        <v>Action</v>
      </c>
      <c r="N16" s="2"/>
      <c r="O16" s="2"/>
      <c r="P16" s="2"/>
      <c r="Q16" s="2"/>
      <c r="R16" s="2"/>
      <c r="S16" s="2"/>
      <c r="T16" s="2"/>
      <c r="U16" s="2"/>
      <c r="V16" s="2"/>
    </row>
    <row r="17" spans="1:22" ht="15.75" customHeight="1" x14ac:dyDescent="0.25">
      <c r="A17" s="2" t="s">
        <v>61</v>
      </c>
      <c r="B17" s="2">
        <v>150</v>
      </c>
      <c r="C17" s="2">
        <v>141614023</v>
      </c>
      <c r="D17" s="2" t="s">
        <v>62</v>
      </c>
      <c r="E17" s="2" t="s">
        <v>63</v>
      </c>
      <c r="F17" s="2" t="s">
        <v>14</v>
      </c>
      <c r="G17" s="2" t="s">
        <v>15</v>
      </c>
      <c r="H17" s="2">
        <v>225000000</v>
      </c>
      <c r="I17" s="2">
        <v>6.6</v>
      </c>
      <c r="J17" s="2">
        <f t="shared" si="0"/>
        <v>-83385977</v>
      </c>
      <c r="K17" s="2">
        <f t="shared" si="1"/>
        <v>8.7063207651692495E-2</v>
      </c>
      <c r="L17" s="2" t="str">
        <f>IF(ISNUMBER(SEARCH("|",IMDB_Movies!$D17)),LEFT(IMDB_Movies!$D17,SEARCH("|",IMDB_Movies!$D17)-1),IMDB_Movies!$D17)</f>
        <v>Action</v>
      </c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25">
      <c r="A18" s="2" t="s">
        <v>45</v>
      </c>
      <c r="B18" s="2">
        <v>173</v>
      </c>
      <c r="C18" s="2">
        <v>623279547</v>
      </c>
      <c r="D18" s="2" t="s">
        <v>28</v>
      </c>
      <c r="E18" s="2" t="s">
        <v>64</v>
      </c>
      <c r="F18" s="2" t="s">
        <v>14</v>
      </c>
      <c r="G18" s="2" t="s">
        <v>15</v>
      </c>
      <c r="H18" s="2">
        <v>220000000</v>
      </c>
      <c r="I18" s="2">
        <v>8.1</v>
      </c>
      <c r="J18" s="2">
        <f t="shared" si="0"/>
        <v>403279547</v>
      </c>
      <c r="K18" s="2">
        <f t="shared" si="1"/>
        <v>8.6795193083748889E-2</v>
      </c>
      <c r="L18" s="2" t="str">
        <f>IF(ISNUMBER(SEARCH("|",IMDB_Movies!$D18)),LEFT(IMDB_Movies!$D18,SEARCH("|",IMDB_Movies!$D18)-1),IMDB_Movies!$D18)</f>
        <v>Action</v>
      </c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25">
      <c r="A19" s="2" t="s">
        <v>65</v>
      </c>
      <c r="B19" s="2">
        <v>136</v>
      </c>
      <c r="C19" s="2">
        <v>241063875</v>
      </c>
      <c r="D19" s="2" t="s">
        <v>17</v>
      </c>
      <c r="E19" s="2" t="s">
        <v>66</v>
      </c>
      <c r="F19" s="2" t="s">
        <v>14</v>
      </c>
      <c r="G19" s="2" t="s">
        <v>15</v>
      </c>
      <c r="H19" s="2">
        <v>250000000</v>
      </c>
      <c r="I19" s="2">
        <v>6.7</v>
      </c>
      <c r="J19" s="2">
        <f t="shared" si="0"/>
        <v>-8936125</v>
      </c>
      <c r="K19" s="2">
        <f t="shared" si="1"/>
        <v>8.5864432027713322E-2</v>
      </c>
      <c r="L19" s="2" t="str">
        <f>IF(ISNUMBER(SEARCH("|",IMDB_Movies!$D19)),LEFT(IMDB_Movies!$D19,SEARCH("|",IMDB_Movies!$D19)-1),IMDB_Movies!$D19)</f>
        <v>Action</v>
      </c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25">
      <c r="A20" s="2" t="s">
        <v>67</v>
      </c>
      <c r="B20" s="2">
        <v>106</v>
      </c>
      <c r="C20" s="2">
        <v>179020854</v>
      </c>
      <c r="D20" s="2" t="s">
        <v>68</v>
      </c>
      <c r="E20" s="2" t="s">
        <v>69</v>
      </c>
      <c r="F20" s="2" t="s">
        <v>14</v>
      </c>
      <c r="G20" s="2" t="s">
        <v>15</v>
      </c>
      <c r="H20" s="2">
        <v>225000000</v>
      </c>
      <c r="I20" s="2">
        <v>6.8</v>
      </c>
      <c r="J20" s="2">
        <f t="shared" si="0"/>
        <v>-45979146</v>
      </c>
      <c r="K20" s="2">
        <f t="shared" si="1"/>
        <v>8.5258836650072001E-2</v>
      </c>
      <c r="L20" s="2" t="str">
        <f>IF(ISNUMBER(SEARCH("|",IMDB_Movies!$D20)),LEFT(IMDB_Movies!$D20,SEARCH("|",IMDB_Movies!$D20)-1),IMDB_Movies!$D20)</f>
        <v>Action</v>
      </c>
      <c r="N20" s="2"/>
      <c r="O20" s="2"/>
      <c r="P20" s="2"/>
      <c r="Q20" s="2"/>
      <c r="R20" s="2"/>
      <c r="S20" s="2"/>
      <c r="T20" s="2"/>
      <c r="U20" s="2"/>
      <c r="V20" s="2"/>
    </row>
    <row r="21" spans="1:22" ht="12.5" x14ac:dyDescent="0.25">
      <c r="A21" s="2" t="s">
        <v>70</v>
      </c>
      <c r="B21" s="2">
        <v>164</v>
      </c>
      <c r="C21" s="2">
        <v>255108370</v>
      </c>
      <c r="D21" s="2" t="s">
        <v>71</v>
      </c>
      <c r="E21" s="2" t="s">
        <v>72</v>
      </c>
      <c r="F21" s="2" t="s">
        <v>14</v>
      </c>
      <c r="G21" s="2" t="s">
        <v>73</v>
      </c>
      <c r="H21" s="2">
        <v>250000000</v>
      </c>
      <c r="I21" s="2">
        <v>7.5</v>
      </c>
      <c r="J21" s="2">
        <f t="shared" si="0"/>
        <v>5108370</v>
      </c>
      <c r="K21" s="2">
        <f t="shared" si="1"/>
        <v>8.4886077187569339E-2</v>
      </c>
      <c r="L21" s="2" t="str">
        <f>IF(ISNUMBER(SEARCH("|",IMDB_Movies!$D21)),LEFT(IMDB_Movies!$D21,SEARCH("|",IMDB_Movies!$D21)-1),IMDB_Movies!$D21)</f>
        <v>Adventure</v>
      </c>
      <c r="N21" s="2"/>
      <c r="O21" s="2"/>
      <c r="P21" s="2"/>
      <c r="Q21" s="2"/>
      <c r="R21" s="2"/>
      <c r="S21" s="2"/>
      <c r="T21" s="2"/>
      <c r="U21" s="2"/>
      <c r="V21" s="2"/>
    </row>
    <row r="22" spans="1:22" ht="12.5" x14ac:dyDescent="0.25">
      <c r="A22" s="2" t="s">
        <v>74</v>
      </c>
      <c r="B22" s="2">
        <v>153</v>
      </c>
      <c r="C22" s="2">
        <v>262030663</v>
      </c>
      <c r="D22" s="2" t="s">
        <v>17</v>
      </c>
      <c r="E22" s="2" t="s">
        <v>75</v>
      </c>
      <c r="F22" s="2" t="s">
        <v>14</v>
      </c>
      <c r="G22" s="2" t="s">
        <v>15</v>
      </c>
      <c r="H22" s="2">
        <v>230000000</v>
      </c>
      <c r="I22" s="2">
        <v>7</v>
      </c>
      <c r="J22" s="2">
        <f t="shared" si="0"/>
        <v>32030663</v>
      </c>
      <c r="K22" s="2">
        <f t="shared" si="1"/>
        <v>8.424004658464318E-2</v>
      </c>
      <c r="L22" s="2" t="str">
        <f>IF(ISNUMBER(SEARCH("|",IMDB_Movies!$D22)),LEFT(IMDB_Movies!$D22,SEARCH("|",IMDB_Movies!$D22)-1),IMDB_Movies!$D22)</f>
        <v>Action</v>
      </c>
      <c r="N22" s="2"/>
      <c r="O22" s="2"/>
      <c r="P22" s="2"/>
      <c r="Q22" s="2"/>
      <c r="R22" s="2"/>
      <c r="S22" s="2"/>
      <c r="T22" s="2"/>
      <c r="U22" s="2"/>
      <c r="V22" s="2"/>
    </row>
    <row r="23" spans="1:22" ht="12.5" x14ac:dyDescent="0.25">
      <c r="A23" s="2" t="s">
        <v>76</v>
      </c>
      <c r="B23" s="2">
        <v>156</v>
      </c>
      <c r="C23" s="2">
        <v>105219735</v>
      </c>
      <c r="D23" s="2" t="s">
        <v>77</v>
      </c>
      <c r="E23" s="2" t="s">
        <v>78</v>
      </c>
      <c r="F23" s="2" t="s">
        <v>14</v>
      </c>
      <c r="G23" s="2" t="s">
        <v>15</v>
      </c>
      <c r="H23" s="2">
        <v>200000000</v>
      </c>
      <c r="I23" s="2">
        <v>6.7</v>
      </c>
      <c r="J23" s="2">
        <f t="shared" si="0"/>
        <v>-94780265</v>
      </c>
      <c r="K23" s="2">
        <f t="shared" si="1"/>
        <v>8.3649075410461404E-2</v>
      </c>
      <c r="L23" s="2" t="str">
        <f>IF(ISNUMBER(SEARCH("|",IMDB_Movies!$D23)),LEFT(IMDB_Movies!$D23,SEARCH("|",IMDB_Movies!$D23)-1),IMDB_Movies!$D23)</f>
        <v>Action</v>
      </c>
      <c r="N23" s="2"/>
      <c r="O23" s="2"/>
      <c r="P23" s="2"/>
      <c r="Q23" s="2"/>
      <c r="R23" s="2"/>
      <c r="S23" s="2"/>
      <c r="T23" s="2"/>
      <c r="U23" s="2"/>
      <c r="V23" s="2"/>
    </row>
    <row r="24" spans="1:22" ht="12.5" x14ac:dyDescent="0.25">
      <c r="A24" s="2" t="s">
        <v>70</v>
      </c>
      <c r="B24" s="2">
        <v>186</v>
      </c>
      <c r="C24" s="2">
        <v>258355354</v>
      </c>
      <c r="D24" s="2" t="s">
        <v>71</v>
      </c>
      <c r="E24" s="2" t="s">
        <v>79</v>
      </c>
      <c r="F24" s="2" t="s">
        <v>14</v>
      </c>
      <c r="G24" s="2" t="s">
        <v>15</v>
      </c>
      <c r="H24" s="2">
        <v>225000000</v>
      </c>
      <c r="I24" s="2">
        <v>7.9</v>
      </c>
      <c r="J24" s="2">
        <f t="shared" si="0"/>
        <v>33355354</v>
      </c>
      <c r="K24" s="2">
        <f t="shared" si="1"/>
        <v>8.3503306557077328E-2</v>
      </c>
      <c r="L24" s="2" t="str">
        <f>IF(ISNUMBER(SEARCH("|",IMDB_Movies!$D24)),LEFT(IMDB_Movies!$D24,SEARCH("|",IMDB_Movies!$D24)-1),IMDB_Movies!$D24)</f>
        <v>Adventure</v>
      </c>
    </row>
    <row r="25" spans="1:22" ht="12.5" x14ac:dyDescent="0.25">
      <c r="A25" s="2" t="s">
        <v>80</v>
      </c>
      <c r="B25" s="2">
        <v>113</v>
      </c>
      <c r="C25" s="2">
        <v>70083519</v>
      </c>
      <c r="D25" s="2" t="s">
        <v>81</v>
      </c>
      <c r="E25" s="2" t="s">
        <v>82</v>
      </c>
      <c r="F25" s="2" t="s">
        <v>14</v>
      </c>
      <c r="G25" s="2" t="s">
        <v>15</v>
      </c>
      <c r="H25" s="2">
        <v>180000000</v>
      </c>
      <c r="I25" s="2">
        <v>6.1</v>
      </c>
      <c r="J25" s="2">
        <f t="shared" si="0"/>
        <v>-109916481</v>
      </c>
      <c r="K25" s="2">
        <f t="shared" si="1"/>
        <v>8.2936828222662518E-2</v>
      </c>
      <c r="L25" s="2" t="str">
        <f>IF(ISNUMBER(SEARCH("|",IMDB_Movies!$D25)),LEFT(IMDB_Movies!$D25,SEARCH("|",IMDB_Movies!$D25)-1),IMDB_Movies!$D25)</f>
        <v>Adventure</v>
      </c>
    </row>
    <row r="26" spans="1:22" ht="12.5" x14ac:dyDescent="0.25">
      <c r="A26" s="2" t="s">
        <v>70</v>
      </c>
      <c r="B26" s="2">
        <v>201</v>
      </c>
      <c r="C26" s="2">
        <v>218051260</v>
      </c>
      <c r="D26" s="2" t="s">
        <v>83</v>
      </c>
      <c r="E26" s="2" t="s">
        <v>84</v>
      </c>
      <c r="F26" s="2" t="s">
        <v>14</v>
      </c>
      <c r="G26" s="2" t="s">
        <v>73</v>
      </c>
      <c r="H26" s="2">
        <v>207000000</v>
      </c>
      <c r="I26" s="2">
        <v>7.2</v>
      </c>
      <c r="J26" s="2">
        <f t="shared" si="0"/>
        <v>11051260</v>
      </c>
      <c r="K26" s="2">
        <f t="shared" si="1"/>
        <v>8.2889392455214497E-2</v>
      </c>
      <c r="L26" s="2" t="str">
        <f>IF(ISNUMBER(SEARCH("|",IMDB_Movies!$D26)),LEFT(IMDB_Movies!$D26,SEARCH("|",IMDB_Movies!$D26)-1),IMDB_Movies!$D26)</f>
        <v>Action</v>
      </c>
    </row>
    <row r="27" spans="1:22" ht="12.5" x14ac:dyDescent="0.25">
      <c r="A27" s="2" t="s">
        <v>11</v>
      </c>
      <c r="B27" s="2">
        <v>194</v>
      </c>
      <c r="C27" s="2">
        <v>658672302</v>
      </c>
      <c r="D27" s="2" t="s">
        <v>85</v>
      </c>
      <c r="E27" s="2" t="s">
        <v>86</v>
      </c>
      <c r="F27" s="2" t="s">
        <v>14</v>
      </c>
      <c r="G27" s="2" t="s">
        <v>15</v>
      </c>
      <c r="H27" s="2">
        <v>200000000</v>
      </c>
      <c r="I27" s="2">
        <v>7.7</v>
      </c>
      <c r="J27" s="2">
        <f t="shared" si="0"/>
        <v>458672302</v>
      </c>
      <c r="K27" s="2">
        <f t="shared" si="1"/>
        <v>8.2467913874234952E-2</v>
      </c>
      <c r="L27" s="2" t="str">
        <f>IF(ISNUMBER(SEARCH("|",IMDB_Movies!$D27)),LEFT(IMDB_Movies!$D27,SEARCH("|",IMDB_Movies!$D27)-1),IMDB_Movies!$D27)</f>
        <v>Drama</v>
      </c>
    </row>
    <row r="28" spans="1:22" ht="12.5" x14ac:dyDescent="0.25">
      <c r="A28" s="2" t="s">
        <v>87</v>
      </c>
      <c r="B28" s="2">
        <v>147</v>
      </c>
      <c r="C28" s="2">
        <v>407197282</v>
      </c>
      <c r="D28" s="2" t="s">
        <v>28</v>
      </c>
      <c r="E28" s="2" t="s">
        <v>88</v>
      </c>
      <c r="F28" s="2" t="s">
        <v>14</v>
      </c>
      <c r="G28" s="2" t="s">
        <v>15</v>
      </c>
      <c r="H28" s="2">
        <v>250000000</v>
      </c>
      <c r="I28" s="2">
        <v>8.1999999999999993</v>
      </c>
      <c r="J28" s="2">
        <f t="shared" si="0"/>
        <v>157197282</v>
      </c>
      <c r="K28" s="2">
        <f t="shared" si="1"/>
        <v>8.1702124409398322E-2</v>
      </c>
      <c r="L28" s="2" t="str">
        <f>IF(ISNUMBER(SEARCH("|",IMDB_Movies!$D28)),LEFT(IMDB_Movies!$D28,SEARCH("|",IMDB_Movies!$D28)-1),IMDB_Movies!$D28)</f>
        <v>Action</v>
      </c>
    </row>
    <row r="29" spans="1:22" ht="12.5" x14ac:dyDescent="0.25">
      <c r="A29" s="2" t="s">
        <v>89</v>
      </c>
      <c r="B29" s="2">
        <v>131</v>
      </c>
      <c r="C29" s="2">
        <v>65173160</v>
      </c>
      <c r="D29" s="2" t="s">
        <v>90</v>
      </c>
      <c r="E29" s="2" t="s">
        <v>91</v>
      </c>
      <c r="F29" s="2" t="s">
        <v>14</v>
      </c>
      <c r="G29" s="2" t="s">
        <v>15</v>
      </c>
      <c r="H29" s="2">
        <v>209000000</v>
      </c>
      <c r="I29" s="2">
        <v>5.9</v>
      </c>
      <c r="J29" s="2">
        <f t="shared" si="0"/>
        <v>-143826840</v>
      </c>
      <c r="K29" s="2">
        <f t="shared" si="1"/>
        <v>8.0686015011179571E-2</v>
      </c>
      <c r="L29" s="2" t="str">
        <f>IF(ISNUMBER(SEARCH("|",IMDB_Movies!$D29)),LEFT(IMDB_Movies!$D29,SEARCH("|",IMDB_Movies!$D29)-1),IMDB_Movies!$D29)</f>
        <v>Action</v>
      </c>
    </row>
    <row r="30" spans="1:22" ht="12.5" x14ac:dyDescent="0.25">
      <c r="A30" s="2" t="s">
        <v>92</v>
      </c>
      <c r="B30" s="2">
        <v>124</v>
      </c>
      <c r="C30" s="2">
        <v>652177271</v>
      </c>
      <c r="D30" s="2" t="s">
        <v>90</v>
      </c>
      <c r="E30" s="2" t="s">
        <v>93</v>
      </c>
      <c r="F30" s="2" t="s">
        <v>14</v>
      </c>
      <c r="G30" s="2" t="s">
        <v>15</v>
      </c>
      <c r="H30" s="2">
        <v>150000000</v>
      </c>
      <c r="I30" s="2">
        <v>7</v>
      </c>
      <c r="J30" s="2">
        <f t="shared" si="0"/>
        <v>502177271</v>
      </c>
      <c r="K30" s="2">
        <f t="shared" si="1"/>
        <v>8.0641562750060403E-2</v>
      </c>
      <c r="L30" s="2" t="str">
        <f>IF(ISNUMBER(SEARCH("|",IMDB_Movies!$D30)),LEFT(IMDB_Movies!$D30,SEARCH("|",IMDB_Movies!$D30)-1),IMDB_Movies!$D30)</f>
        <v>Action</v>
      </c>
    </row>
    <row r="31" spans="1:22" ht="12.5" x14ac:dyDescent="0.25">
      <c r="A31" s="2" t="s">
        <v>19</v>
      </c>
      <c r="B31" s="2">
        <v>143</v>
      </c>
      <c r="C31" s="2">
        <v>304360277</v>
      </c>
      <c r="D31" s="2" t="s">
        <v>20</v>
      </c>
      <c r="E31" s="2" t="s">
        <v>94</v>
      </c>
      <c r="F31" s="2" t="s">
        <v>14</v>
      </c>
      <c r="G31" s="2" t="s">
        <v>22</v>
      </c>
      <c r="H31" s="2">
        <v>200000000</v>
      </c>
      <c r="I31" s="2">
        <v>7.8</v>
      </c>
      <c r="J31" s="2">
        <f t="shared" si="0"/>
        <v>104360277</v>
      </c>
      <c r="K31" s="2">
        <f t="shared" si="1"/>
        <v>8.0413246393506249E-2</v>
      </c>
      <c r="L31" s="2" t="str">
        <f>IF(ISNUMBER(SEARCH("|",IMDB_Movies!$D31)),LEFT(IMDB_Movies!$D31,SEARCH("|",IMDB_Movies!$D31)-1),IMDB_Movies!$D31)</f>
        <v>Action</v>
      </c>
    </row>
    <row r="32" spans="1:22" ht="12.5" x14ac:dyDescent="0.25">
      <c r="A32" s="2" t="s">
        <v>39</v>
      </c>
      <c r="B32" s="2">
        <v>135</v>
      </c>
      <c r="C32" s="2">
        <v>373377893</v>
      </c>
      <c r="D32" s="2" t="s">
        <v>95</v>
      </c>
      <c r="E32" s="2" t="s">
        <v>96</v>
      </c>
      <c r="F32" s="2" t="s">
        <v>14</v>
      </c>
      <c r="G32" s="2" t="s">
        <v>15</v>
      </c>
      <c r="H32" s="2">
        <v>200000000</v>
      </c>
      <c r="I32" s="2">
        <v>7.3</v>
      </c>
      <c r="J32" s="2">
        <f t="shared" si="0"/>
        <v>173377893</v>
      </c>
      <c r="K32" s="2">
        <f t="shared" si="1"/>
        <v>7.9844008244030845E-2</v>
      </c>
      <c r="L32" s="2" t="str">
        <f>IF(ISNUMBER(SEARCH("|",IMDB_Movies!$D32)),LEFT(IMDB_Movies!$D32,SEARCH("|",IMDB_Movies!$D32)-1),IMDB_Movies!$D32)</f>
        <v>Action</v>
      </c>
    </row>
    <row r="33" spans="1:12" ht="12.5" x14ac:dyDescent="0.25">
      <c r="A33" s="2" t="s">
        <v>97</v>
      </c>
      <c r="B33" s="2">
        <v>195</v>
      </c>
      <c r="C33" s="2">
        <v>408992272</v>
      </c>
      <c r="D33" s="2" t="s">
        <v>28</v>
      </c>
      <c r="E33" s="2" t="s">
        <v>98</v>
      </c>
      <c r="F33" s="2" t="s">
        <v>14</v>
      </c>
      <c r="G33" s="2" t="s">
        <v>15</v>
      </c>
      <c r="H33" s="2">
        <v>200000000</v>
      </c>
      <c r="I33" s="2">
        <v>7.2</v>
      </c>
      <c r="J33" s="2">
        <f t="shared" si="0"/>
        <v>208992272</v>
      </c>
      <c r="K33" s="2">
        <f t="shared" si="1"/>
        <v>7.9176059606593491E-2</v>
      </c>
      <c r="L33" s="2" t="str">
        <f>IF(ISNUMBER(SEARCH("|",IMDB_Movies!$D33)),LEFT(IMDB_Movies!$D33,SEARCH("|",IMDB_Movies!$D33)-1),IMDB_Movies!$D33)</f>
        <v>Action</v>
      </c>
    </row>
    <row r="34" spans="1:12" ht="12.5" x14ac:dyDescent="0.25">
      <c r="A34" s="2" t="s">
        <v>99</v>
      </c>
      <c r="B34" s="2">
        <v>108</v>
      </c>
      <c r="C34" s="2">
        <v>334185206</v>
      </c>
      <c r="D34" s="2" t="s">
        <v>81</v>
      </c>
      <c r="E34" s="2" t="s">
        <v>100</v>
      </c>
      <c r="F34" s="2" t="s">
        <v>14</v>
      </c>
      <c r="G34" s="2" t="s">
        <v>15</v>
      </c>
      <c r="H34" s="2">
        <v>200000000</v>
      </c>
      <c r="I34" s="2">
        <v>6.5</v>
      </c>
      <c r="J34" s="2">
        <f t="shared" si="0"/>
        <v>134185206</v>
      </c>
      <c r="K34" s="2">
        <f t="shared" si="1"/>
        <v>7.8463624247838287E-2</v>
      </c>
      <c r="L34" s="2" t="str">
        <f>IF(ISNUMBER(SEARCH("|",IMDB_Movies!$D34)),LEFT(IMDB_Movies!$D34,SEARCH("|",IMDB_Movies!$D34)-1),IMDB_Movies!$D34)</f>
        <v>Adventure</v>
      </c>
    </row>
    <row r="35" spans="1:12" ht="12.5" x14ac:dyDescent="0.25">
      <c r="A35" s="2" t="s">
        <v>101</v>
      </c>
      <c r="B35" s="2">
        <v>104</v>
      </c>
      <c r="C35" s="2">
        <v>234360014</v>
      </c>
      <c r="D35" s="2" t="s">
        <v>102</v>
      </c>
      <c r="E35" s="2" t="s">
        <v>103</v>
      </c>
      <c r="F35" s="2" t="s">
        <v>14</v>
      </c>
      <c r="G35" s="2" t="s">
        <v>104</v>
      </c>
      <c r="H35" s="2">
        <v>210000000</v>
      </c>
      <c r="I35" s="2">
        <v>6.8</v>
      </c>
      <c r="J35" s="2">
        <f t="shared" si="0"/>
        <v>24360014</v>
      </c>
      <c r="K35" s="2">
        <f t="shared" si="1"/>
        <v>7.7839243969160227E-2</v>
      </c>
      <c r="L35" s="2" t="str">
        <f>IF(ISNUMBER(SEARCH("|",IMDB_Movies!$D35)),LEFT(IMDB_Movies!$D35,SEARCH("|",IMDB_Movies!$D35)-1),IMDB_Movies!$D35)</f>
        <v>Action</v>
      </c>
    </row>
    <row r="36" spans="1:12" ht="12.5" x14ac:dyDescent="0.25">
      <c r="A36" s="2" t="s">
        <v>105</v>
      </c>
      <c r="B36" s="2">
        <v>104</v>
      </c>
      <c r="C36" s="2">
        <v>268488329</v>
      </c>
      <c r="D36" s="2" t="s">
        <v>106</v>
      </c>
      <c r="E36" s="2" t="s">
        <v>107</v>
      </c>
      <c r="F36" s="2" t="s">
        <v>14</v>
      </c>
      <c r="G36" s="2" t="s">
        <v>15</v>
      </c>
      <c r="H36" s="2">
        <v>200000000</v>
      </c>
      <c r="I36" s="2">
        <v>7.3</v>
      </c>
      <c r="J36" s="2">
        <f t="shared" si="0"/>
        <v>68488329</v>
      </c>
      <c r="K36" s="2">
        <f t="shared" si="1"/>
        <v>7.7348702513908851E-2</v>
      </c>
      <c r="L36" s="2" t="str">
        <f>IF(ISNUMBER(SEARCH("|",IMDB_Movies!$D36)),LEFT(IMDB_Movies!$D36,SEARCH("|",IMDB_Movies!$D36)-1),IMDB_Movies!$D36)</f>
        <v>Adventure</v>
      </c>
    </row>
    <row r="37" spans="1:12" ht="12.5" x14ac:dyDescent="0.25">
      <c r="A37" s="2" t="s">
        <v>108</v>
      </c>
      <c r="B37" s="2">
        <v>150</v>
      </c>
      <c r="C37" s="2">
        <v>402076689</v>
      </c>
      <c r="D37" s="2" t="s">
        <v>28</v>
      </c>
      <c r="E37" s="2" t="s">
        <v>109</v>
      </c>
      <c r="F37" s="2" t="s">
        <v>14</v>
      </c>
      <c r="G37" s="2" t="s">
        <v>15</v>
      </c>
      <c r="H37" s="2">
        <v>200000000</v>
      </c>
      <c r="I37" s="2">
        <v>6</v>
      </c>
      <c r="J37" s="2">
        <f t="shared" si="0"/>
        <v>202076689</v>
      </c>
      <c r="K37" s="2">
        <f t="shared" si="1"/>
        <v>7.6826518898642462E-2</v>
      </c>
      <c r="L37" s="2" t="str">
        <f>IF(ISNUMBER(SEARCH("|",IMDB_Movies!$D37)),LEFT(IMDB_Movies!$D37,SEARCH("|",IMDB_Movies!$D37)-1),IMDB_Movies!$D37)</f>
        <v>Action</v>
      </c>
    </row>
    <row r="38" spans="1:12" ht="12.5" x14ac:dyDescent="0.25">
      <c r="A38" s="2" t="s">
        <v>108</v>
      </c>
      <c r="B38" s="2">
        <v>165</v>
      </c>
      <c r="C38" s="2">
        <v>245428137</v>
      </c>
      <c r="D38" s="2" t="s">
        <v>28</v>
      </c>
      <c r="E38" s="2" t="s">
        <v>110</v>
      </c>
      <c r="F38" s="2" t="s">
        <v>14</v>
      </c>
      <c r="G38" s="2" t="s">
        <v>15</v>
      </c>
      <c r="H38" s="2">
        <v>210000000</v>
      </c>
      <c r="I38" s="2">
        <v>5.7</v>
      </c>
      <c r="J38" s="2">
        <f t="shared" si="0"/>
        <v>35428137</v>
      </c>
      <c r="K38" s="2">
        <f t="shared" si="1"/>
        <v>7.6105546488584114E-2</v>
      </c>
      <c r="L38" s="2" t="str">
        <f>IF(ISNUMBER(SEARCH("|",IMDB_Movies!$D38)),LEFT(IMDB_Movies!$D38,SEARCH("|",IMDB_Movies!$D38)-1),IMDB_Movies!$D38)</f>
        <v>Action</v>
      </c>
    </row>
    <row r="39" spans="1:12" ht="12.5" x14ac:dyDescent="0.25">
      <c r="A39" s="2" t="s">
        <v>39</v>
      </c>
      <c r="B39" s="2">
        <v>130</v>
      </c>
      <c r="C39" s="2">
        <v>234903076</v>
      </c>
      <c r="D39" s="2" t="s">
        <v>81</v>
      </c>
      <c r="E39" s="2" t="s">
        <v>111</v>
      </c>
      <c r="F39" s="2" t="s">
        <v>14</v>
      </c>
      <c r="G39" s="2" t="s">
        <v>15</v>
      </c>
      <c r="H39" s="2">
        <v>215000000</v>
      </c>
      <c r="I39" s="2">
        <v>6.4</v>
      </c>
      <c r="J39" s="2">
        <f t="shared" si="0"/>
        <v>19903076</v>
      </c>
      <c r="K39" s="2">
        <f t="shared" si="1"/>
        <v>7.5584775303588009E-2</v>
      </c>
      <c r="L39" s="2" t="str">
        <f>IF(ISNUMBER(SEARCH("|",IMDB_Movies!$D39)),LEFT(IMDB_Movies!$D39,SEARCH("|",IMDB_Movies!$D39)-1),IMDB_Movies!$D39)</f>
        <v>Adventure</v>
      </c>
    </row>
    <row r="40" spans="1:12" ht="12.5" x14ac:dyDescent="0.25">
      <c r="A40" s="2" t="s">
        <v>74</v>
      </c>
      <c r="B40" s="2">
        <v>142</v>
      </c>
      <c r="C40" s="2">
        <v>202853933</v>
      </c>
      <c r="D40" s="2" t="s">
        <v>12</v>
      </c>
      <c r="E40" s="2" t="s">
        <v>112</v>
      </c>
      <c r="F40" s="2" t="s">
        <v>14</v>
      </c>
      <c r="G40" s="2" t="s">
        <v>15</v>
      </c>
      <c r="H40" s="2">
        <v>200000000</v>
      </c>
      <c r="I40" s="2">
        <v>6.7</v>
      </c>
      <c r="J40" s="2">
        <f t="shared" si="0"/>
        <v>2853933</v>
      </c>
      <c r="K40" s="2">
        <f t="shared" si="1"/>
        <v>7.5067821143617527E-2</v>
      </c>
      <c r="L40" s="2" t="str">
        <f>IF(ISNUMBER(SEARCH("|",IMDB_Movies!$D40)),LEFT(IMDB_Movies!$D40,SEARCH("|",IMDB_Movies!$D40)-1),IMDB_Movies!$D40)</f>
        <v>Action</v>
      </c>
    </row>
    <row r="41" spans="1:12" ht="12.5" x14ac:dyDescent="0.25">
      <c r="A41" s="2" t="s">
        <v>113</v>
      </c>
      <c r="B41" s="2">
        <v>125</v>
      </c>
      <c r="C41" s="2">
        <v>172051787</v>
      </c>
      <c r="D41" s="2" t="s">
        <v>28</v>
      </c>
      <c r="E41" s="2" t="s">
        <v>114</v>
      </c>
      <c r="F41" s="2" t="s">
        <v>14</v>
      </c>
      <c r="G41" s="2" t="s">
        <v>15</v>
      </c>
      <c r="H41" s="2">
        <v>170000000</v>
      </c>
      <c r="I41" s="2">
        <v>6.8</v>
      </c>
      <c r="J41" s="2">
        <f t="shared" si="0"/>
        <v>2051787</v>
      </c>
      <c r="K41" s="2">
        <f t="shared" si="1"/>
        <v>7.4669774908151493E-2</v>
      </c>
      <c r="L41" s="2" t="str">
        <f>IF(ISNUMBER(SEARCH("|",IMDB_Movies!$D41)),LEFT(IMDB_Movies!$D41,SEARCH("|",IMDB_Movies!$D41)-1),IMDB_Movies!$D41)</f>
        <v>Action</v>
      </c>
    </row>
    <row r="42" spans="1:12" ht="12.5" x14ac:dyDescent="0.25">
      <c r="A42" s="2" t="s">
        <v>115</v>
      </c>
      <c r="B42" s="2">
        <v>106</v>
      </c>
      <c r="C42" s="2">
        <v>191450875</v>
      </c>
      <c r="D42" s="2" t="s">
        <v>116</v>
      </c>
      <c r="E42" s="2" t="s">
        <v>117</v>
      </c>
      <c r="F42" s="2" t="s">
        <v>14</v>
      </c>
      <c r="G42" s="2" t="s">
        <v>15</v>
      </c>
      <c r="H42" s="2">
        <v>200000000</v>
      </c>
      <c r="I42" s="2">
        <v>6.3</v>
      </c>
      <c r="J42" s="2">
        <f t="shared" si="0"/>
        <v>-8549125</v>
      </c>
      <c r="K42" s="2">
        <f t="shared" si="1"/>
        <v>7.4410798878713894E-2</v>
      </c>
      <c r="L42" s="2" t="str">
        <f>IF(ISNUMBER(SEARCH("|",IMDB_Movies!$D42)),LEFT(IMDB_Movies!$D42,SEARCH("|",IMDB_Movies!$D42)-1),IMDB_Movies!$D42)</f>
        <v>Adventure</v>
      </c>
    </row>
    <row r="43" spans="1:12" ht="12.5" x14ac:dyDescent="0.25">
      <c r="A43" s="2" t="s">
        <v>118</v>
      </c>
      <c r="B43" s="2">
        <v>123</v>
      </c>
      <c r="C43" s="2">
        <v>116593191</v>
      </c>
      <c r="D43" s="2" t="s">
        <v>28</v>
      </c>
      <c r="E43" s="2" t="s">
        <v>119</v>
      </c>
      <c r="F43" s="2" t="s">
        <v>14</v>
      </c>
      <c r="G43" s="2" t="s">
        <v>15</v>
      </c>
      <c r="H43" s="2">
        <v>200000000</v>
      </c>
      <c r="I43" s="2">
        <v>5.6</v>
      </c>
      <c r="J43" s="2">
        <f t="shared" si="0"/>
        <v>-83406809</v>
      </c>
      <c r="K43" s="2">
        <f t="shared" si="1"/>
        <v>7.4036737066848698E-2</v>
      </c>
      <c r="L43" s="2" t="str">
        <f>IF(ISNUMBER(SEARCH("|",IMDB_Movies!$D43)),LEFT(IMDB_Movies!$D43,SEARCH("|",IMDB_Movies!$D43)-1),IMDB_Movies!$D43)</f>
        <v>Action</v>
      </c>
    </row>
    <row r="44" spans="1:12" ht="12.5" x14ac:dyDescent="0.25">
      <c r="A44" s="2" t="s">
        <v>120</v>
      </c>
      <c r="B44" s="2">
        <v>103</v>
      </c>
      <c r="C44" s="2">
        <v>414984497</v>
      </c>
      <c r="D44" s="2" t="s">
        <v>106</v>
      </c>
      <c r="E44" s="2" t="s">
        <v>121</v>
      </c>
      <c r="F44" s="2" t="s">
        <v>14</v>
      </c>
      <c r="G44" s="2" t="s">
        <v>15</v>
      </c>
      <c r="H44" s="2">
        <v>200000000</v>
      </c>
      <c r="I44" s="2">
        <v>8.3000000000000007</v>
      </c>
      <c r="J44" s="2">
        <f t="shared" si="0"/>
        <v>214984497</v>
      </c>
      <c r="K44" s="2">
        <f t="shared" si="1"/>
        <v>7.3846152004026888E-2</v>
      </c>
      <c r="L44" s="2" t="str">
        <f>IF(ISNUMBER(SEARCH("|",IMDB_Movies!$D44)),LEFT(IMDB_Movies!$D44,SEARCH("|",IMDB_Movies!$D44)-1),IMDB_Movies!$D44)</f>
        <v>Adventure</v>
      </c>
    </row>
    <row r="45" spans="1:12" ht="12.5" x14ac:dyDescent="0.25">
      <c r="A45" s="2" t="s">
        <v>122</v>
      </c>
      <c r="B45" s="2">
        <v>118</v>
      </c>
      <c r="C45" s="2">
        <v>125320003</v>
      </c>
      <c r="D45" s="2" t="s">
        <v>28</v>
      </c>
      <c r="E45" s="2" t="s">
        <v>123</v>
      </c>
      <c r="F45" s="2" t="s">
        <v>14</v>
      </c>
      <c r="G45" s="2" t="s">
        <v>15</v>
      </c>
      <c r="H45" s="2">
        <v>200000000</v>
      </c>
      <c r="I45" s="2">
        <v>6.6</v>
      </c>
      <c r="J45" s="2">
        <f t="shared" si="0"/>
        <v>-74679997</v>
      </c>
      <c r="K45" s="2">
        <f t="shared" si="1"/>
        <v>7.3090339951487157E-2</v>
      </c>
      <c r="L45" s="2" t="str">
        <f>IF(ISNUMBER(SEARCH("|",IMDB_Movies!$D45)),LEFT(IMDB_Movies!$D45,SEARCH("|",IMDB_Movies!$D45)-1),IMDB_Movies!$D45)</f>
        <v>Action</v>
      </c>
    </row>
    <row r="46" spans="1:12" ht="12.5" x14ac:dyDescent="0.25">
      <c r="A46" s="2" t="s">
        <v>124</v>
      </c>
      <c r="B46" s="2">
        <v>140</v>
      </c>
      <c r="C46" s="2">
        <v>350034110</v>
      </c>
      <c r="D46" s="2" t="s">
        <v>125</v>
      </c>
      <c r="E46" s="2" t="s">
        <v>126</v>
      </c>
      <c r="F46" s="2" t="s">
        <v>14</v>
      </c>
      <c r="G46" s="2" t="s">
        <v>15</v>
      </c>
      <c r="H46" s="2">
        <v>190000000</v>
      </c>
      <c r="I46" s="2">
        <v>7.2</v>
      </c>
      <c r="J46" s="2">
        <f t="shared" si="0"/>
        <v>160034110</v>
      </c>
      <c r="K46" s="2">
        <f t="shared" si="1"/>
        <v>7.2875083451501579E-2</v>
      </c>
      <c r="L46" s="2" t="str">
        <f>IF(ISNUMBER(SEARCH("|",IMDB_Movies!$D46)),LEFT(IMDB_Movies!$D46,SEARCH("|",IMDB_Movies!$D46)-1),IMDB_Movies!$D46)</f>
        <v>Action</v>
      </c>
    </row>
    <row r="47" spans="1:12" ht="12.5" x14ac:dyDescent="0.25">
      <c r="A47" s="2" t="s">
        <v>54</v>
      </c>
      <c r="B47" s="2">
        <v>123</v>
      </c>
      <c r="C47" s="2">
        <v>202351611</v>
      </c>
      <c r="D47" s="2" t="s">
        <v>127</v>
      </c>
      <c r="E47" s="2" t="s">
        <v>128</v>
      </c>
      <c r="F47" s="2" t="s">
        <v>14</v>
      </c>
      <c r="G47" s="2" t="s">
        <v>15</v>
      </c>
      <c r="H47" s="2">
        <v>190000000</v>
      </c>
      <c r="I47" s="2">
        <v>7</v>
      </c>
      <c r="J47" s="2">
        <f t="shared" si="0"/>
        <v>12351611</v>
      </c>
      <c r="K47" s="2">
        <f t="shared" si="1"/>
        <v>7.2255210430582251E-2</v>
      </c>
      <c r="L47" s="2" t="str">
        <f>IF(ISNUMBER(SEARCH("|",IMDB_Movies!$D47)),LEFT(IMDB_Movies!$D47,SEARCH("|",IMDB_Movies!$D47)-1),IMDB_Movies!$D47)</f>
        <v>Action</v>
      </c>
    </row>
    <row r="48" spans="1:12" ht="12.5" x14ac:dyDescent="0.25">
      <c r="A48" s="2" t="s">
        <v>52</v>
      </c>
      <c r="B48" s="2">
        <v>149</v>
      </c>
      <c r="C48" s="2">
        <v>233914986</v>
      </c>
      <c r="D48" s="2" t="s">
        <v>102</v>
      </c>
      <c r="E48" s="2" t="s">
        <v>129</v>
      </c>
      <c r="F48" s="2" t="s">
        <v>14</v>
      </c>
      <c r="G48" s="2" t="s">
        <v>15</v>
      </c>
      <c r="H48" s="2">
        <v>200000000</v>
      </c>
      <c r="I48" s="2">
        <v>8</v>
      </c>
      <c r="J48" s="2">
        <f t="shared" si="0"/>
        <v>33914986</v>
      </c>
      <c r="K48" s="2">
        <f t="shared" si="1"/>
        <v>7.187973349845371E-2</v>
      </c>
      <c r="L48" s="2" t="str">
        <f>IF(ISNUMBER(SEARCH("|",IMDB_Movies!$D48)),LEFT(IMDB_Movies!$D48,SEARCH("|",IMDB_Movies!$D48)-1),IMDB_Movies!$D48)</f>
        <v>Action</v>
      </c>
    </row>
    <row r="49" spans="1:23" ht="12.5" x14ac:dyDescent="0.25">
      <c r="A49" s="2" t="s">
        <v>130</v>
      </c>
      <c r="B49" s="2">
        <v>132</v>
      </c>
      <c r="C49" s="2">
        <v>228756232</v>
      </c>
      <c r="D49" s="2" t="s">
        <v>28</v>
      </c>
      <c r="E49" s="2" t="s">
        <v>131</v>
      </c>
      <c r="F49" s="2" t="s">
        <v>14</v>
      </c>
      <c r="G49" s="2" t="s">
        <v>15</v>
      </c>
      <c r="H49" s="2">
        <v>190000000</v>
      </c>
      <c r="I49" s="2">
        <v>7.8</v>
      </c>
      <c r="J49" s="2">
        <f t="shared" si="0"/>
        <v>38756232</v>
      </c>
      <c r="K49" s="2">
        <f t="shared" si="1"/>
        <v>7.1405361470236961E-2</v>
      </c>
      <c r="L49" s="2" t="str">
        <f>IF(ISNUMBER(SEARCH("|",IMDB_Movies!$D49)),LEFT(IMDB_Movies!$D49,SEARCH("|",IMDB_Movies!$D49)-1),IMDB_Movies!$D49)</f>
        <v>Action</v>
      </c>
    </row>
    <row r="50" spans="1:23" ht="12.5" x14ac:dyDescent="0.25">
      <c r="A50" s="2" t="s">
        <v>52</v>
      </c>
      <c r="B50" s="2">
        <v>114</v>
      </c>
      <c r="C50" s="2">
        <v>65171860</v>
      </c>
      <c r="D50" s="2" t="s">
        <v>71</v>
      </c>
      <c r="E50" s="2" t="s">
        <v>132</v>
      </c>
      <c r="F50" s="2" t="s">
        <v>14</v>
      </c>
      <c r="G50" s="2" t="s">
        <v>15</v>
      </c>
      <c r="H50" s="2">
        <v>195000000</v>
      </c>
      <c r="I50" s="2">
        <v>6.3</v>
      </c>
      <c r="J50" s="2">
        <f t="shared" si="0"/>
        <v>-129828140</v>
      </c>
      <c r="K50" s="2">
        <f t="shared" si="1"/>
        <v>7.0975101269520544E-2</v>
      </c>
      <c r="L50" s="2" t="str">
        <f>IF(ISNUMBER(SEARCH("|",IMDB_Movies!$D50)),LEFT(IMDB_Movies!$D50,SEARCH("|",IMDB_Movies!$D50)-1),IMDB_Movies!$D50)</f>
        <v>Adventure</v>
      </c>
    </row>
    <row r="51" spans="1:23" ht="12.5" x14ac:dyDescent="0.25">
      <c r="A51" s="2" t="s">
        <v>133</v>
      </c>
      <c r="B51" s="2">
        <v>143</v>
      </c>
      <c r="C51" s="2">
        <v>144812796</v>
      </c>
      <c r="D51" s="2" t="s">
        <v>85</v>
      </c>
      <c r="E51" s="2" t="s">
        <v>134</v>
      </c>
      <c r="F51" s="2" t="s">
        <v>14</v>
      </c>
      <c r="G51" s="2" t="s">
        <v>135</v>
      </c>
      <c r="H51" s="2">
        <v>105000000</v>
      </c>
      <c r="I51" s="2">
        <v>7.3</v>
      </c>
      <c r="J51" s="2">
        <f t="shared" si="0"/>
        <v>39812796</v>
      </c>
      <c r="K51" s="2">
        <f t="shared" si="1"/>
        <v>7.0927185906185908E-2</v>
      </c>
      <c r="L51" s="2" t="str">
        <f>IF(ISNUMBER(SEARCH("|",IMDB_Movies!$D51)),LEFT(IMDB_Movies!$D51,SEARCH("|",IMDB_Movies!$D51)-1),IMDB_Movies!$D51)</f>
        <v>Drama</v>
      </c>
    </row>
    <row r="52" spans="1:23" ht="12.5" x14ac:dyDescent="0.25">
      <c r="A52" s="2" t="s">
        <v>136</v>
      </c>
      <c r="B52" s="2">
        <v>116</v>
      </c>
      <c r="C52" s="2">
        <v>90755643</v>
      </c>
      <c r="D52" s="2" t="s">
        <v>95</v>
      </c>
      <c r="E52" s="2" t="s">
        <v>137</v>
      </c>
      <c r="F52" s="2" t="s">
        <v>14</v>
      </c>
      <c r="G52" s="2" t="s">
        <v>15</v>
      </c>
      <c r="H52" s="2">
        <v>200000000</v>
      </c>
      <c r="I52" s="2">
        <v>6.6</v>
      </c>
      <c r="J52" s="2">
        <f t="shared" si="0"/>
        <v>-109244357</v>
      </c>
      <c r="K52" s="2">
        <f t="shared" si="1"/>
        <v>7.0833828191539897E-2</v>
      </c>
      <c r="L52" s="2" t="str">
        <f>IF(ISNUMBER(SEARCH("|",IMDB_Movies!$D52)),LEFT(IMDB_Movies!$D52,SEARCH("|",IMDB_Movies!$D52)-1),IMDB_Movies!$D52)</f>
        <v>Action</v>
      </c>
    </row>
    <row r="53" spans="1:23" ht="12.5" x14ac:dyDescent="0.25">
      <c r="A53" s="2" t="s">
        <v>138</v>
      </c>
      <c r="B53" s="2">
        <v>131</v>
      </c>
      <c r="C53" s="2">
        <v>101785482</v>
      </c>
      <c r="D53" s="2" t="s">
        <v>28</v>
      </c>
      <c r="E53" s="2" t="s">
        <v>139</v>
      </c>
      <c r="F53" s="2" t="s">
        <v>14</v>
      </c>
      <c r="G53" s="2" t="s">
        <v>15</v>
      </c>
      <c r="H53" s="2">
        <v>190000000</v>
      </c>
      <c r="I53" s="2">
        <v>7</v>
      </c>
      <c r="J53" s="2">
        <f t="shared" si="0"/>
        <v>-88214518</v>
      </c>
      <c r="K53" s="2">
        <f t="shared" si="1"/>
        <v>7.0710199911962798E-2</v>
      </c>
      <c r="L53" s="2" t="str">
        <f>IF(ISNUMBER(SEARCH("|",IMDB_Movies!$D53)),LEFT(IMDB_Movies!$D53,SEARCH("|",IMDB_Movies!$D53)-1),IMDB_Movies!$D53)</f>
        <v>Action</v>
      </c>
    </row>
    <row r="54" spans="1:23" ht="12.5" x14ac:dyDescent="0.25">
      <c r="A54" s="2" t="s">
        <v>108</v>
      </c>
      <c r="B54" s="2">
        <v>154</v>
      </c>
      <c r="C54" s="2">
        <v>352358779</v>
      </c>
      <c r="D54" s="2" t="s">
        <v>28</v>
      </c>
      <c r="E54" s="2" t="s">
        <v>140</v>
      </c>
      <c r="F54" s="2" t="s">
        <v>14</v>
      </c>
      <c r="G54" s="2" t="s">
        <v>15</v>
      </c>
      <c r="H54" s="2">
        <v>195000000</v>
      </c>
      <c r="I54" s="2">
        <v>6.3</v>
      </c>
      <c r="J54" s="2">
        <f t="shared" si="0"/>
        <v>157358779</v>
      </c>
      <c r="K54" s="2">
        <f t="shared" si="1"/>
        <v>7.0565540783954467E-2</v>
      </c>
      <c r="L54" s="2" t="str">
        <f>IF(ISNUMBER(SEARCH("|",IMDB_Movies!$D54)),LEFT(IMDB_Movies!$D54,SEARCH("|",IMDB_Movies!$D54)-1),IMDB_Movies!$D54)</f>
        <v>Action</v>
      </c>
    </row>
    <row r="55" spans="1:23" ht="12.5" x14ac:dyDescent="0.25">
      <c r="A55" s="2" t="s">
        <v>141</v>
      </c>
      <c r="B55" s="2">
        <v>122</v>
      </c>
      <c r="C55" s="2">
        <v>317011114</v>
      </c>
      <c r="D55" s="2" t="s">
        <v>17</v>
      </c>
      <c r="E55" s="2" t="s">
        <v>142</v>
      </c>
      <c r="F55" s="2" t="s">
        <v>14</v>
      </c>
      <c r="G55" s="2" t="s">
        <v>15</v>
      </c>
      <c r="H55" s="2">
        <v>185000000</v>
      </c>
      <c r="I55" s="2">
        <v>6.2</v>
      </c>
      <c r="J55" s="2">
        <f t="shared" si="0"/>
        <v>132011114</v>
      </c>
      <c r="K55" s="2">
        <f t="shared" si="1"/>
        <v>6.9900176153064111E-2</v>
      </c>
      <c r="L55" s="2" t="str">
        <f>IF(ISNUMBER(SEARCH("|",IMDB_Movies!$D55)),LEFT(IMDB_Movies!$D55,SEARCH("|",IMDB_Movies!$D55)-1),IMDB_Movies!$D55)</f>
        <v>Action</v>
      </c>
    </row>
    <row r="56" spans="1:23" ht="12.5" x14ac:dyDescent="0.25">
      <c r="A56" s="2" t="s">
        <v>143</v>
      </c>
      <c r="B56" s="2">
        <v>93</v>
      </c>
      <c r="C56" s="2">
        <v>237282182</v>
      </c>
      <c r="D56" s="2" t="s">
        <v>106</v>
      </c>
      <c r="E56" s="2" t="s">
        <v>144</v>
      </c>
      <c r="F56" s="2" t="s">
        <v>14</v>
      </c>
      <c r="G56" s="2" t="s">
        <v>15</v>
      </c>
      <c r="H56" s="2">
        <v>185000000</v>
      </c>
      <c r="I56" s="2">
        <v>7.2</v>
      </c>
      <c r="J56" s="2">
        <f t="shared" si="0"/>
        <v>52282182</v>
      </c>
      <c r="K56" s="2">
        <f t="shared" si="1"/>
        <v>6.933703060675403E-2</v>
      </c>
      <c r="L56" s="2" t="str">
        <f>IF(ISNUMBER(SEARCH("|",IMDB_Movies!$D56)),LEFT(IMDB_Movies!$D56,SEARCH("|",IMDB_Movies!$D56)-1),IMDB_Movies!$D56)</f>
        <v>Adventure</v>
      </c>
    </row>
    <row r="57" spans="1:23" ht="18" x14ac:dyDescent="0.4">
      <c r="A57" s="2" t="s">
        <v>145</v>
      </c>
      <c r="B57" s="2">
        <v>122</v>
      </c>
      <c r="C57" s="2">
        <v>130468626</v>
      </c>
      <c r="D57" s="2" t="s">
        <v>90</v>
      </c>
      <c r="E57" s="2" t="s">
        <v>146</v>
      </c>
      <c r="F57" s="2" t="s">
        <v>14</v>
      </c>
      <c r="G57" s="2" t="s">
        <v>15</v>
      </c>
      <c r="H57" s="2">
        <v>185000000</v>
      </c>
      <c r="I57" s="2">
        <v>7.5</v>
      </c>
      <c r="J57" s="2">
        <f t="shared" si="0"/>
        <v>-54531374</v>
      </c>
      <c r="K57" s="2">
        <f t="shared" si="1"/>
        <v>6.8901536406530767E-2</v>
      </c>
      <c r="L57" s="2" t="str">
        <f>IF(ISNUMBER(SEARCH("|",IMDB_Movies!$D57)),LEFT(IMDB_Movies!$D57,SEARCH("|",IMDB_Movies!$D57)-1),IMDB_Movies!$D57)</f>
        <v>Action</v>
      </c>
      <c r="N57" s="13"/>
      <c r="S57" s="4"/>
    </row>
    <row r="58" spans="1:23" ht="18" x14ac:dyDescent="0.4">
      <c r="A58" s="2" t="s">
        <v>27</v>
      </c>
      <c r="B58" s="2">
        <v>98</v>
      </c>
      <c r="C58" s="2">
        <v>223806889</v>
      </c>
      <c r="D58" s="2" t="s">
        <v>148</v>
      </c>
      <c r="E58" s="2" t="s">
        <v>149</v>
      </c>
      <c r="F58" s="2" t="s">
        <v>14</v>
      </c>
      <c r="G58" s="2" t="s">
        <v>15</v>
      </c>
      <c r="H58" s="2">
        <v>180000000</v>
      </c>
      <c r="I58" s="2">
        <v>8.4</v>
      </c>
      <c r="J58" s="2">
        <f t="shared" si="0"/>
        <v>43806889</v>
      </c>
      <c r="K58" s="2">
        <f t="shared" si="1"/>
        <v>6.8689791517992288E-2</v>
      </c>
      <c r="L58" s="2" t="str">
        <f>IF(ISNUMBER(SEARCH("|",IMDB_Movies!$D58)),LEFT(IMDB_Movies!$D58,SEARCH("|",IMDB_Movies!$D58)-1),IMDB_Movies!$D58)</f>
        <v>Adventure</v>
      </c>
      <c r="S58" s="3"/>
    </row>
    <row r="59" spans="1:23" ht="13" x14ac:dyDescent="0.3">
      <c r="A59" s="2" t="s">
        <v>101</v>
      </c>
      <c r="B59" s="2">
        <v>91</v>
      </c>
      <c r="C59" s="2">
        <v>140080850</v>
      </c>
      <c r="D59" s="2" t="s">
        <v>150</v>
      </c>
      <c r="E59" s="2" t="s">
        <v>151</v>
      </c>
      <c r="F59" s="2" t="s">
        <v>14</v>
      </c>
      <c r="G59" s="2" t="s">
        <v>15</v>
      </c>
      <c r="H59" s="2">
        <v>140000000</v>
      </c>
      <c r="I59" s="2">
        <v>6.2</v>
      </c>
      <c r="J59" s="2">
        <f t="shared" si="0"/>
        <v>80850</v>
      </c>
      <c r="K59" s="2">
        <f t="shared" si="1"/>
        <v>6.8294772168220289E-2</v>
      </c>
      <c r="L59" s="2" t="str">
        <f>IF(ISNUMBER(SEARCH("|",IMDB_Movies!$D59)),LEFT(IMDB_Movies!$D59,SEARCH("|",IMDB_Movies!$D59)-1),IMDB_Movies!$D59)</f>
        <v>Action</v>
      </c>
      <c r="N59" s="1"/>
      <c r="O59" s="1"/>
      <c r="V59" s="5"/>
      <c r="W59" s="5"/>
    </row>
    <row r="60" spans="1:23" ht="14.5" x14ac:dyDescent="0.35">
      <c r="A60" s="2" t="s">
        <v>155</v>
      </c>
      <c r="B60" s="2">
        <v>158</v>
      </c>
      <c r="C60" s="2">
        <v>166112167</v>
      </c>
      <c r="D60" s="2" t="s">
        <v>28</v>
      </c>
      <c r="E60" s="2" t="s">
        <v>156</v>
      </c>
      <c r="F60" s="2" t="s">
        <v>14</v>
      </c>
      <c r="G60" s="2" t="s">
        <v>15</v>
      </c>
      <c r="H60" s="2">
        <v>200000000</v>
      </c>
      <c r="I60" s="2">
        <v>5.8</v>
      </c>
      <c r="J60" s="2">
        <f t="shared" si="0"/>
        <v>-33887833</v>
      </c>
      <c r="K60" s="2">
        <f t="shared" si="1"/>
        <v>6.8139738966592506E-2</v>
      </c>
      <c r="L60" s="2" t="str">
        <f>IF(ISNUMBER(SEARCH("|",IMDB_Movies!$D60)),LEFT(IMDB_Movies!$D60,SEARCH("|",IMDB_Movies!$D60)-1),IMDB_Movies!$D60)</f>
        <v>Action</v>
      </c>
      <c r="N60" s="1"/>
      <c r="O60" s="2"/>
      <c r="S60" s="6"/>
      <c r="T60" s="6"/>
      <c r="V60" s="2"/>
      <c r="W60" s="2"/>
    </row>
    <row r="61" spans="1:23" ht="14.5" x14ac:dyDescent="0.35">
      <c r="A61" s="2" t="s">
        <v>160</v>
      </c>
      <c r="B61" s="2">
        <v>96</v>
      </c>
      <c r="C61" s="2">
        <v>137850096</v>
      </c>
      <c r="D61" s="2" t="s">
        <v>161</v>
      </c>
      <c r="E61" s="2" t="s">
        <v>162</v>
      </c>
      <c r="F61" s="2" t="s">
        <v>14</v>
      </c>
      <c r="G61" s="2" t="s">
        <v>15</v>
      </c>
      <c r="H61" s="2">
        <v>200000000</v>
      </c>
      <c r="I61" s="2">
        <v>6.8</v>
      </c>
      <c r="J61" s="2">
        <f t="shared" si="0"/>
        <v>-62149904</v>
      </c>
      <c r="K61" s="2">
        <f t="shared" si="1"/>
        <v>6.7811030206618439E-2</v>
      </c>
      <c r="L61" s="2" t="str">
        <f>IF(ISNUMBER(SEARCH("|",IMDB_Movies!$D61)),LEFT(IMDB_Movies!$D61,SEARCH("|",IMDB_Movies!$D61)-1),IMDB_Movies!$D61)</f>
        <v>Animation</v>
      </c>
      <c r="N61" s="1"/>
      <c r="O61" s="2"/>
      <c r="S61" s="6"/>
      <c r="T61" s="7"/>
      <c r="V61" s="2"/>
      <c r="W61" s="2"/>
    </row>
    <row r="62" spans="1:23" ht="14.5" x14ac:dyDescent="0.35">
      <c r="A62" s="2" t="s">
        <v>165</v>
      </c>
      <c r="B62" s="2">
        <v>127</v>
      </c>
      <c r="C62" s="2">
        <v>47375327</v>
      </c>
      <c r="D62" s="2" t="s">
        <v>28</v>
      </c>
      <c r="E62" s="2" t="s">
        <v>166</v>
      </c>
      <c r="F62" s="2" t="s">
        <v>14</v>
      </c>
      <c r="G62" s="2" t="s">
        <v>15</v>
      </c>
      <c r="H62" s="2">
        <v>176000000</v>
      </c>
      <c r="I62" s="2">
        <v>5.4</v>
      </c>
      <c r="J62" s="2">
        <f t="shared" si="0"/>
        <v>-128624673</v>
      </c>
      <c r="K62" s="2">
        <f t="shared" si="1"/>
        <v>6.7554520164113577E-2</v>
      </c>
      <c r="L62" s="2" t="str">
        <f>IF(ISNUMBER(SEARCH("|",IMDB_Movies!$D62)),LEFT(IMDB_Movies!$D62,SEARCH("|",IMDB_Movies!$D62)-1),IMDB_Movies!$D62)</f>
        <v>Action</v>
      </c>
      <c r="N62" s="1"/>
      <c r="O62" s="2"/>
      <c r="S62" s="6"/>
      <c r="T62" s="7"/>
      <c r="V62" s="2"/>
      <c r="W62" s="2"/>
    </row>
    <row r="63" spans="1:23" ht="14.5" x14ac:dyDescent="0.35">
      <c r="A63" s="2" t="s">
        <v>47</v>
      </c>
      <c r="B63" s="2">
        <v>110</v>
      </c>
      <c r="C63" s="2">
        <v>124051759</v>
      </c>
      <c r="D63" s="2" t="s">
        <v>83</v>
      </c>
      <c r="E63" s="2" t="s">
        <v>169</v>
      </c>
      <c r="F63" s="2" t="s">
        <v>14</v>
      </c>
      <c r="G63" s="2" t="s">
        <v>15</v>
      </c>
      <c r="H63" s="2">
        <v>180000000</v>
      </c>
      <c r="I63" s="2">
        <v>6.6</v>
      </c>
      <c r="J63" s="2">
        <f t="shared" si="0"/>
        <v>-55948241</v>
      </c>
      <c r="K63" s="2">
        <f t="shared" si="1"/>
        <v>6.7556173954924068E-2</v>
      </c>
      <c r="L63" s="2" t="str">
        <f>IF(ISNUMBER(SEARCH("|",IMDB_Movies!$D63)),LEFT(IMDB_Movies!$D63,SEARCH("|",IMDB_Movies!$D63)-1),IMDB_Movies!$D63)</f>
        <v>Action</v>
      </c>
      <c r="N63" s="1"/>
      <c r="O63" s="2"/>
      <c r="S63" s="6"/>
      <c r="T63" s="7"/>
      <c r="V63" s="2"/>
      <c r="W63" s="2"/>
    </row>
    <row r="64" spans="1:23" ht="14.5" x14ac:dyDescent="0.35">
      <c r="A64" s="2" t="s">
        <v>61</v>
      </c>
      <c r="B64" s="2">
        <v>150</v>
      </c>
      <c r="C64" s="2">
        <v>291709845</v>
      </c>
      <c r="D64" s="2" t="s">
        <v>81</v>
      </c>
      <c r="E64" s="2" t="s">
        <v>172</v>
      </c>
      <c r="F64" s="2" t="s">
        <v>14</v>
      </c>
      <c r="G64" s="2" t="s">
        <v>15</v>
      </c>
      <c r="H64" s="2">
        <v>180000000</v>
      </c>
      <c r="I64" s="2">
        <v>6.9</v>
      </c>
      <c r="J64" s="2">
        <f t="shared" si="0"/>
        <v>111709845</v>
      </c>
      <c r="K64" s="2">
        <f t="shared" si="1"/>
        <v>6.7365480673128864E-2</v>
      </c>
      <c r="L64" s="2" t="str">
        <f>IF(ISNUMBER(SEARCH("|",IMDB_Movies!$D64)),LEFT(IMDB_Movies!$D64,SEARCH("|",IMDB_Movies!$D64)-1),IMDB_Movies!$D64)</f>
        <v>Adventure</v>
      </c>
      <c r="N64" s="1"/>
      <c r="O64" s="2"/>
      <c r="S64" s="6"/>
      <c r="T64" s="7"/>
      <c r="V64" s="2"/>
      <c r="W64" s="2"/>
    </row>
    <row r="65" spans="1:23" ht="14.5" x14ac:dyDescent="0.35">
      <c r="A65" s="2" t="s">
        <v>52</v>
      </c>
      <c r="B65" s="2">
        <v>144</v>
      </c>
      <c r="C65" s="2">
        <v>154985087</v>
      </c>
      <c r="D65" s="2" t="s">
        <v>28</v>
      </c>
      <c r="E65" s="2" t="s">
        <v>175</v>
      </c>
      <c r="F65" s="2" t="s">
        <v>14</v>
      </c>
      <c r="G65" s="2" t="s">
        <v>15</v>
      </c>
      <c r="H65" s="2">
        <v>178000000</v>
      </c>
      <c r="I65" s="2">
        <v>7.3</v>
      </c>
      <c r="J65" s="2">
        <f t="shared" si="0"/>
        <v>-23014913</v>
      </c>
      <c r="K65" s="2">
        <f t="shared" si="1"/>
        <v>6.6853224797725153E-2</v>
      </c>
      <c r="L65" s="2" t="str">
        <f>IF(ISNUMBER(SEARCH("|",IMDB_Movies!$D65)),LEFT(IMDB_Movies!$D65,SEARCH("|",IMDB_Movies!$D65)-1),IMDB_Movies!$D65)</f>
        <v>Action</v>
      </c>
      <c r="S65" s="6"/>
      <c r="T65" s="7"/>
      <c r="V65" s="2"/>
      <c r="W65" s="2"/>
    </row>
    <row r="66" spans="1:23" ht="14.5" x14ac:dyDescent="0.35">
      <c r="A66" s="2" t="s">
        <v>24</v>
      </c>
      <c r="B66" s="2">
        <v>152</v>
      </c>
      <c r="C66" s="2">
        <v>533316061</v>
      </c>
      <c r="D66" s="2" t="s">
        <v>177</v>
      </c>
      <c r="E66" s="2" t="s">
        <v>178</v>
      </c>
      <c r="F66" s="2" t="s">
        <v>14</v>
      </c>
      <c r="G66" s="2" t="s">
        <v>15</v>
      </c>
      <c r="H66" s="2">
        <v>185000000</v>
      </c>
      <c r="I66" s="2">
        <v>9</v>
      </c>
      <c r="J66" s="2">
        <f t="shared" si="0"/>
        <v>348316061</v>
      </c>
      <c r="K66" s="2">
        <f t="shared" si="1"/>
        <v>6.6595907953272193E-2</v>
      </c>
      <c r="L66" s="2" t="str">
        <f>IF(ISNUMBER(SEARCH("|",IMDB_Movies!$D66)),LEFT(IMDB_Movies!$D66,SEARCH("|",IMDB_Movies!$D66)-1),IMDB_Movies!$D66)</f>
        <v>Action</v>
      </c>
      <c r="S66" s="6"/>
      <c r="T66" s="7"/>
      <c r="V66" s="2"/>
      <c r="W66" s="2"/>
    </row>
    <row r="67" spans="1:23" ht="14.5" x14ac:dyDescent="0.35">
      <c r="A67" s="2" t="s">
        <v>180</v>
      </c>
      <c r="B67" s="2">
        <v>96</v>
      </c>
      <c r="C67" s="2">
        <v>292979556</v>
      </c>
      <c r="D67" s="2" t="s">
        <v>181</v>
      </c>
      <c r="E67" s="2" t="s">
        <v>182</v>
      </c>
      <c r="F67" s="2" t="s">
        <v>14</v>
      </c>
      <c r="G67" s="2" t="s">
        <v>15</v>
      </c>
      <c r="H67" s="2">
        <v>175000000</v>
      </c>
      <c r="I67" s="2">
        <v>8.3000000000000007</v>
      </c>
      <c r="J67" s="2">
        <f t="shared" si="0"/>
        <v>117979556</v>
      </c>
      <c r="K67" s="2">
        <f t="shared" si="1"/>
        <v>6.580597379079145E-2</v>
      </c>
      <c r="L67" s="2" t="str">
        <f>IF(ISNUMBER(SEARCH("|",IMDB_Movies!$D67)),LEFT(IMDB_Movies!$D67,SEARCH("|",IMDB_Movies!$D67)-1),IMDB_Movies!$D67)</f>
        <v>Adventure</v>
      </c>
      <c r="S67" s="6"/>
      <c r="T67" s="7"/>
      <c r="V67" s="2"/>
      <c r="W67" s="2"/>
    </row>
    <row r="68" spans="1:23" ht="18" x14ac:dyDescent="0.4">
      <c r="A68" s="2" t="s">
        <v>184</v>
      </c>
      <c r="B68" s="2">
        <v>94</v>
      </c>
      <c r="C68" s="2">
        <v>198332128</v>
      </c>
      <c r="D68" s="2" t="s">
        <v>185</v>
      </c>
      <c r="E68" s="2" t="s">
        <v>186</v>
      </c>
      <c r="F68" s="2" t="s">
        <v>14</v>
      </c>
      <c r="G68" s="2" t="s">
        <v>15</v>
      </c>
      <c r="H68" s="2">
        <v>175000000</v>
      </c>
      <c r="I68" s="2">
        <v>6.5</v>
      </c>
      <c r="J68" s="2">
        <f t="shared" si="0"/>
        <v>23332128</v>
      </c>
      <c r="K68" s="2">
        <f t="shared" si="1"/>
        <v>6.5307219893192658E-2</v>
      </c>
      <c r="L68" s="2" t="str">
        <f>IF(ISNUMBER(SEARCH("|",IMDB_Movies!$D68)),LEFT(IMDB_Movies!$D68,SEARCH("|",IMDB_Movies!$D68)-1),IMDB_Movies!$D68)</f>
        <v>Action</v>
      </c>
      <c r="N68" s="3"/>
      <c r="S68" s="6"/>
      <c r="T68" s="7"/>
      <c r="V68" s="2"/>
      <c r="W68" s="2"/>
    </row>
    <row r="69" spans="1:23" ht="14.5" x14ac:dyDescent="0.35">
      <c r="A69" s="2" t="s">
        <v>188</v>
      </c>
      <c r="B69" s="2">
        <v>126</v>
      </c>
      <c r="C69" s="2">
        <v>318298180</v>
      </c>
      <c r="D69" s="2" t="s">
        <v>28</v>
      </c>
      <c r="E69" s="2" t="s">
        <v>189</v>
      </c>
      <c r="F69" s="2" t="s">
        <v>14</v>
      </c>
      <c r="G69" s="2" t="s">
        <v>15</v>
      </c>
      <c r="H69" s="2">
        <v>140000000</v>
      </c>
      <c r="I69" s="2">
        <v>7.9</v>
      </c>
      <c r="J69" s="2">
        <f t="shared" si="0"/>
        <v>178298180</v>
      </c>
      <c r="K69" s="2">
        <f t="shared" si="1"/>
        <v>6.4964876022471904E-2</v>
      </c>
      <c r="L69" s="2" t="str">
        <f>IF(ISNUMBER(SEARCH("|",IMDB_Movies!$D69)),LEFT(IMDB_Movies!$D69,SEARCH("|",IMDB_Movies!$D69)-1),IMDB_Movies!$D69)</f>
        <v>Action</v>
      </c>
      <c r="S69" s="6"/>
      <c r="T69" s="7"/>
      <c r="V69" s="2"/>
      <c r="W69" s="2"/>
    </row>
    <row r="70" spans="1:23" ht="14.5" x14ac:dyDescent="0.35">
      <c r="A70" s="2" t="s">
        <v>191</v>
      </c>
      <c r="B70" s="2">
        <v>126</v>
      </c>
      <c r="C70" s="2">
        <v>73820094</v>
      </c>
      <c r="D70" s="2" t="s">
        <v>192</v>
      </c>
      <c r="E70" s="2" t="s">
        <v>193</v>
      </c>
      <c r="F70" s="2" t="s">
        <v>14</v>
      </c>
      <c r="G70" s="2" t="s">
        <v>15</v>
      </c>
      <c r="H70" s="2">
        <v>170000000</v>
      </c>
      <c r="I70" s="2">
        <v>7.5</v>
      </c>
      <c r="J70" s="2">
        <f t="shared" si="0"/>
        <v>-96179906</v>
      </c>
      <c r="K70" s="2">
        <f t="shared" si="1"/>
        <v>6.4615540381697034E-2</v>
      </c>
      <c r="L70" s="2" t="str">
        <f>IF(ISNUMBER(SEARCH("|",IMDB_Movies!$D70)),LEFT(IMDB_Movies!$D70,SEARCH("|",IMDB_Movies!$D70)-1),IMDB_Movies!$D70)</f>
        <v>Adventure</v>
      </c>
      <c r="S70" s="6"/>
      <c r="T70" s="7"/>
      <c r="V70" s="2"/>
      <c r="W70" s="2"/>
    </row>
    <row r="71" spans="1:23" ht="12.5" x14ac:dyDescent="0.25">
      <c r="A71" s="2" t="s">
        <v>67</v>
      </c>
      <c r="B71" s="2">
        <v>106</v>
      </c>
      <c r="C71" s="2">
        <v>113745408</v>
      </c>
      <c r="D71" s="2" t="s">
        <v>195</v>
      </c>
      <c r="E71" s="2" t="s">
        <v>196</v>
      </c>
      <c r="F71" s="2" t="s">
        <v>14</v>
      </c>
      <c r="G71" s="2" t="s">
        <v>15</v>
      </c>
      <c r="H71" s="2">
        <v>170000000</v>
      </c>
      <c r="I71" s="2">
        <v>4.8</v>
      </c>
      <c r="J71" s="2">
        <f t="shared" si="0"/>
        <v>-56254592</v>
      </c>
      <c r="K71" s="2">
        <f t="shared" si="1"/>
        <v>6.4549997230936532E-2</v>
      </c>
      <c r="L71" s="2" t="str">
        <f>IF(ISNUMBER(SEARCH("|",IMDB_Movies!$D71)),LEFT(IMDB_Movies!$D71,SEARCH("|",IMDB_Movies!$D71)-1),IMDB_Movies!$D71)</f>
        <v>Action</v>
      </c>
      <c r="V71" s="2"/>
      <c r="W71" s="2"/>
    </row>
    <row r="72" spans="1:23" ht="12.5" x14ac:dyDescent="0.25">
      <c r="A72" s="2" t="s">
        <v>197</v>
      </c>
      <c r="B72" s="2">
        <v>112</v>
      </c>
      <c r="C72" s="2">
        <v>102176165</v>
      </c>
      <c r="D72" s="2" t="s">
        <v>198</v>
      </c>
      <c r="E72" s="2" t="s">
        <v>199</v>
      </c>
      <c r="F72" s="2" t="s">
        <v>14</v>
      </c>
      <c r="G72" s="2" t="s">
        <v>15</v>
      </c>
      <c r="H72" s="2">
        <v>145000000</v>
      </c>
      <c r="I72" s="2">
        <v>5.2</v>
      </c>
      <c r="J72" s="2">
        <f t="shared" si="0"/>
        <v>-42823835</v>
      </c>
      <c r="K72" s="2">
        <f t="shared" si="1"/>
        <v>6.4391537028590601E-2</v>
      </c>
      <c r="L72" s="2" t="str">
        <f>IF(ISNUMBER(SEARCH("|",IMDB_Movies!$D72)),LEFT(IMDB_Movies!$D72,SEARCH("|",IMDB_Movies!$D72)-1),IMDB_Movies!$D72)</f>
        <v>Action</v>
      </c>
      <c r="V72" s="2"/>
      <c r="W72" s="2"/>
    </row>
    <row r="73" spans="1:23" ht="12.5" x14ac:dyDescent="0.25">
      <c r="A73" s="2" t="s">
        <v>200</v>
      </c>
      <c r="B73" s="2">
        <v>123</v>
      </c>
      <c r="C73" s="2">
        <v>161087183</v>
      </c>
      <c r="D73" s="2" t="s">
        <v>201</v>
      </c>
      <c r="E73" s="2" t="s">
        <v>202</v>
      </c>
      <c r="F73" s="2" t="s">
        <v>14</v>
      </c>
      <c r="G73" s="2" t="s">
        <v>15</v>
      </c>
      <c r="H73" s="2">
        <v>175000000</v>
      </c>
      <c r="I73" s="2">
        <v>6.9</v>
      </c>
      <c r="J73" s="2">
        <f t="shared" si="0"/>
        <v>-13912817</v>
      </c>
      <c r="K73" s="2">
        <f t="shared" si="1"/>
        <v>6.4285925309680567E-2</v>
      </c>
      <c r="L73" s="2" t="str">
        <f>IF(ISNUMBER(SEARCH("|",IMDB_Movies!$D73)),LEFT(IMDB_Movies!$D73,SEARCH("|",IMDB_Movies!$D73)-1),IMDB_Movies!$D73)</f>
        <v>Action</v>
      </c>
      <c r="V73" s="2"/>
      <c r="W73" s="2"/>
    </row>
    <row r="74" spans="1:23" ht="13" x14ac:dyDescent="0.3">
      <c r="A74" s="2" t="s">
        <v>203</v>
      </c>
      <c r="B74" s="2">
        <v>96</v>
      </c>
      <c r="C74" s="2">
        <v>100289690</v>
      </c>
      <c r="D74" s="2" t="s">
        <v>204</v>
      </c>
      <c r="E74" s="2" t="s">
        <v>205</v>
      </c>
      <c r="F74" s="2" t="s">
        <v>14</v>
      </c>
      <c r="G74" s="2" t="s">
        <v>15</v>
      </c>
      <c r="H74" s="2">
        <v>175000000</v>
      </c>
      <c r="I74" s="2">
        <v>5.4</v>
      </c>
      <c r="J74" s="2">
        <f t="shared" si="0"/>
        <v>-74710310</v>
      </c>
      <c r="K74" s="2">
        <f t="shared" si="1"/>
        <v>6.4015680799740987E-2</v>
      </c>
      <c r="L74" s="2" t="str">
        <f>IF(ISNUMBER(SEARCH("|",IMDB_Movies!$D74)),LEFT(IMDB_Movies!$D74,SEARCH("|",IMDB_Movies!$D74)-1),IMDB_Movies!$D74)</f>
        <v>Comedy</v>
      </c>
      <c r="S74" s="1"/>
      <c r="V74" s="2"/>
      <c r="W74" s="2"/>
    </row>
    <row r="75" spans="1:23" ht="12.5" x14ac:dyDescent="0.25">
      <c r="A75" s="2" t="s">
        <v>206</v>
      </c>
      <c r="B75" s="2">
        <v>113</v>
      </c>
      <c r="C75" s="2">
        <v>100189501</v>
      </c>
      <c r="D75" s="2" t="s">
        <v>28</v>
      </c>
      <c r="E75" s="2" t="s">
        <v>207</v>
      </c>
      <c r="F75" s="2" t="s">
        <v>14</v>
      </c>
      <c r="G75" s="2" t="s">
        <v>15</v>
      </c>
      <c r="H75" s="2">
        <v>178000000</v>
      </c>
      <c r="I75" s="2">
        <v>7.9</v>
      </c>
      <c r="J75" s="2">
        <f t="shared" si="0"/>
        <v>-77810499</v>
      </c>
      <c r="K75" s="2">
        <f t="shared" si="1"/>
        <v>6.3882043860086182E-2</v>
      </c>
      <c r="L75" s="2" t="str">
        <f>IF(ISNUMBER(SEARCH("|",IMDB_Movies!$D75)),LEFT(IMDB_Movies!$D75,SEARCH("|",IMDB_Movies!$D75)-1),IMDB_Movies!$D75)</f>
        <v>Action</v>
      </c>
      <c r="V75" s="2"/>
      <c r="W75" s="2"/>
    </row>
    <row r="76" spans="1:23" ht="14.5" x14ac:dyDescent="0.35">
      <c r="A76" s="2" t="s">
        <v>208</v>
      </c>
      <c r="B76" s="2">
        <v>176</v>
      </c>
      <c r="C76" s="2">
        <v>88246220</v>
      </c>
      <c r="D76" s="2" t="s">
        <v>90</v>
      </c>
      <c r="E76" s="2" t="s">
        <v>209</v>
      </c>
      <c r="F76" s="2" t="s">
        <v>14</v>
      </c>
      <c r="G76" s="2" t="s">
        <v>15</v>
      </c>
      <c r="H76" s="2">
        <v>175000000</v>
      </c>
      <c r="I76" s="2">
        <v>6.1</v>
      </c>
      <c r="J76" s="2">
        <f t="shared" si="0"/>
        <v>-86753780</v>
      </c>
      <c r="K76" s="2">
        <f t="shared" si="1"/>
        <v>6.374544089298001E-2</v>
      </c>
      <c r="L76" s="2" t="str">
        <f>IF(ISNUMBER(SEARCH("|",IMDB_Movies!$D76)),LEFT(IMDB_Movies!$D76,SEARCH("|",IMDB_Movies!$D76)-1),IMDB_Movies!$D76)</f>
        <v>Action</v>
      </c>
      <c r="S76" s="6"/>
      <c r="V76" s="2"/>
      <c r="W76" s="2"/>
    </row>
    <row r="77" spans="1:23" ht="12.5" x14ac:dyDescent="0.25">
      <c r="A77" s="2" t="s">
        <v>210</v>
      </c>
      <c r="B77" s="2">
        <v>118</v>
      </c>
      <c r="C77" s="2">
        <v>150167630</v>
      </c>
      <c r="D77" s="2" t="s">
        <v>90</v>
      </c>
      <c r="E77" s="2" t="s">
        <v>211</v>
      </c>
      <c r="F77" s="2" t="s">
        <v>14</v>
      </c>
      <c r="G77" s="2" t="s">
        <v>15</v>
      </c>
      <c r="H77" s="2">
        <v>175000000</v>
      </c>
      <c r="I77" s="2">
        <v>5.8</v>
      </c>
      <c r="J77" s="2">
        <f t="shared" si="0"/>
        <v>-24832370</v>
      </c>
      <c r="K77" s="2">
        <f t="shared" si="1"/>
        <v>6.3640866515012495E-2</v>
      </c>
      <c r="L77" s="2" t="str">
        <f>IF(ISNUMBER(SEARCH("|",IMDB_Movies!$D77)),LEFT(IMDB_Movies!$D77,SEARCH("|",IMDB_Movies!$D77)-1),IMDB_Movies!$D77)</f>
        <v>Action</v>
      </c>
      <c r="V77" s="2"/>
      <c r="W77" s="2"/>
    </row>
    <row r="78" spans="1:23" ht="12.5" x14ac:dyDescent="0.25">
      <c r="A78" s="2" t="s">
        <v>180</v>
      </c>
      <c r="B78" s="2">
        <v>95</v>
      </c>
      <c r="C78" s="2">
        <v>356454367</v>
      </c>
      <c r="D78" s="2" t="s">
        <v>212</v>
      </c>
      <c r="E78" s="2" t="s">
        <v>213</v>
      </c>
      <c r="F78" s="2" t="s">
        <v>14</v>
      </c>
      <c r="G78" s="2" t="s">
        <v>15</v>
      </c>
      <c r="H78" s="2">
        <v>175000000</v>
      </c>
      <c r="I78" s="2">
        <v>8.3000000000000007</v>
      </c>
      <c r="J78" s="2">
        <f t="shared" si="0"/>
        <v>181454367</v>
      </c>
      <c r="K78" s="2">
        <f t="shared" si="1"/>
        <v>6.3392917157994069E-2</v>
      </c>
      <c r="L78" s="2" t="str">
        <f>IF(ISNUMBER(SEARCH("|",IMDB_Movies!$D78)),LEFT(IMDB_Movies!$D78,SEARCH("|",IMDB_Movies!$D78)-1),IMDB_Movies!$D78)</f>
        <v>Adventure</v>
      </c>
      <c r="V78" s="2"/>
      <c r="W78" s="2"/>
    </row>
    <row r="79" spans="1:23" ht="12.5" x14ac:dyDescent="0.25">
      <c r="A79" s="2" t="s">
        <v>188</v>
      </c>
      <c r="B79" s="2">
        <v>106</v>
      </c>
      <c r="C79" s="2">
        <v>362645141</v>
      </c>
      <c r="D79" s="2" t="s">
        <v>214</v>
      </c>
      <c r="E79" s="2" t="s">
        <v>215</v>
      </c>
      <c r="F79" s="2" t="s">
        <v>14</v>
      </c>
      <c r="G79" s="2" t="s">
        <v>22</v>
      </c>
      <c r="H79" s="2">
        <v>175000000</v>
      </c>
      <c r="I79" s="2">
        <v>7.8</v>
      </c>
      <c r="J79" s="2">
        <f t="shared" si="0"/>
        <v>187645141</v>
      </c>
      <c r="K79" s="2">
        <f t="shared" si="1"/>
        <v>6.2798159997299763E-2</v>
      </c>
      <c r="L79" s="2" t="str">
        <f>IF(ISNUMBER(SEARCH("|",IMDB_Movies!$D79)),LEFT(IMDB_Movies!$D79,SEARCH("|",IMDB_Movies!$D79)-1),IMDB_Movies!$D79)</f>
        <v>Adventure</v>
      </c>
      <c r="V79" s="2"/>
      <c r="W79" s="2"/>
    </row>
    <row r="80" spans="1:23" ht="12.5" x14ac:dyDescent="0.25">
      <c r="A80" s="2" t="s">
        <v>188</v>
      </c>
      <c r="B80" s="2">
        <v>124</v>
      </c>
      <c r="C80" s="2">
        <v>312057433</v>
      </c>
      <c r="D80" s="2" t="s">
        <v>28</v>
      </c>
      <c r="E80" s="2" t="s">
        <v>216</v>
      </c>
      <c r="F80" s="2" t="s">
        <v>14</v>
      </c>
      <c r="G80" s="2" t="s">
        <v>15</v>
      </c>
      <c r="H80" s="2">
        <v>200000000</v>
      </c>
      <c r="I80" s="2">
        <v>7</v>
      </c>
      <c r="J80" s="2">
        <f t="shared" si="0"/>
        <v>112057433</v>
      </c>
      <c r="K80" s="2">
        <f t="shared" si="1"/>
        <v>6.2192112893850557E-2</v>
      </c>
      <c r="L80" s="2" t="str">
        <f>IF(ISNUMBER(SEARCH("|",IMDB_Movies!$D80)),LEFT(IMDB_Movies!$D80,SEARCH("|",IMDB_Movies!$D80)-1),IMDB_Movies!$D80)</f>
        <v>Action</v>
      </c>
      <c r="V80" s="2"/>
      <c r="W80" s="2"/>
    </row>
    <row r="81" spans="1:23" ht="12.5" x14ac:dyDescent="0.25">
      <c r="A81" s="2" t="s">
        <v>217</v>
      </c>
      <c r="B81" s="2">
        <v>132</v>
      </c>
      <c r="C81" s="2">
        <v>155111815</v>
      </c>
      <c r="D81" s="2" t="s">
        <v>218</v>
      </c>
      <c r="E81" s="2" t="s">
        <v>219</v>
      </c>
      <c r="F81" s="2" t="s">
        <v>14</v>
      </c>
      <c r="G81" s="2" t="s">
        <v>15</v>
      </c>
      <c r="H81" s="2">
        <v>170000000</v>
      </c>
      <c r="I81" s="2">
        <v>6.1</v>
      </c>
      <c r="J81" s="2">
        <f t="shared" si="0"/>
        <v>-14888185</v>
      </c>
      <c r="K81" s="2">
        <f t="shared" si="1"/>
        <v>6.1514992536317509E-2</v>
      </c>
      <c r="L81" s="2" t="str">
        <f>IF(ISNUMBER(SEARCH("|",IMDB_Movies!$D81)),LEFT(IMDB_Movies!$D81,SEARCH("|",IMDB_Movies!$D81)-1),IMDB_Movies!$D81)</f>
        <v>Action</v>
      </c>
      <c r="V81" s="2"/>
      <c r="W81" s="2"/>
    </row>
    <row r="82" spans="1:23" ht="12.5" x14ac:dyDescent="0.25">
      <c r="A82" s="2" t="s">
        <v>220</v>
      </c>
      <c r="B82" s="2">
        <v>97</v>
      </c>
      <c r="C82" s="2">
        <v>241407328</v>
      </c>
      <c r="D82" s="2" t="s">
        <v>221</v>
      </c>
      <c r="E82" s="2" t="s">
        <v>222</v>
      </c>
      <c r="F82" s="2" t="s">
        <v>14</v>
      </c>
      <c r="G82" s="2" t="s">
        <v>15</v>
      </c>
      <c r="H82" s="2">
        <v>180000000</v>
      </c>
      <c r="I82" s="2">
        <v>7</v>
      </c>
      <c r="J82" s="2">
        <f t="shared" si="0"/>
        <v>61407328</v>
      </c>
      <c r="K82" s="2">
        <f t="shared" si="1"/>
        <v>6.1262662966904372E-2</v>
      </c>
      <c r="L82" s="2" t="str">
        <f>IF(ISNUMBER(SEARCH("|",IMDB_Movies!$D82)),LEFT(IMDB_Movies!$D82,SEARCH("|",IMDB_Movies!$D82)-1),IMDB_Movies!$D82)</f>
        <v>Action</v>
      </c>
      <c r="V82" s="2"/>
      <c r="W82" s="2"/>
    </row>
    <row r="83" spans="1:23" ht="12.5" x14ac:dyDescent="0.25">
      <c r="A83" s="2" t="s">
        <v>223</v>
      </c>
      <c r="B83" s="2">
        <v>130</v>
      </c>
      <c r="C83" s="2">
        <v>208543795</v>
      </c>
      <c r="D83" s="2" t="s">
        <v>224</v>
      </c>
      <c r="E83" s="2" t="s">
        <v>225</v>
      </c>
      <c r="F83" s="2" t="s">
        <v>14</v>
      </c>
      <c r="G83" s="2" t="s">
        <v>15</v>
      </c>
      <c r="H83" s="2">
        <v>170000000</v>
      </c>
      <c r="I83" s="2">
        <v>7.6</v>
      </c>
      <c r="J83" s="2">
        <f t="shared" si="0"/>
        <v>38543795</v>
      </c>
      <c r="K83" s="2">
        <f t="shared" si="1"/>
        <v>6.080860045111755E-2</v>
      </c>
      <c r="L83" s="2" t="str">
        <f>IF(ISNUMBER(SEARCH("|",IMDB_Movies!$D83)),LEFT(IMDB_Movies!$D83,SEARCH("|",IMDB_Movies!$D83)-1),IMDB_Movies!$D83)</f>
        <v>Action</v>
      </c>
      <c r="V83" s="2"/>
      <c r="W83" s="2"/>
    </row>
    <row r="84" spans="1:23" ht="12.5" x14ac:dyDescent="0.25">
      <c r="A84" s="2" t="s">
        <v>226</v>
      </c>
      <c r="B84" s="2">
        <v>128</v>
      </c>
      <c r="C84" s="2">
        <v>38297305</v>
      </c>
      <c r="D84" s="2" t="s">
        <v>218</v>
      </c>
      <c r="E84" s="2" t="s">
        <v>227</v>
      </c>
      <c r="F84" s="2" t="s">
        <v>14</v>
      </c>
      <c r="G84" s="2" t="s">
        <v>15</v>
      </c>
      <c r="H84" s="2">
        <v>175000000</v>
      </c>
      <c r="I84" s="2">
        <v>6.3</v>
      </c>
      <c r="J84" s="2">
        <f t="shared" si="0"/>
        <v>-136702695</v>
      </c>
      <c r="K84" s="2">
        <f t="shared" si="1"/>
        <v>6.0450143949855657E-2</v>
      </c>
      <c r="L84" s="2" t="str">
        <f>IF(ISNUMBER(SEARCH("|",IMDB_Movies!$D84)),LEFT(IMDB_Movies!$D84,SEARCH("|",IMDB_Movies!$D84)-1),IMDB_Movies!$D84)</f>
        <v>Action</v>
      </c>
      <c r="V84" s="2"/>
      <c r="W84" s="2"/>
    </row>
    <row r="85" spans="1:23" ht="12.5" x14ac:dyDescent="0.25">
      <c r="A85" s="2" t="s">
        <v>87</v>
      </c>
      <c r="B85" s="2">
        <v>136</v>
      </c>
      <c r="C85" s="2">
        <v>259746958</v>
      </c>
      <c r="D85" s="2" t="s">
        <v>28</v>
      </c>
      <c r="E85" s="2" t="s">
        <v>228</v>
      </c>
      <c r="F85" s="2" t="s">
        <v>14</v>
      </c>
      <c r="G85" s="2" t="s">
        <v>15</v>
      </c>
      <c r="H85" s="2">
        <v>170000000</v>
      </c>
      <c r="I85" s="2">
        <v>7.8</v>
      </c>
      <c r="J85" s="2">
        <f t="shared" si="0"/>
        <v>89746958</v>
      </c>
      <c r="K85" s="2">
        <f t="shared" si="1"/>
        <v>6.0473589531972155E-2</v>
      </c>
      <c r="L85" s="2" t="str">
        <f>IF(ISNUMBER(SEARCH("|",IMDB_Movies!$D85)),LEFT(IMDB_Movies!$D85,SEARCH("|",IMDB_Movies!$D85)-1),IMDB_Movies!$D85)</f>
        <v>Action</v>
      </c>
      <c r="V85" s="2"/>
      <c r="W85" s="2"/>
    </row>
    <row r="86" spans="1:23" ht="12.5" x14ac:dyDescent="0.25">
      <c r="A86" s="2" t="s">
        <v>229</v>
      </c>
      <c r="B86" s="2">
        <v>93</v>
      </c>
      <c r="C86" s="2">
        <v>238371987</v>
      </c>
      <c r="D86" s="2" t="s">
        <v>106</v>
      </c>
      <c r="E86" s="2" t="s">
        <v>230</v>
      </c>
      <c r="F86" s="2" t="s">
        <v>14</v>
      </c>
      <c r="G86" s="2" t="s">
        <v>15</v>
      </c>
      <c r="H86" s="2">
        <v>165000000</v>
      </c>
      <c r="I86" s="2">
        <v>6.4</v>
      </c>
      <c r="J86" s="2">
        <f t="shared" si="0"/>
        <v>73371987</v>
      </c>
      <c r="K86" s="2">
        <f t="shared" si="1"/>
        <v>6.0025651413860175E-2</v>
      </c>
      <c r="L86" s="2" t="str">
        <f>IF(ISNUMBER(SEARCH("|",IMDB_Movies!$D86)),LEFT(IMDB_Movies!$D86,SEARCH("|",IMDB_Movies!$D86)-1),IMDB_Movies!$D86)</f>
        <v>Adventure</v>
      </c>
      <c r="V86" s="2"/>
      <c r="W86" s="2"/>
    </row>
    <row r="87" spans="1:23" ht="12.5" x14ac:dyDescent="0.25">
      <c r="A87" s="2" t="s">
        <v>231</v>
      </c>
      <c r="B87" s="2">
        <v>130</v>
      </c>
      <c r="C87" s="2">
        <v>93417865</v>
      </c>
      <c r="D87" s="2" t="s">
        <v>232</v>
      </c>
      <c r="E87" s="2" t="s">
        <v>233</v>
      </c>
      <c r="F87" s="2" t="s">
        <v>14</v>
      </c>
      <c r="G87" s="2" t="s">
        <v>15</v>
      </c>
      <c r="H87" s="2">
        <v>190000000</v>
      </c>
      <c r="I87" s="2">
        <v>6.5</v>
      </c>
      <c r="J87" s="2">
        <f t="shared" si="0"/>
        <v>-96582135</v>
      </c>
      <c r="K87" s="2">
        <f t="shared" si="1"/>
        <v>5.9631012544537475E-2</v>
      </c>
      <c r="L87" s="2" t="str">
        <f>IF(ISNUMBER(SEARCH("|",IMDB_Movies!$D87)),LEFT(IMDB_Movies!$D87,SEARCH("|",IMDB_Movies!$D87)-1),IMDB_Movies!$D87)</f>
        <v>Action</v>
      </c>
      <c r="V87" s="2"/>
      <c r="W87" s="2"/>
    </row>
    <row r="88" spans="1:23" ht="12.5" x14ac:dyDescent="0.25">
      <c r="A88" s="2" t="s">
        <v>234</v>
      </c>
      <c r="B88" s="2">
        <v>102</v>
      </c>
      <c r="C88" s="2">
        <v>222487711</v>
      </c>
      <c r="D88" s="2" t="s">
        <v>235</v>
      </c>
      <c r="E88" s="2" t="s">
        <v>236</v>
      </c>
      <c r="F88" s="2" t="s">
        <v>14</v>
      </c>
      <c r="G88" s="2" t="s">
        <v>15</v>
      </c>
      <c r="H88" s="2">
        <v>165000000</v>
      </c>
      <c r="I88" s="2">
        <v>7.9</v>
      </c>
      <c r="J88" s="2">
        <f t="shared" si="0"/>
        <v>57487711</v>
      </c>
      <c r="K88" s="2">
        <f t="shared" si="1"/>
        <v>5.9495692503916835E-2</v>
      </c>
      <c r="L88" s="2" t="str">
        <f>IF(ISNUMBER(SEARCH("|",IMDB_Movies!$D88)),LEFT(IMDB_Movies!$D88,SEARCH("|",IMDB_Movies!$D88)-1),IMDB_Movies!$D88)</f>
        <v>Action</v>
      </c>
      <c r="V88" s="2"/>
      <c r="W88" s="2"/>
    </row>
    <row r="89" spans="1:23" ht="12.5" x14ac:dyDescent="0.25">
      <c r="A89" s="2" t="s">
        <v>237</v>
      </c>
      <c r="B89" s="2">
        <v>101</v>
      </c>
      <c r="C89" s="2">
        <v>189412677</v>
      </c>
      <c r="D89" s="2" t="s">
        <v>238</v>
      </c>
      <c r="E89" s="2" t="s">
        <v>239</v>
      </c>
      <c r="F89" s="2" t="s">
        <v>14</v>
      </c>
      <c r="G89" s="2" t="s">
        <v>15</v>
      </c>
      <c r="H89" s="2">
        <v>165000000</v>
      </c>
      <c r="I89" s="2">
        <v>7.8</v>
      </c>
      <c r="J89" s="2">
        <f t="shared" si="0"/>
        <v>24412677</v>
      </c>
      <c r="K89" s="2">
        <f t="shared" si="1"/>
        <v>5.9125746354241851E-2</v>
      </c>
      <c r="L89" s="2" t="str">
        <f>IF(ISNUMBER(SEARCH("|",IMDB_Movies!$D89)),LEFT(IMDB_Movies!$D89,SEARCH("|",IMDB_Movies!$D89)-1),IMDB_Movies!$D89)</f>
        <v>Adventure</v>
      </c>
      <c r="V89" s="2"/>
      <c r="W89" s="2"/>
    </row>
    <row r="90" spans="1:23" ht="12.5" x14ac:dyDescent="0.25">
      <c r="A90" s="2" t="s">
        <v>160</v>
      </c>
      <c r="B90" s="2">
        <v>100</v>
      </c>
      <c r="C90" s="2">
        <v>665426</v>
      </c>
      <c r="D90" s="2" t="s">
        <v>240</v>
      </c>
      <c r="E90" s="2" t="s">
        <v>241</v>
      </c>
      <c r="F90" s="2" t="s">
        <v>14</v>
      </c>
      <c r="G90" s="2" t="s">
        <v>15</v>
      </c>
      <c r="H90" s="2">
        <v>165000000</v>
      </c>
      <c r="I90" s="2">
        <v>6.6</v>
      </c>
      <c r="J90" s="2">
        <f t="shared" si="0"/>
        <v>-164334574</v>
      </c>
      <c r="K90" s="2">
        <f t="shared" si="1"/>
        <v>5.8813665954503311E-2</v>
      </c>
      <c r="L90" s="2" t="str">
        <f>IF(ISNUMBER(SEARCH("|",IMDB_Movies!$D90)),LEFT(IMDB_Movies!$D90,SEARCH("|",IMDB_Movies!$D90)-1),IMDB_Movies!$D90)</f>
        <v>Adventure</v>
      </c>
      <c r="V90" s="2"/>
      <c r="W90" s="2"/>
    </row>
    <row r="91" spans="1:23" ht="12.5" x14ac:dyDescent="0.25">
      <c r="A91" s="2" t="s">
        <v>155</v>
      </c>
      <c r="B91" s="2">
        <v>120</v>
      </c>
      <c r="C91" s="2">
        <v>102315545</v>
      </c>
      <c r="D91" s="2" t="s">
        <v>28</v>
      </c>
      <c r="E91" s="2" t="s">
        <v>242</v>
      </c>
      <c r="F91" s="2" t="s">
        <v>14</v>
      </c>
      <c r="G91" s="2" t="s">
        <v>15</v>
      </c>
      <c r="H91" s="2">
        <v>165000000</v>
      </c>
      <c r="I91" s="2">
        <v>5.5</v>
      </c>
      <c r="J91" s="2">
        <f t="shared" si="0"/>
        <v>-62684455</v>
      </c>
      <c r="K91" s="2">
        <f t="shared" si="1"/>
        <v>5.8934222469780417E-2</v>
      </c>
      <c r="L91" s="2" t="str">
        <f>IF(ISNUMBER(SEARCH("|",IMDB_Movies!$D91)),LEFT(IMDB_Movies!$D91,SEARCH("|",IMDB_Movies!$D91)-1),IMDB_Movies!$D91)</f>
        <v>Action</v>
      </c>
      <c r="V91" s="2"/>
      <c r="W91" s="2"/>
    </row>
    <row r="92" spans="1:23" ht="12.5" x14ac:dyDescent="0.25">
      <c r="A92" s="2" t="s">
        <v>243</v>
      </c>
      <c r="B92" s="2">
        <v>98</v>
      </c>
      <c r="C92" s="2">
        <v>217387997</v>
      </c>
      <c r="D92" s="2" t="s">
        <v>240</v>
      </c>
      <c r="E92" s="2" t="s">
        <v>244</v>
      </c>
      <c r="F92" s="2" t="s">
        <v>14</v>
      </c>
      <c r="G92" s="2" t="s">
        <v>15</v>
      </c>
      <c r="H92" s="2">
        <v>165000000</v>
      </c>
      <c r="I92" s="2">
        <v>8.1999999999999993</v>
      </c>
      <c r="J92" s="2">
        <f t="shared" si="0"/>
        <v>52387997</v>
      </c>
      <c r="K92" s="2">
        <f t="shared" si="1"/>
        <v>5.880105102919702E-2</v>
      </c>
      <c r="L92" s="2" t="str">
        <f>IF(ISNUMBER(SEARCH("|",IMDB_Movies!$D92)),LEFT(IMDB_Movies!$D92,SEARCH("|",IMDB_Movies!$D92)-1),IMDB_Movies!$D92)</f>
        <v>Adventure</v>
      </c>
      <c r="V92" s="2"/>
      <c r="W92" s="2"/>
    </row>
    <row r="93" spans="1:23" ht="12.5" x14ac:dyDescent="0.25">
      <c r="A93" s="2" t="s">
        <v>245</v>
      </c>
      <c r="B93" s="2">
        <v>109</v>
      </c>
      <c r="C93" s="2">
        <v>150350192</v>
      </c>
      <c r="D93" s="2" t="s">
        <v>246</v>
      </c>
      <c r="E93" s="2" t="s">
        <v>247</v>
      </c>
      <c r="F93" s="2" t="s">
        <v>14</v>
      </c>
      <c r="G93" s="2" t="s">
        <v>15</v>
      </c>
      <c r="H93" s="2">
        <v>200000000</v>
      </c>
      <c r="I93" s="2">
        <v>6.4</v>
      </c>
      <c r="J93" s="2">
        <f t="shared" si="0"/>
        <v>-49649808</v>
      </c>
      <c r="K93" s="2">
        <f t="shared" si="1"/>
        <v>5.8437640917014207E-2</v>
      </c>
      <c r="L93" s="2" t="str">
        <f>IF(ISNUMBER(SEARCH("|",IMDB_Movies!$D93)),LEFT(IMDB_Movies!$D93,SEARCH("|",IMDB_Movies!$D93)-1),IMDB_Movies!$D93)</f>
        <v>Action</v>
      </c>
      <c r="V93" s="2"/>
      <c r="W93" s="2"/>
    </row>
    <row r="94" spans="1:23" ht="12.5" x14ac:dyDescent="0.25">
      <c r="A94" s="2" t="s">
        <v>248</v>
      </c>
      <c r="B94" s="2">
        <v>121</v>
      </c>
      <c r="C94" s="2">
        <v>333130696</v>
      </c>
      <c r="D94" s="2" t="s">
        <v>28</v>
      </c>
      <c r="E94" s="2" t="s">
        <v>249</v>
      </c>
      <c r="F94" s="2" t="s">
        <v>14</v>
      </c>
      <c r="G94" s="2" t="s">
        <v>15</v>
      </c>
      <c r="H94" s="2">
        <v>170000000</v>
      </c>
      <c r="I94" s="2">
        <v>8.1</v>
      </c>
      <c r="J94" s="2">
        <f t="shared" si="0"/>
        <v>163130696</v>
      </c>
      <c r="K94" s="2">
        <f t="shared" si="1"/>
        <v>5.8127048897674803E-2</v>
      </c>
      <c r="L94" s="2" t="str">
        <f>IF(ISNUMBER(SEARCH("|",IMDB_Movies!$D94)),LEFT(IMDB_Movies!$D94,SEARCH("|",IMDB_Movies!$D94)-1),IMDB_Movies!$D94)</f>
        <v>Action</v>
      </c>
      <c r="V94" s="2"/>
      <c r="W94" s="2"/>
    </row>
    <row r="95" spans="1:23" ht="12.5" x14ac:dyDescent="0.25">
      <c r="A95" s="2" t="s">
        <v>24</v>
      </c>
      <c r="B95" s="2">
        <v>169</v>
      </c>
      <c r="C95" s="2">
        <v>187991439</v>
      </c>
      <c r="D95" s="2" t="s">
        <v>250</v>
      </c>
      <c r="E95" s="2" t="s">
        <v>251</v>
      </c>
      <c r="F95" s="2" t="s">
        <v>14</v>
      </c>
      <c r="G95" s="2" t="s">
        <v>15</v>
      </c>
      <c r="H95" s="2">
        <v>165000000</v>
      </c>
      <c r="I95" s="2">
        <v>8.6</v>
      </c>
      <c r="J95" s="2">
        <f t="shared" si="0"/>
        <v>22991439</v>
      </c>
      <c r="K95" s="2">
        <f t="shared" si="1"/>
        <v>5.7560641634953322E-2</v>
      </c>
      <c r="L95" s="2" t="str">
        <f>IF(ISNUMBER(SEARCH("|",IMDB_Movies!$D95)),LEFT(IMDB_Movies!$D95,SEARCH("|",IMDB_Movies!$D95)-1),IMDB_Movies!$D95)</f>
        <v>Adventure</v>
      </c>
      <c r="V95" s="2"/>
      <c r="W95" s="2"/>
    </row>
    <row r="96" spans="1:23" ht="12.5" x14ac:dyDescent="0.25">
      <c r="A96" s="2" t="s">
        <v>24</v>
      </c>
      <c r="B96" s="2">
        <v>148</v>
      </c>
      <c r="C96" s="2">
        <v>292568851</v>
      </c>
      <c r="D96" s="2" t="s">
        <v>90</v>
      </c>
      <c r="E96" s="2" t="s">
        <v>252</v>
      </c>
      <c r="F96" s="2" t="s">
        <v>14</v>
      </c>
      <c r="G96" s="2" t="s">
        <v>15</v>
      </c>
      <c r="H96" s="2">
        <v>160000000</v>
      </c>
      <c r="I96" s="2">
        <v>8.8000000000000007</v>
      </c>
      <c r="J96" s="2">
        <f t="shared" si="0"/>
        <v>132568851</v>
      </c>
      <c r="K96" s="2">
        <f t="shared" si="1"/>
        <v>5.7247241896629684E-2</v>
      </c>
      <c r="L96" s="2" t="str">
        <f>IF(ISNUMBER(SEARCH("|",IMDB_Movies!$D96)),LEFT(IMDB_Movies!$D96,SEARCH("|",IMDB_Movies!$D96)-1),IMDB_Movies!$D96)</f>
        <v>Action</v>
      </c>
      <c r="V96" s="2"/>
      <c r="W96" s="2"/>
    </row>
    <row r="97" spans="1:23" ht="12.5" x14ac:dyDescent="0.25">
      <c r="A97" s="2" t="s">
        <v>70</v>
      </c>
      <c r="B97" s="2">
        <v>182</v>
      </c>
      <c r="C97" s="2">
        <v>303001229</v>
      </c>
      <c r="D97" s="2" t="s">
        <v>71</v>
      </c>
      <c r="E97" s="2" t="s">
        <v>253</v>
      </c>
      <c r="F97" s="2" t="s">
        <v>14</v>
      </c>
      <c r="G97" s="2" t="s">
        <v>15</v>
      </c>
      <c r="H97" s="2">
        <v>180000000</v>
      </c>
      <c r="I97" s="2">
        <v>7.9</v>
      </c>
      <c r="J97" s="2">
        <f t="shared" si="0"/>
        <v>123001229</v>
      </c>
      <c r="K97" s="2">
        <f t="shared" si="1"/>
        <v>5.6784470863665414E-2</v>
      </c>
      <c r="L97" s="2" t="str">
        <f>IF(ISNUMBER(SEARCH("|",IMDB_Movies!$D97)),LEFT(IMDB_Movies!$D97,SEARCH("|",IMDB_Movies!$D97)-1),IMDB_Movies!$D97)</f>
        <v>Adventure</v>
      </c>
      <c r="V97" s="2"/>
      <c r="W97" s="2"/>
    </row>
    <row r="98" spans="1:23" ht="12.5" x14ac:dyDescent="0.25">
      <c r="A98" s="2" t="s">
        <v>197</v>
      </c>
      <c r="B98" s="2">
        <v>106</v>
      </c>
      <c r="C98" s="2">
        <v>144512310</v>
      </c>
      <c r="D98" s="2" t="s">
        <v>125</v>
      </c>
      <c r="E98" s="2" t="s">
        <v>254</v>
      </c>
      <c r="F98" s="2" t="s">
        <v>14</v>
      </c>
      <c r="G98" s="2" t="s">
        <v>15</v>
      </c>
      <c r="H98" s="2">
        <v>38000000</v>
      </c>
      <c r="I98" s="2">
        <v>6.7</v>
      </c>
      <c r="J98" s="2">
        <f t="shared" si="0"/>
        <v>106512310</v>
      </c>
      <c r="K98" s="2">
        <f t="shared" si="1"/>
        <v>5.6200470333471413E-2</v>
      </c>
      <c r="L98" s="2" t="str">
        <f>IF(ISNUMBER(SEARCH("|",IMDB_Movies!$D98)),LEFT(IMDB_Movies!$D98,SEARCH("|",IMDB_Movies!$D98)-1),IMDB_Movies!$D98)</f>
        <v>Action</v>
      </c>
      <c r="V98" s="2"/>
      <c r="W98" s="2"/>
    </row>
    <row r="99" spans="1:23" ht="12.5" x14ac:dyDescent="0.25">
      <c r="A99" s="2" t="s">
        <v>255</v>
      </c>
      <c r="B99" s="2">
        <v>166</v>
      </c>
      <c r="C99" s="2">
        <v>127490802</v>
      </c>
      <c r="D99" s="2" t="s">
        <v>256</v>
      </c>
      <c r="E99" s="2" t="s">
        <v>257</v>
      </c>
      <c r="F99" s="2" t="s">
        <v>14</v>
      </c>
      <c r="G99" s="2" t="s">
        <v>15</v>
      </c>
      <c r="H99" s="2">
        <v>150000000</v>
      </c>
      <c r="I99" s="2">
        <v>7.8</v>
      </c>
      <c r="J99" s="2">
        <f t="shared" si="0"/>
        <v>-22509198</v>
      </c>
      <c r="K99" s="2">
        <f t="shared" si="1"/>
        <v>5.6228457621715675E-2</v>
      </c>
      <c r="L99" s="2" t="str">
        <f>IF(ISNUMBER(SEARCH("|",IMDB_Movies!$D99)),LEFT(IMDB_Movies!$D99,SEARCH("|",IMDB_Movies!$D99)-1),IMDB_Movies!$D99)</f>
        <v>Drama</v>
      </c>
      <c r="V99" s="2"/>
      <c r="W99" s="2"/>
    </row>
    <row r="100" spans="1:23" ht="18" x14ac:dyDescent="0.4">
      <c r="A100" s="2" t="s">
        <v>258</v>
      </c>
      <c r="B100" s="2">
        <v>132</v>
      </c>
      <c r="C100" s="2">
        <v>146405371</v>
      </c>
      <c r="D100" s="2" t="s">
        <v>28</v>
      </c>
      <c r="E100" s="2" t="s">
        <v>259</v>
      </c>
      <c r="F100" s="2" t="s">
        <v>14</v>
      </c>
      <c r="G100" s="2" t="s">
        <v>15</v>
      </c>
      <c r="H100" s="2">
        <v>160000000</v>
      </c>
      <c r="I100" s="2">
        <v>7.8</v>
      </c>
      <c r="J100" s="2">
        <f t="shared" si="0"/>
        <v>-13594629</v>
      </c>
      <c r="K100" s="2">
        <f t="shared" si="1"/>
        <v>5.6060571327495423E-2</v>
      </c>
      <c r="L100" s="2" t="str">
        <f>IF(ISNUMBER(SEARCH("|",IMDB_Movies!$D100)),LEFT(IMDB_Movies!$D100,SEARCH("|",IMDB_Movies!$D100)-1),IMDB_Movies!$D100)</f>
        <v>Action</v>
      </c>
      <c r="N100" s="3"/>
      <c r="V100" s="2"/>
      <c r="W100" s="2"/>
    </row>
    <row r="101" spans="1:23" ht="12.5" x14ac:dyDescent="0.25">
      <c r="A101" s="2" t="s">
        <v>261</v>
      </c>
      <c r="B101" s="2">
        <v>137</v>
      </c>
      <c r="C101" s="2">
        <v>281666058</v>
      </c>
      <c r="D101" s="2" t="s">
        <v>262</v>
      </c>
      <c r="E101" s="2" t="s">
        <v>263</v>
      </c>
      <c r="F101" s="2" t="s">
        <v>14</v>
      </c>
      <c r="G101" s="2" t="s">
        <v>15</v>
      </c>
      <c r="H101" s="2">
        <v>160000000</v>
      </c>
      <c r="I101" s="2">
        <v>6.6</v>
      </c>
      <c r="J101" s="2">
        <f t="shared" si="0"/>
        <v>121666058</v>
      </c>
      <c r="K101" s="2">
        <f t="shared" si="1"/>
        <v>5.5837201392015104E-2</v>
      </c>
      <c r="L101" s="2" t="str">
        <f>IF(ISNUMBER(SEARCH("|",IMDB_Movies!$D101)),LEFT(IMDB_Movies!$D101,SEARCH("|",IMDB_Movies!$D101)-1),IMDB_Movies!$D101)</f>
        <v>Adventure</v>
      </c>
      <c r="V101" s="2"/>
      <c r="W101" s="2"/>
    </row>
    <row r="102" spans="1:23" ht="12.5" x14ac:dyDescent="0.25">
      <c r="A102" s="2" t="s">
        <v>264</v>
      </c>
      <c r="B102" s="2">
        <v>109</v>
      </c>
      <c r="C102" s="2">
        <v>63143812</v>
      </c>
      <c r="D102" s="2" t="s">
        <v>62</v>
      </c>
      <c r="E102" s="2" t="s">
        <v>265</v>
      </c>
      <c r="F102" s="2" t="s">
        <v>14</v>
      </c>
      <c r="G102" s="2" t="s">
        <v>15</v>
      </c>
      <c r="H102" s="2">
        <v>150000000</v>
      </c>
      <c r="I102" s="2">
        <v>6.1</v>
      </c>
      <c r="J102" s="2">
        <f t="shared" si="0"/>
        <v>-86856188</v>
      </c>
      <c r="K102" s="2">
        <f t="shared" si="1"/>
        <v>5.5382874356211226E-2</v>
      </c>
      <c r="L102" s="2" t="str">
        <f>IF(ISNUMBER(SEARCH("|",IMDB_Movies!$D102)),LEFT(IMDB_Movies!$D102,SEARCH("|",IMDB_Movies!$D102)-1),IMDB_Movies!$D102)</f>
        <v>Action</v>
      </c>
      <c r="V102" s="2"/>
      <c r="W102" s="2"/>
    </row>
    <row r="103" spans="1:23" ht="13" x14ac:dyDescent="0.3">
      <c r="A103" s="2" t="s">
        <v>266</v>
      </c>
      <c r="B103" s="2">
        <v>98</v>
      </c>
      <c r="C103" s="2">
        <v>60655503</v>
      </c>
      <c r="D103" s="2" t="s">
        <v>267</v>
      </c>
      <c r="E103" s="2" t="s">
        <v>268</v>
      </c>
      <c r="F103" s="2" t="s">
        <v>14</v>
      </c>
      <c r="G103" s="2" t="s">
        <v>15</v>
      </c>
      <c r="H103" s="2">
        <v>160000000</v>
      </c>
      <c r="I103" s="2">
        <v>5.6</v>
      </c>
      <c r="J103" s="2">
        <f t="shared" si="0"/>
        <v>-99344497</v>
      </c>
      <c r="K103" s="2">
        <f t="shared" si="1"/>
        <v>5.5344773714786952E-2</v>
      </c>
      <c r="L103" s="2" t="str">
        <f>IF(ISNUMBER(SEARCH("|",IMDB_Movies!$D103)),LEFT(IMDB_Movies!$D103,SEARCH("|",IMDB_Movies!$D103)-1),IMDB_Movies!$D103)</f>
        <v>Action</v>
      </c>
      <c r="N103" s="1"/>
      <c r="O103" s="1"/>
      <c r="P103" s="1"/>
      <c r="Q103" s="1"/>
      <c r="R103" s="1"/>
      <c r="S103" s="1"/>
      <c r="T103" s="1"/>
      <c r="V103" s="2"/>
      <c r="W103" s="2"/>
    </row>
    <row r="104" spans="1:23" ht="12.5" x14ac:dyDescent="0.25">
      <c r="A104" s="2" t="s">
        <v>271</v>
      </c>
      <c r="B104" s="2">
        <v>113</v>
      </c>
      <c r="C104" s="2">
        <v>76846624</v>
      </c>
      <c r="D104" s="2" t="s">
        <v>81</v>
      </c>
      <c r="E104" s="2" t="s">
        <v>272</v>
      </c>
      <c r="F104" s="2" t="s">
        <v>14</v>
      </c>
      <c r="G104" s="2" t="s">
        <v>15</v>
      </c>
      <c r="H104" s="2">
        <v>170000000</v>
      </c>
      <c r="I104" s="2">
        <v>6.4</v>
      </c>
      <c r="J104" s="2">
        <f t="shared" si="0"/>
        <v>-93153376</v>
      </c>
      <c r="K104" s="2">
        <f t="shared" si="1"/>
        <v>5.5309217820648113E-2</v>
      </c>
      <c r="L104" s="2" t="str">
        <f>IF(ISNUMBER(SEARCH("|",IMDB_Movies!$D104)),LEFT(IMDB_Movies!$D104,SEARCH("|",IMDB_Movies!$D104)-1),IMDB_Movies!$D104)</f>
        <v>Adventure</v>
      </c>
      <c r="N104" s="2"/>
      <c r="O104" s="2"/>
      <c r="P104" s="2"/>
      <c r="Q104" s="2"/>
      <c r="R104" s="2"/>
      <c r="S104" s="2"/>
      <c r="V104" s="2"/>
      <c r="W104" s="2"/>
    </row>
    <row r="105" spans="1:23" ht="15.5" x14ac:dyDescent="0.35">
      <c r="A105" s="2" t="s">
        <v>273</v>
      </c>
      <c r="B105" s="2">
        <v>93</v>
      </c>
      <c r="C105" s="2">
        <v>320706665</v>
      </c>
      <c r="D105" s="2" t="s">
        <v>106</v>
      </c>
      <c r="E105" s="2" t="s">
        <v>274</v>
      </c>
      <c r="F105" s="2" t="s">
        <v>14</v>
      </c>
      <c r="G105" s="2" t="s">
        <v>15</v>
      </c>
      <c r="H105" s="2">
        <v>160000000</v>
      </c>
      <c r="I105" s="2">
        <v>6.1</v>
      </c>
      <c r="J105" s="2">
        <f t="shared" si="0"/>
        <v>160706665</v>
      </c>
      <c r="K105" s="2">
        <f t="shared" si="1"/>
        <v>5.5229229208745394E-2</v>
      </c>
      <c r="L105" s="2" t="str">
        <f>IF(ISNUMBER(SEARCH("|",IMDB_Movies!$D105)),LEFT(IMDB_Movies!$D105,SEARCH("|",IMDB_Movies!$D105)-1),IMDB_Movies!$D105)</f>
        <v>Adventure</v>
      </c>
      <c r="N105" s="2"/>
      <c r="O105" s="2"/>
      <c r="P105" s="2"/>
      <c r="Q105" s="2"/>
      <c r="R105" s="2"/>
      <c r="S105" s="2"/>
      <c r="V105" s="8"/>
      <c r="W105" s="2"/>
    </row>
    <row r="106" spans="1:23" ht="12.5" x14ac:dyDescent="0.25">
      <c r="A106" s="2" t="s">
        <v>275</v>
      </c>
      <c r="B106" s="2">
        <v>123</v>
      </c>
      <c r="C106" s="2">
        <v>46978995</v>
      </c>
      <c r="D106" s="2" t="s">
        <v>17</v>
      </c>
      <c r="E106" s="2" t="s">
        <v>276</v>
      </c>
      <c r="F106" s="2" t="s">
        <v>14</v>
      </c>
      <c r="G106" s="2" t="s">
        <v>15</v>
      </c>
      <c r="H106" s="2">
        <v>160000000</v>
      </c>
      <c r="I106" s="2">
        <v>7.3</v>
      </c>
      <c r="J106" s="2">
        <f t="shared" si="0"/>
        <v>-113021005</v>
      </c>
      <c r="K106" s="2">
        <f t="shared" si="1"/>
        <v>5.4719835192900607E-2</v>
      </c>
      <c r="L106" s="2" t="str">
        <f>IF(ISNUMBER(SEARCH("|",IMDB_Movies!$D106)),LEFT(IMDB_Movies!$D106,SEARCH("|",IMDB_Movies!$D106)-1),IMDB_Movies!$D106)</f>
        <v>Action</v>
      </c>
      <c r="N106" s="2"/>
      <c r="O106" s="2"/>
      <c r="P106" s="2"/>
      <c r="Q106" s="2"/>
      <c r="R106" s="2"/>
      <c r="S106" s="2"/>
      <c r="V106" s="2"/>
      <c r="W106" s="2"/>
    </row>
    <row r="107" spans="1:23" ht="12.5" x14ac:dyDescent="0.25">
      <c r="A107" s="2" t="s">
        <v>277</v>
      </c>
      <c r="B107" s="2">
        <v>126</v>
      </c>
      <c r="C107" s="2">
        <v>89732035</v>
      </c>
      <c r="D107" s="2" t="s">
        <v>28</v>
      </c>
      <c r="E107" s="2" t="s">
        <v>278</v>
      </c>
      <c r="F107" s="2" t="s">
        <v>14</v>
      </c>
      <c r="G107" s="2" t="s">
        <v>15</v>
      </c>
      <c r="H107" s="2">
        <v>155000000</v>
      </c>
      <c r="I107" s="2">
        <v>6.6</v>
      </c>
      <c r="J107" s="2">
        <f t="shared" si="0"/>
        <v>-65267965</v>
      </c>
      <c r="K107" s="2">
        <f t="shared" si="1"/>
        <v>5.4717215739810879E-2</v>
      </c>
      <c r="L107" s="2" t="str">
        <f>IF(ISNUMBER(SEARCH("|",IMDB_Movies!$D107)),LEFT(IMDB_Movies!$D107,SEARCH("|",IMDB_Movies!$D107)-1),IMDB_Movies!$D107)</f>
        <v>Action</v>
      </c>
      <c r="N107" s="2"/>
      <c r="O107" s="2"/>
      <c r="P107" s="2"/>
      <c r="Q107" s="2"/>
      <c r="R107" s="2"/>
      <c r="S107" s="2"/>
      <c r="V107" s="2"/>
      <c r="W107" s="2"/>
    </row>
    <row r="108" spans="1:23" ht="12.5" x14ac:dyDescent="0.25">
      <c r="A108" s="2" t="s">
        <v>279</v>
      </c>
      <c r="B108" s="2">
        <v>113</v>
      </c>
      <c r="C108" s="2">
        <v>104383624</v>
      </c>
      <c r="D108" s="2" t="s">
        <v>81</v>
      </c>
      <c r="E108" s="2" t="s">
        <v>280</v>
      </c>
      <c r="F108" s="2" t="s">
        <v>14</v>
      </c>
      <c r="G108" s="2" t="s">
        <v>15</v>
      </c>
      <c r="H108" s="2">
        <v>155000000</v>
      </c>
      <c r="I108" s="2">
        <v>6.3</v>
      </c>
      <c r="J108" s="2">
        <f t="shared" si="0"/>
        <v>-50616376</v>
      </c>
      <c r="K108" s="2">
        <f t="shared" si="1"/>
        <v>5.4617606381419562E-2</v>
      </c>
      <c r="L108" s="2" t="str">
        <f>IF(ISNUMBER(SEARCH("|",IMDB_Movies!$D108)),LEFT(IMDB_Movies!$D108,SEARCH("|",IMDB_Movies!$D108)-1),IMDB_Movies!$D108)</f>
        <v>Adventure</v>
      </c>
      <c r="N108" s="2"/>
      <c r="O108" s="2"/>
      <c r="P108" s="2"/>
      <c r="Q108" s="2"/>
      <c r="R108" s="2"/>
      <c r="S108" s="2"/>
      <c r="V108" s="2"/>
      <c r="W108" s="2"/>
    </row>
    <row r="109" spans="1:23" ht="12.5" x14ac:dyDescent="0.25">
      <c r="A109" s="2" t="s">
        <v>108</v>
      </c>
      <c r="B109" s="2">
        <v>184</v>
      </c>
      <c r="C109" s="2">
        <v>198539855</v>
      </c>
      <c r="D109" s="2" t="s">
        <v>281</v>
      </c>
      <c r="E109" s="2" t="s">
        <v>282</v>
      </c>
      <c r="F109" s="2" t="s">
        <v>14</v>
      </c>
      <c r="G109" s="2" t="s">
        <v>15</v>
      </c>
      <c r="H109" s="2">
        <v>140000000</v>
      </c>
      <c r="I109" s="2">
        <v>6.1</v>
      </c>
      <c r="J109" s="2">
        <f t="shared" si="0"/>
        <v>58539855</v>
      </c>
      <c r="K109" s="2">
        <f t="shared" si="1"/>
        <v>5.4486520043072362E-2</v>
      </c>
      <c r="L109" s="2" t="str">
        <f>IF(ISNUMBER(SEARCH("|",IMDB_Movies!$D109)),LEFT(IMDB_Movies!$D109,SEARCH("|",IMDB_Movies!$D109)-1),IMDB_Movies!$D109)</f>
        <v>Action</v>
      </c>
      <c r="N109" s="2"/>
      <c r="O109" s="2"/>
      <c r="P109" s="2"/>
      <c r="Q109" s="2"/>
      <c r="R109" s="2"/>
      <c r="S109" s="2"/>
      <c r="V109" s="2"/>
      <c r="W109" s="2"/>
    </row>
    <row r="110" spans="1:23" ht="12.5" x14ac:dyDescent="0.25">
      <c r="A110" s="2" t="s">
        <v>108</v>
      </c>
      <c r="B110" s="2">
        <v>144</v>
      </c>
      <c r="C110" s="2">
        <v>318759914</v>
      </c>
      <c r="D110" s="2" t="s">
        <v>28</v>
      </c>
      <c r="E110" s="2" t="s">
        <v>283</v>
      </c>
      <c r="F110" s="2" t="s">
        <v>14</v>
      </c>
      <c r="G110" s="2" t="s">
        <v>15</v>
      </c>
      <c r="H110" s="2">
        <v>150000000</v>
      </c>
      <c r="I110" s="2">
        <v>7.1</v>
      </c>
      <c r="J110" s="2">
        <f t="shared" si="0"/>
        <v>168759914</v>
      </c>
      <c r="K110" s="2">
        <f t="shared" si="1"/>
        <v>5.4223270181527741E-2</v>
      </c>
      <c r="L110" s="2" t="str">
        <f>IF(ISNUMBER(SEARCH("|",IMDB_Movies!$D110)),LEFT(IMDB_Movies!$D110,SEARCH("|",IMDB_Movies!$D110)-1),IMDB_Movies!$D110)</f>
        <v>Action</v>
      </c>
      <c r="N110" s="2"/>
      <c r="O110" s="2"/>
      <c r="P110" s="2"/>
      <c r="Q110" s="2"/>
      <c r="R110" s="2"/>
      <c r="S110" s="2"/>
      <c r="V110" s="2"/>
      <c r="W110" s="2"/>
    </row>
    <row r="111" spans="1:23" ht="12.5" x14ac:dyDescent="0.25">
      <c r="A111" s="2" t="s">
        <v>284</v>
      </c>
      <c r="B111" s="2">
        <v>206</v>
      </c>
      <c r="C111" s="2">
        <v>34293771</v>
      </c>
      <c r="D111" s="2" t="s">
        <v>285</v>
      </c>
      <c r="E111" s="2" t="s">
        <v>286</v>
      </c>
      <c r="F111" s="2" t="s">
        <v>14</v>
      </c>
      <c r="G111" s="2" t="s">
        <v>287</v>
      </c>
      <c r="H111" s="2">
        <v>155000000</v>
      </c>
      <c r="I111" s="2">
        <v>5.5</v>
      </c>
      <c r="J111" s="2">
        <f t="shared" si="0"/>
        <v>-120706229</v>
      </c>
      <c r="K111" s="2">
        <f t="shared" si="1"/>
        <v>5.3767224145226888E-2</v>
      </c>
      <c r="L111" s="2" t="str">
        <f>IF(ISNUMBER(SEARCH("|",IMDB_Movies!$D111)),LEFT(IMDB_Movies!$D111,SEARCH("|",IMDB_Movies!$D111)-1),IMDB_Movies!$D111)</f>
        <v>Action</v>
      </c>
      <c r="N111" s="2"/>
      <c r="O111" s="2"/>
      <c r="P111" s="2"/>
      <c r="Q111" s="2"/>
      <c r="R111" s="2"/>
      <c r="S111" s="2"/>
      <c r="V111" s="2"/>
      <c r="W111" s="2"/>
    </row>
    <row r="112" spans="1:23" ht="12.5" x14ac:dyDescent="0.25">
      <c r="A112" s="2" t="s">
        <v>47</v>
      </c>
      <c r="B112" s="2">
        <v>138</v>
      </c>
      <c r="C112" s="2">
        <v>292000866</v>
      </c>
      <c r="D112" s="2" t="s">
        <v>48</v>
      </c>
      <c r="E112" s="2" t="s">
        <v>288</v>
      </c>
      <c r="F112" s="2" t="s">
        <v>14</v>
      </c>
      <c r="G112" s="2" t="s">
        <v>22</v>
      </c>
      <c r="H112" s="2">
        <v>150000000</v>
      </c>
      <c r="I112" s="2">
        <v>7.5</v>
      </c>
      <c r="J112" s="2">
        <f t="shared" si="0"/>
        <v>142000866</v>
      </c>
      <c r="K112" s="2">
        <f t="shared" si="1"/>
        <v>5.3794737349104227E-2</v>
      </c>
      <c r="L112" s="2" t="str">
        <f>IF(ISNUMBER(SEARCH("|",IMDB_Movies!$D112)),LEFT(IMDB_Movies!$D112,SEARCH("|",IMDB_Movies!$D112)-1),IMDB_Movies!$D112)</f>
        <v>Adventure</v>
      </c>
      <c r="N112" s="2"/>
      <c r="O112" s="2"/>
      <c r="P112" s="2"/>
      <c r="Q112" s="2"/>
      <c r="R112" s="2"/>
      <c r="S112" s="2"/>
      <c r="V112" s="2"/>
      <c r="W112" s="2"/>
    </row>
    <row r="113" spans="1:23" ht="12.5" x14ac:dyDescent="0.25">
      <c r="A113" s="2" t="s">
        <v>136</v>
      </c>
      <c r="B113" s="2">
        <v>157</v>
      </c>
      <c r="C113" s="2">
        <v>289994397</v>
      </c>
      <c r="D113" s="2" t="s">
        <v>48</v>
      </c>
      <c r="E113" s="2" t="s">
        <v>289</v>
      </c>
      <c r="F113" s="2" t="s">
        <v>14</v>
      </c>
      <c r="G113" s="2" t="s">
        <v>22</v>
      </c>
      <c r="H113" s="2">
        <v>150000000</v>
      </c>
      <c r="I113" s="2">
        <v>7.6</v>
      </c>
      <c r="J113" s="2">
        <f t="shared" si="0"/>
        <v>139994397</v>
      </c>
      <c r="K113" s="2">
        <f t="shared" si="1"/>
        <v>5.3366522606466911E-2</v>
      </c>
      <c r="L113" s="2" t="str">
        <f>IF(ISNUMBER(SEARCH("|",IMDB_Movies!$D113)),LEFT(IMDB_Movies!$D113,SEARCH("|",IMDB_Movies!$D113)-1),IMDB_Movies!$D113)</f>
        <v>Adventure</v>
      </c>
      <c r="N113" s="2"/>
      <c r="O113" s="2"/>
      <c r="P113" s="2"/>
      <c r="Q113" s="2"/>
      <c r="R113" s="2"/>
      <c r="S113" s="2"/>
      <c r="V113" s="2"/>
      <c r="W113" s="2"/>
    </row>
    <row r="114" spans="1:23" ht="12.5" x14ac:dyDescent="0.25">
      <c r="A114" s="2" t="s">
        <v>89</v>
      </c>
      <c r="B114" s="2">
        <v>102</v>
      </c>
      <c r="C114" s="2">
        <v>227946274</v>
      </c>
      <c r="D114" s="2" t="s">
        <v>290</v>
      </c>
      <c r="E114" s="2" t="s">
        <v>291</v>
      </c>
      <c r="F114" s="2" t="s">
        <v>14</v>
      </c>
      <c r="G114" s="2" t="s">
        <v>15</v>
      </c>
      <c r="H114" s="2">
        <v>150000000</v>
      </c>
      <c r="I114" s="2">
        <v>6.4</v>
      </c>
      <c r="J114" s="2">
        <f t="shared" si="0"/>
        <v>77946274</v>
      </c>
      <c r="K114" s="2">
        <f t="shared" si="1"/>
        <v>5.2938649374817917E-2</v>
      </c>
      <c r="L114" s="2" t="str">
        <f>IF(ISNUMBER(SEARCH("|",IMDB_Movies!$D114)),LEFT(IMDB_Movies!$D114,SEARCH("|",IMDB_Movies!$D114)-1),IMDB_Movies!$D114)</f>
        <v>Action</v>
      </c>
      <c r="N114" s="2"/>
      <c r="O114" s="2"/>
      <c r="P114" s="2"/>
      <c r="Q114" s="2"/>
      <c r="R114" s="2"/>
      <c r="S114" s="2"/>
      <c r="V114" s="2"/>
      <c r="W114" s="2"/>
    </row>
    <row r="115" spans="1:23" ht="12.5" x14ac:dyDescent="0.25">
      <c r="A115" s="2" t="s">
        <v>261</v>
      </c>
      <c r="B115" s="2">
        <v>104</v>
      </c>
      <c r="C115" s="2">
        <v>256386216</v>
      </c>
      <c r="D115" s="2" t="s">
        <v>292</v>
      </c>
      <c r="E115" s="2" t="s">
        <v>293</v>
      </c>
      <c r="F115" s="2" t="s">
        <v>14</v>
      </c>
      <c r="G115" s="2" t="s">
        <v>15</v>
      </c>
      <c r="H115" s="2">
        <v>150000000</v>
      </c>
      <c r="I115" s="2">
        <v>7.2</v>
      </c>
      <c r="J115" s="2">
        <f t="shared" si="0"/>
        <v>106386216</v>
      </c>
      <c r="K115" s="2">
        <f t="shared" si="1"/>
        <v>5.2593230453714793E-2</v>
      </c>
      <c r="L115" s="2" t="str">
        <f>IF(ISNUMBER(SEARCH("|",IMDB_Movies!$D115)),LEFT(IMDB_Movies!$D115,SEARCH("|",IMDB_Movies!$D115)-1),IMDB_Movies!$D115)</f>
        <v>Drama</v>
      </c>
      <c r="N115" s="2"/>
      <c r="O115" s="2"/>
      <c r="P115" s="2"/>
      <c r="Q115" s="2"/>
      <c r="R115" s="2"/>
      <c r="S115" s="2"/>
      <c r="V115" s="2"/>
      <c r="W115" s="2"/>
    </row>
    <row r="116" spans="1:23" ht="12.5" x14ac:dyDescent="0.25">
      <c r="A116" s="2" t="s">
        <v>99</v>
      </c>
      <c r="B116" s="2">
        <v>115</v>
      </c>
      <c r="C116" s="2">
        <v>206456431</v>
      </c>
      <c r="D116" s="2" t="s">
        <v>294</v>
      </c>
      <c r="E116" s="2" t="s">
        <v>295</v>
      </c>
      <c r="F116" s="2" t="s">
        <v>14</v>
      </c>
      <c r="G116" s="2" t="s">
        <v>15</v>
      </c>
      <c r="H116" s="2">
        <v>150000000</v>
      </c>
      <c r="I116" s="2">
        <v>6.7</v>
      </c>
      <c r="J116" s="2">
        <f t="shared" si="0"/>
        <v>56456431</v>
      </c>
      <c r="K116" s="2">
        <f t="shared" si="1"/>
        <v>5.2205713179060573E-2</v>
      </c>
      <c r="L116" s="2" t="str">
        <f>IF(ISNUMBER(SEARCH("|",IMDB_Movies!$D116)),LEFT(IMDB_Movies!$D116,SEARCH("|",IMDB_Movies!$D116)-1),IMDB_Movies!$D116)</f>
        <v>Adventure</v>
      </c>
      <c r="N116" s="2"/>
      <c r="O116" s="2"/>
      <c r="P116" s="2"/>
      <c r="Q116" s="2"/>
      <c r="R116" s="2"/>
      <c r="S116" s="2"/>
      <c r="V116" s="2"/>
      <c r="W116" s="2"/>
    </row>
    <row r="117" spans="1:23" ht="12.5" x14ac:dyDescent="0.25">
      <c r="A117" s="2" t="s">
        <v>231</v>
      </c>
      <c r="B117" s="2">
        <v>111</v>
      </c>
      <c r="C117" s="2">
        <v>206435493</v>
      </c>
      <c r="D117" s="2" t="s">
        <v>296</v>
      </c>
      <c r="E117" s="2" t="s">
        <v>297</v>
      </c>
      <c r="F117" s="2" t="s">
        <v>14</v>
      </c>
      <c r="G117" s="2" t="s">
        <v>15</v>
      </c>
      <c r="H117" s="2">
        <v>150000000</v>
      </c>
      <c r="I117" s="2">
        <v>8</v>
      </c>
      <c r="J117" s="2">
        <f t="shared" si="0"/>
        <v>56435493</v>
      </c>
      <c r="K117" s="2">
        <f t="shared" si="1"/>
        <v>5.1891409319544751E-2</v>
      </c>
      <c r="L117" s="2" t="str">
        <f>IF(ISNUMBER(SEARCH("|",IMDB_Movies!$D117)),LEFT(IMDB_Movies!$D117,SEARCH("|",IMDB_Movies!$D117)-1),IMDB_Movies!$D117)</f>
        <v>Animation</v>
      </c>
      <c r="N117" s="2"/>
      <c r="O117" s="2"/>
      <c r="P117" s="2"/>
      <c r="Q117" s="2"/>
      <c r="R117" s="2"/>
      <c r="S117" s="2"/>
      <c r="V117" s="2"/>
      <c r="W117" s="2"/>
    </row>
    <row r="118" spans="1:23" ht="12.5" x14ac:dyDescent="0.25">
      <c r="A118" s="2" t="s">
        <v>24</v>
      </c>
      <c r="B118" s="2">
        <v>128</v>
      </c>
      <c r="C118" s="2">
        <v>205343774</v>
      </c>
      <c r="D118" s="2" t="s">
        <v>55</v>
      </c>
      <c r="E118" s="2" t="s">
        <v>298</v>
      </c>
      <c r="F118" s="2" t="s">
        <v>14</v>
      </c>
      <c r="G118" s="2" t="s">
        <v>15</v>
      </c>
      <c r="H118" s="2">
        <v>150000000</v>
      </c>
      <c r="I118" s="2">
        <v>8.3000000000000007</v>
      </c>
      <c r="J118" s="2">
        <f t="shared" si="0"/>
        <v>55343774</v>
      </c>
      <c r="K118" s="2">
        <f t="shared" si="1"/>
        <v>5.157631717963481E-2</v>
      </c>
      <c r="L118" s="2" t="str">
        <f>IF(ISNUMBER(SEARCH("|",IMDB_Movies!$D118)),LEFT(IMDB_Movies!$D118,SEARCH("|",IMDB_Movies!$D118)-1),IMDB_Movies!$D118)</f>
        <v>Action</v>
      </c>
      <c r="N118" s="2"/>
      <c r="O118" s="2"/>
      <c r="P118" s="2"/>
      <c r="Q118" s="2"/>
      <c r="R118" s="2"/>
      <c r="S118" s="2"/>
      <c r="V118" s="2"/>
      <c r="W118" s="2"/>
    </row>
    <row r="119" spans="1:23" ht="12.5" x14ac:dyDescent="0.25">
      <c r="A119" s="2" t="s">
        <v>299</v>
      </c>
      <c r="B119" s="2">
        <v>89</v>
      </c>
      <c r="C119" s="2">
        <v>179982968</v>
      </c>
      <c r="D119" s="2" t="s">
        <v>300</v>
      </c>
      <c r="E119" s="2" t="s">
        <v>301</v>
      </c>
      <c r="F119" s="2" t="s">
        <v>14</v>
      </c>
      <c r="G119" s="2" t="s">
        <v>15</v>
      </c>
      <c r="H119" s="2">
        <v>150000000</v>
      </c>
      <c r="I119" s="2">
        <v>6.7</v>
      </c>
      <c r="J119" s="2">
        <f t="shared" si="0"/>
        <v>29982968</v>
      </c>
      <c r="K119" s="2">
        <f t="shared" si="1"/>
        <v>5.1262165576911406E-2</v>
      </c>
      <c r="L119" s="2" t="str">
        <f>IF(ISNUMBER(SEARCH("|",IMDB_Movies!$D119)),LEFT(IMDB_Movies!$D119,SEARCH("|",IMDB_Movies!$D119)-1),IMDB_Movies!$D119)</f>
        <v>Action</v>
      </c>
      <c r="N119" s="2"/>
      <c r="O119" s="2"/>
      <c r="P119" s="2"/>
      <c r="Q119" s="2"/>
      <c r="R119" s="2"/>
      <c r="S119" s="2"/>
      <c r="V119" s="2"/>
      <c r="W119" s="2"/>
    </row>
    <row r="120" spans="1:23" ht="12.5" x14ac:dyDescent="0.25">
      <c r="A120" s="2" t="s">
        <v>302</v>
      </c>
      <c r="B120" s="2">
        <v>105</v>
      </c>
      <c r="C120" s="2">
        <v>177243721</v>
      </c>
      <c r="D120" s="2" t="s">
        <v>294</v>
      </c>
      <c r="E120" s="2" t="s">
        <v>303</v>
      </c>
      <c r="F120" s="2" t="s">
        <v>14</v>
      </c>
      <c r="G120" s="2" t="s">
        <v>15</v>
      </c>
      <c r="H120" s="2">
        <v>150000000</v>
      </c>
      <c r="I120" s="2">
        <v>5.9</v>
      </c>
      <c r="J120" s="2">
        <f t="shared" si="0"/>
        <v>27243721</v>
      </c>
      <c r="K120" s="2">
        <f t="shared" si="1"/>
        <v>5.0989808963368931E-2</v>
      </c>
      <c r="L120" s="2" t="str">
        <f>IF(ISNUMBER(SEARCH("|",IMDB_Movies!$D120)),LEFT(IMDB_Movies!$D120,SEARCH("|",IMDB_Movies!$D120)-1),IMDB_Movies!$D120)</f>
        <v>Adventure</v>
      </c>
      <c r="N120" s="2"/>
      <c r="O120" s="2"/>
      <c r="P120" s="2"/>
      <c r="Q120" s="2"/>
      <c r="R120" s="2"/>
      <c r="S120" s="2"/>
      <c r="V120" s="2"/>
      <c r="W120" s="2"/>
    </row>
    <row r="121" spans="1:23" ht="12.5" x14ac:dyDescent="0.25">
      <c r="A121" s="2" t="s">
        <v>304</v>
      </c>
      <c r="B121" s="2">
        <v>119</v>
      </c>
      <c r="C121" s="2">
        <v>179883016</v>
      </c>
      <c r="D121" s="2" t="s">
        <v>102</v>
      </c>
      <c r="E121" s="2" t="s">
        <v>305</v>
      </c>
      <c r="F121" s="2" t="s">
        <v>14</v>
      </c>
      <c r="G121" s="2" t="s">
        <v>15</v>
      </c>
      <c r="H121" s="2">
        <v>150000000</v>
      </c>
      <c r="I121" s="2">
        <v>6.7</v>
      </c>
      <c r="J121" s="2">
        <f t="shared" si="0"/>
        <v>29883016</v>
      </c>
      <c r="K121" s="2">
        <f t="shared" si="1"/>
        <v>5.0721672281241005E-2</v>
      </c>
      <c r="L121" s="2" t="str">
        <f>IF(ISNUMBER(SEARCH("|",IMDB_Movies!$D121)),LEFT(IMDB_Movies!$D121,SEARCH("|",IMDB_Movies!$D121)-1),IMDB_Movies!$D121)</f>
        <v>Action</v>
      </c>
      <c r="N121" s="2"/>
      <c r="O121" s="2"/>
      <c r="P121" s="2"/>
      <c r="Q121" s="2"/>
      <c r="R121" s="2"/>
      <c r="S121" s="2"/>
      <c r="V121" s="2"/>
      <c r="W121" s="2"/>
    </row>
    <row r="122" spans="1:23" ht="12.5" x14ac:dyDescent="0.25">
      <c r="A122" s="2" t="s">
        <v>165</v>
      </c>
      <c r="B122" s="2">
        <v>129</v>
      </c>
      <c r="C122" s="2">
        <v>139259759</v>
      </c>
      <c r="D122" s="2" t="s">
        <v>246</v>
      </c>
      <c r="E122" s="2" t="s">
        <v>306</v>
      </c>
      <c r="F122" s="2" t="s">
        <v>14</v>
      </c>
      <c r="G122" s="2" t="s">
        <v>135</v>
      </c>
      <c r="H122" s="2">
        <v>150000000</v>
      </c>
      <c r="I122" s="2">
        <v>6.7</v>
      </c>
      <c r="J122" s="2">
        <f t="shared" si="0"/>
        <v>-10740241</v>
      </c>
      <c r="K122" s="2">
        <f t="shared" si="1"/>
        <v>5.0448382265678202E-2</v>
      </c>
      <c r="L122" s="2" t="str">
        <f>IF(ISNUMBER(SEARCH("|",IMDB_Movies!$D122)),LEFT(IMDB_Movies!$D122,SEARCH("|",IMDB_Movies!$D122)-1),IMDB_Movies!$D122)</f>
        <v>Action</v>
      </c>
      <c r="N122" s="2"/>
      <c r="O122" s="2"/>
      <c r="P122" s="2"/>
      <c r="Q122" s="2"/>
      <c r="R122" s="2"/>
      <c r="S122" s="2"/>
      <c r="V122" s="2"/>
      <c r="W122" s="2"/>
    </row>
    <row r="123" spans="1:23" ht="12.5" x14ac:dyDescent="0.25">
      <c r="A123" s="2" t="s">
        <v>307</v>
      </c>
      <c r="B123" s="2">
        <v>102</v>
      </c>
      <c r="C123" s="2">
        <v>400736600</v>
      </c>
      <c r="D123" s="2" t="s">
        <v>308</v>
      </c>
      <c r="E123" s="2" t="s">
        <v>309</v>
      </c>
      <c r="F123" s="2" t="s">
        <v>14</v>
      </c>
      <c r="G123" s="2" t="s">
        <v>15</v>
      </c>
      <c r="H123" s="2">
        <v>150000000</v>
      </c>
      <c r="I123" s="2">
        <v>7.6</v>
      </c>
      <c r="J123" s="2">
        <f t="shared" si="0"/>
        <v>250736600</v>
      </c>
      <c r="K123" s="2">
        <f t="shared" si="1"/>
        <v>5.0249026422188099E-2</v>
      </c>
      <c r="L123" s="2" t="str">
        <f>IF(ISNUMBER(SEARCH("|",IMDB_Movies!$D123)),LEFT(IMDB_Movies!$D123,SEARCH("|",IMDB_Movies!$D123)-1),IMDB_Movies!$D123)</f>
        <v>Adventure</v>
      </c>
      <c r="N123" s="2"/>
      <c r="O123" s="2"/>
      <c r="P123" s="2"/>
      <c r="Q123" s="2"/>
      <c r="R123" s="2"/>
      <c r="S123" s="2"/>
      <c r="V123" s="2"/>
      <c r="W123" s="2"/>
    </row>
    <row r="124" spans="1:23" ht="12.5" x14ac:dyDescent="0.25">
      <c r="A124" s="2" t="s">
        <v>165</v>
      </c>
      <c r="B124" s="2">
        <v>138</v>
      </c>
      <c r="C124" s="2">
        <v>281492479</v>
      </c>
      <c r="D124" s="2" t="s">
        <v>246</v>
      </c>
      <c r="E124" s="2" t="s">
        <v>310</v>
      </c>
      <c r="F124" s="2" t="s">
        <v>14</v>
      </c>
      <c r="G124" s="2" t="s">
        <v>15</v>
      </c>
      <c r="H124" s="2">
        <v>150000000</v>
      </c>
      <c r="I124" s="2">
        <v>7.2</v>
      </c>
      <c r="J124" s="2">
        <f t="shared" si="0"/>
        <v>131492479</v>
      </c>
      <c r="K124" s="2">
        <f t="shared" si="1"/>
        <v>4.9690278912495549E-2</v>
      </c>
      <c r="L124" s="2" t="str">
        <f>IF(ISNUMBER(SEARCH("|",IMDB_Movies!$D124)),LEFT(IMDB_Movies!$D124,SEARCH("|",IMDB_Movies!$D124)-1),IMDB_Movies!$D124)</f>
        <v>Action</v>
      </c>
      <c r="N124" s="2"/>
      <c r="O124" s="2"/>
      <c r="P124" s="2"/>
      <c r="Q124" s="2"/>
      <c r="R124" s="2"/>
      <c r="S124" s="2"/>
      <c r="V124" s="2"/>
      <c r="W124" s="2"/>
    </row>
    <row r="125" spans="1:23" ht="12.5" x14ac:dyDescent="0.25">
      <c r="A125" s="2" t="s">
        <v>277</v>
      </c>
      <c r="B125" s="2">
        <v>112</v>
      </c>
      <c r="C125" s="2">
        <v>206360018</v>
      </c>
      <c r="D125" s="2" t="s">
        <v>17</v>
      </c>
      <c r="E125" s="2" t="s">
        <v>311</v>
      </c>
      <c r="F125" s="2" t="s">
        <v>14</v>
      </c>
      <c r="G125" s="2" t="s">
        <v>15</v>
      </c>
      <c r="H125" s="2">
        <v>170000000</v>
      </c>
      <c r="I125" s="2">
        <v>7.1</v>
      </c>
      <c r="J125" s="2">
        <f t="shared" si="0"/>
        <v>36360018</v>
      </c>
      <c r="K125" s="2">
        <f t="shared" si="1"/>
        <v>4.9256338800447996E-2</v>
      </c>
      <c r="L125" s="2" t="str">
        <f>IF(ISNUMBER(SEARCH("|",IMDB_Movies!$D125)),LEFT(IMDB_Movies!$D125,SEARCH("|",IMDB_Movies!$D125)-1),IMDB_Movies!$D125)</f>
        <v>Action</v>
      </c>
      <c r="N125" s="2"/>
      <c r="O125" s="2"/>
      <c r="P125" s="2"/>
      <c r="Q125" s="2"/>
      <c r="R125" s="2"/>
      <c r="S125" s="2"/>
      <c r="V125" s="2"/>
      <c r="W125" s="2"/>
    </row>
    <row r="126" spans="1:23" ht="12.5" x14ac:dyDescent="0.25">
      <c r="A126" s="2" t="s">
        <v>312</v>
      </c>
      <c r="B126" s="2">
        <v>120</v>
      </c>
      <c r="C126" s="2">
        <v>153629485</v>
      </c>
      <c r="D126" s="2" t="s">
        <v>90</v>
      </c>
      <c r="E126" s="2" t="s">
        <v>313</v>
      </c>
      <c r="F126" s="2" t="s">
        <v>14</v>
      </c>
      <c r="G126" s="2" t="s">
        <v>135</v>
      </c>
      <c r="H126" s="2">
        <v>150000000</v>
      </c>
      <c r="I126" s="2">
        <v>8.1</v>
      </c>
      <c r="J126" s="2">
        <f t="shared" si="0"/>
        <v>3629485</v>
      </c>
      <c r="K126" s="2">
        <f t="shared" si="1"/>
        <v>4.8864964889847713E-2</v>
      </c>
      <c r="L126" s="2" t="str">
        <f>IF(ISNUMBER(SEARCH("|",IMDB_Movies!$D126)),LEFT(IMDB_Movies!$D126,SEARCH("|",IMDB_Movies!$D126)-1),IMDB_Movies!$D126)</f>
        <v>Action</v>
      </c>
      <c r="N126" s="2"/>
      <c r="O126" s="2"/>
      <c r="P126" s="2"/>
      <c r="Q126" s="2"/>
      <c r="R126" s="2"/>
      <c r="S126" s="2"/>
      <c r="V126" s="2"/>
      <c r="W126" s="2"/>
    </row>
    <row r="127" spans="1:23" ht="12.5" x14ac:dyDescent="0.25">
      <c r="A127" s="2" t="s">
        <v>314</v>
      </c>
      <c r="B127" s="2">
        <v>146</v>
      </c>
      <c r="C127" s="2">
        <v>133375846</v>
      </c>
      <c r="D127" s="2" t="s">
        <v>315</v>
      </c>
      <c r="E127" s="2" t="s">
        <v>316</v>
      </c>
      <c r="F127" s="2" t="s">
        <v>14</v>
      </c>
      <c r="G127" s="2" t="s">
        <v>15</v>
      </c>
      <c r="H127" s="2">
        <v>150000000</v>
      </c>
      <c r="I127" s="2">
        <v>6.7</v>
      </c>
      <c r="J127" s="2">
        <f t="shared" si="0"/>
        <v>-16624154</v>
      </c>
      <c r="K127" s="2">
        <f t="shared" si="1"/>
        <v>4.863494169109709E-2</v>
      </c>
      <c r="L127" s="2" t="str">
        <f>IF(ISNUMBER(SEARCH("|",IMDB_Movies!$D127)),LEFT(IMDB_Movies!$D127,SEARCH("|",IMDB_Movies!$D127)-1),IMDB_Movies!$D127)</f>
        <v>Mystery</v>
      </c>
      <c r="N127" s="2"/>
      <c r="O127" s="2"/>
      <c r="P127" s="2"/>
      <c r="Q127" s="2"/>
      <c r="R127" s="2"/>
      <c r="S127" s="2"/>
      <c r="V127" s="2"/>
      <c r="W127" s="2"/>
    </row>
    <row r="128" spans="1:23" ht="12.5" x14ac:dyDescent="0.25">
      <c r="A128" s="2" t="s">
        <v>317</v>
      </c>
      <c r="B128" s="2">
        <v>115</v>
      </c>
      <c r="C128" s="2">
        <v>181015141</v>
      </c>
      <c r="D128" s="2" t="s">
        <v>17</v>
      </c>
      <c r="E128" s="2" t="s">
        <v>318</v>
      </c>
      <c r="F128" s="2" t="s">
        <v>14</v>
      </c>
      <c r="G128" s="2" t="s">
        <v>15</v>
      </c>
      <c r="H128" s="2">
        <v>150000000</v>
      </c>
      <c r="I128" s="2">
        <v>7</v>
      </c>
      <c r="J128" s="2">
        <f t="shared" si="0"/>
        <v>31015141</v>
      </c>
      <c r="K128" s="2">
        <f t="shared" si="1"/>
        <v>4.844372839916538E-2</v>
      </c>
      <c r="L128" s="2" t="str">
        <f>IF(ISNUMBER(SEARCH("|",IMDB_Movies!$D128)),LEFT(IMDB_Movies!$D128,SEARCH("|",IMDB_Movies!$D128)-1),IMDB_Movies!$D128)</f>
        <v>Action</v>
      </c>
      <c r="N128" s="2"/>
      <c r="O128" s="2"/>
      <c r="P128" s="2"/>
      <c r="Q128" s="2"/>
      <c r="R128" s="2"/>
      <c r="S128" s="2"/>
      <c r="V128" s="2"/>
      <c r="W128" s="2"/>
    </row>
    <row r="129" spans="1:23" ht="12.5" x14ac:dyDescent="0.25">
      <c r="A129" s="2" t="s">
        <v>319</v>
      </c>
      <c r="B129" s="2">
        <v>96</v>
      </c>
      <c r="C129" s="2">
        <v>114053579</v>
      </c>
      <c r="D129" s="2" t="s">
        <v>320</v>
      </c>
      <c r="E129" s="2" t="s">
        <v>321</v>
      </c>
      <c r="F129" s="2" t="s">
        <v>14</v>
      </c>
      <c r="G129" s="2" t="s">
        <v>15</v>
      </c>
      <c r="H129" s="2">
        <v>150000000</v>
      </c>
      <c r="I129" s="2">
        <v>6.9</v>
      </c>
      <c r="J129" s="2">
        <f t="shared" si="0"/>
        <v>-35946421</v>
      </c>
      <c r="K129" s="2">
        <f t="shared" si="1"/>
        <v>4.8162683130977421E-2</v>
      </c>
      <c r="L129" s="2" t="str">
        <f>IF(ISNUMBER(SEARCH("|",IMDB_Movies!$D129)),LEFT(IMDB_Movies!$D129,SEARCH("|",IMDB_Movies!$D129)-1),IMDB_Movies!$D129)</f>
        <v>Adventure</v>
      </c>
      <c r="N129" s="2"/>
      <c r="O129" s="2"/>
      <c r="P129" s="2"/>
      <c r="Q129" s="2"/>
      <c r="R129" s="2"/>
      <c r="S129" s="2"/>
      <c r="V129" s="2"/>
      <c r="W129" s="2"/>
    </row>
    <row r="130" spans="1:23" ht="12.5" x14ac:dyDescent="0.25">
      <c r="A130" s="2" t="s">
        <v>322</v>
      </c>
      <c r="B130" s="2">
        <v>88</v>
      </c>
      <c r="C130" s="2">
        <v>119420252</v>
      </c>
      <c r="D130" s="2" t="s">
        <v>323</v>
      </c>
      <c r="E130" s="2" t="s">
        <v>324</v>
      </c>
      <c r="F130" s="2" t="s">
        <v>14</v>
      </c>
      <c r="G130" s="2" t="s">
        <v>15</v>
      </c>
      <c r="H130" s="2">
        <v>150000000</v>
      </c>
      <c r="I130" s="2">
        <v>5.0999999999999996</v>
      </c>
      <c r="J130" s="2">
        <f t="shared" si="0"/>
        <v>-30579748</v>
      </c>
      <c r="K130" s="2">
        <f t="shared" si="1"/>
        <v>4.8009924252611053E-2</v>
      </c>
      <c r="L130" s="2" t="str">
        <f>IF(ISNUMBER(SEARCH("|",IMDB_Movies!$D130)),LEFT(IMDB_Movies!$D130,SEARCH("|",IMDB_Movies!$D130)-1),IMDB_Movies!$D130)</f>
        <v>Action</v>
      </c>
      <c r="N130" s="2"/>
      <c r="O130" s="2"/>
      <c r="P130" s="2"/>
      <c r="Q130" s="2"/>
      <c r="R130" s="2"/>
      <c r="S130" s="2"/>
      <c r="V130" s="2"/>
      <c r="W130" s="2"/>
    </row>
    <row r="131" spans="1:23" ht="12.5" x14ac:dyDescent="0.25">
      <c r="A131" s="2" t="s">
        <v>325</v>
      </c>
      <c r="B131" s="2">
        <v>99</v>
      </c>
      <c r="C131" s="2">
        <v>83640426</v>
      </c>
      <c r="D131" s="2" t="s">
        <v>17</v>
      </c>
      <c r="E131" s="2" t="s">
        <v>326</v>
      </c>
      <c r="F131" s="2" t="s">
        <v>14</v>
      </c>
      <c r="G131" s="2" t="s">
        <v>15</v>
      </c>
      <c r="H131" s="2">
        <v>150000000</v>
      </c>
      <c r="I131" s="2">
        <v>5.8</v>
      </c>
      <c r="J131" s="2">
        <f t="shared" si="0"/>
        <v>-66359574</v>
      </c>
      <c r="K131" s="2">
        <f t="shared" si="1"/>
        <v>4.7845989092734992E-2</v>
      </c>
      <c r="L131" s="2" t="str">
        <f>IF(ISNUMBER(SEARCH("|",IMDB_Movies!$D131)),LEFT(IMDB_Movies!$D131,SEARCH("|",IMDB_Movies!$D131)-1),IMDB_Movies!$D131)</f>
        <v>Action</v>
      </c>
      <c r="N131" s="2"/>
      <c r="O131" s="2"/>
      <c r="P131" s="2"/>
      <c r="Q131" s="2"/>
      <c r="R131" s="2"/>
      <c r="S131" s="2"/>
      <c r="V131" s="2"/>
      <c r="W131" s="2"/>
    </row>
    <row r="132" spans="1:23" ht="12.5" x14ac:dyDescent="0.25">
      <c r="A132" s="2" t="s">
        <v>99</v>
      </c>
      <c r="B132" s="2">
        <v>113</v>
      </c>
      <c r="C132" s="2">
        <v>79711678</v>
      </c>
      <c r="D132" s="2" t="s">
        <v>327</v>
      </c>
      <c r="E132" s="2" t="s">
        <v>328</v>
      </c>
      <c r="F132" s="2" t="s">
        <v>14</v>
      </c>
      <c r="G132" s="2" t="s">
        <v>15</v>
      </c>
      <c r="H132" s="2">
        <v>100000000</v>
      </c>
      <c r="I132" s="2">
        <v>6.2</v>
      </c>
      <c r="J132" s="2">
        <f t="shared" si="0"/>
        <v>-20288322</v>
      </c>
      <c r="K132" s="2">
        <f t="shared" si="1"/>
        <v>4.7757652326690575E-2</v>
      </c>
      <c r="L132" s="2" t="str">
        <f>IF(ISNUMBER(SEARCH("|",IMDB_Movies!$D132)),LEFT(IMDB_Movies!$D132,SEARCH("|",IMDB_Movies!$D132)-1),IMDB_Movies!$D132)</f>
        <v>Comedy</v>
      </c>
      <c r="N132" s="2"/>
      <c r="O132" s="2"/>
      <c r="P132" s="2"/>
      <c r="Q132" s="2"/>
      <c r="R132" s="2"/>
      <c r="S132" s="2"/>
      <c r="V132" s="2"/>
      <c r="W132" s="2"/>
    </row>
    <row r="133" spans="1:23" ht="12.5" x14ac:dyDescent="0.25">
      <c r="A133" s="2" t="s">
        <v>329</v>
      </c>
      <c r="B133" s="2">
        <v>131</v>
      </c>
      <c r="C133" s="2">
        <v>195000874</v>
      </c>
      <c r="D133" s="2" t="s">
        <v>20</v>
      </c>
      <c r="E133" s="2" t="s">
        <v>330</v>
      </c>
      <c r="F133" s="2" t="s">
        <v>14</v>
      </c>
      <c r="G133" s="2" t="s">
        <v>331</v>
      </c>
      <c r="H133" s="2">
        <v>150000000</v>
      </c>
      <c r="I133" s="2">
        <v>7.4</v>
      </c>
      <c r="J133" s="2">
        <f t="shared" si="0"/>
        <v>45000874</v>
      </c>
      <c r="K133" s="2">
        <f t="shared" si="1"/>
        <v>4.7714892459724052E-2</v>
      </c>
      <c r="L133" s="2" t="str">
        <f>IF(ISNUMBER(SEARCH("|",IMDB_Movies!$D133)),LEFT(IMDB_Movies!$D133,SEARCH("|",IMDB_Movies!$D133)-1),IMDB_Movies!$D133)</f>
        <v>Action</v>
      </c>
      <c r="N133" s="2"/>
      <c r="O133" s="2"/>
      <c r="P133" s="2"/>
      <c r="Q133" s="2"/>
      <c r="R133" s="2"/>
      <c r="S133" s="2"/>
      <c r="V133" s="2"/>
      <c r="W133" s="2"/>
    </row>
    <row r="134" spans="1:23" ht="12.5" x14ac:dyDescent="0.25">
      <c r="A134" s="2" t="s">
        <v>332</v>
      </c>
      <c r="B134" s="2">
        <v>119</v>
      </c>
      <c r="C134" s="2">
        <v>61937495</v>
      </c>
      <c r="D134" s="2" t="s">
        <v>333</v>
      </c>
      <c r="E134" s="2" t="s">
        <v>334</v>
      </c>
      <c r="F134" s="2" t="s">
        <v>14</v>
      </c>
      <c r="G134" s="2" t="s">
        <v>15</v>
      </c>
      <c r="H134" s="2">
        <v>150000000</v>
      </c>
      <c r="I134" s="2">
        <v>5.8</v>
      </c>
      <c r="J134" s="2">
        <f t="shared" si="0"/>
        <v>-88062505</v>
      </c>
      <c r="K134" s="2">
        <f t="shared" si="1"/>
        <v>4.7407565296706096E-2</v>
      </c>
      <c r="L134" s="2" t="str">
        <f>IF(ISNUMBER(SEARCH("|",IMDB_Movies!$D134)),LEFT(IMDB_Movies!$D134,SEARCH("|",IMDB_Movies!$D134)-1),IMDB_Movies!$D134)</f>
        <v>Drama</v>
      </c>
      <c r="N134" s="2"/>
      <c r="O134" s="2"/>
      <c r="P134" s="2"/>
      <c r="Q134" s="2"/>
      <c r="R134" s="2"/>
      <c r="S134" s="2"/>
      <c r="V134" s="2"/>
      <c r="W134" s="2"/>
    </row>
    <row r="135" spans="1:23" ht="12.5" x14ac:dyDescent="0.25">
      <c r="A135" s="2" t="s">
        <v>335</v>
      </c>
      <c r="B135" s="2">
        <v>91</v>
      </c>
      <c r="C135" s="2">
        <v>126597121</v>
      </c>
      <c r="D135" s="2" t="s">
        <v>181</v>
      </c>
      <c r="E135" s="2" t="s">
        <v>336</v>
      </c>
      <c r="F135" s="2" t="s">
        <v>14</v>
      </c>
      <c r="G135" s="2" t="s">
        <v>15</v>
      </c>
      <c r="H135" s="2">
        <v>150000000</v>
      </c>
      <c r="I135" s="2">
        <v>6.2</v>
      </c>
      <c r="J135" s="2">
        <f t="shared" si="0"/>
        <v>-23402879</v>
      </c>
      <c r="K135" s="2">
        <f t="shared" si="1"/>
        <v>4.7367518899186792E-2</v>
      </c>
      <c r="L135" s="2" t="str">
        <f>IF(ISNUMBER(SEARCH("|",IMDB_Movies!$D135)),LEFT(IMDB_Movies!$D135,SEARCH("|",IMDB_Movies!$D135)-1),IMDB_Movies!$D135)</f>
        <v>Adventure</v>
      </c>
      <c r="N135" s="2"/>
      <c r="O135" s="2"/>
      <c r="P135" s="2"/>
      <c r="Q135" s="2"/>
      <c r="R135" s="2"/>
      <c r="S135" s="2"/>
      <c r="V135" s="2"/>
      <c r="W135" s="2"/>
    </row>
    <row r="136" spans="1:23" ht="12.5" x14ac:dyDescent="0.25">
      <c r="A136" s="2" t="s">
        <v>337</v>
      </c>
      <c r="B136" s="2">
        <v>90</v>
      </c>
      <c r="C136" s="2">
        <v>165230261</v>
      </c>
      <c r="D136" s="2" t="s">
        <v>300</v>
      </c>
      <c r="E136" s="2" t="s">
        <v>338</v>
      </c>
      <c r="F136" s="2" t="s">
        <v>14</v>
      </c>
      <c r="G136" s="2" t="s">
        <v>15</v>
      </c>
      <c r="H136" s="2">
        <v>150000000</v>
      </c>
      <c r="I136" s="2">
        <v>7.3</v>
      </c>
      <c r="J136" s="2">
        <f t="shared" si="0"/>
        <v>15230261</v>
      </c>
      <c r="K136" s="2">
        <f t="shared" si="1"/>
        <v>4.7188153503471164E-2</v>
      </c>
      <c r="L136" s="2" t="str">
        <f>IF(ISNUMBER(SEARCH("|",IMDB_Movies!$D136)),LEFT(IMDB_Movies!$D136,SEARCH("|",IMDB_Movies!$D136)-1),IMDB_Movies!$D136)</f>
        <v>Action</v>
      </c>
      <c r="N136" s="2"/>
      <c r="O136" s="2"/>
      <c r="P136" s="2"/>
      <c r="Q136" s="2"/>
      <c r="R136" s="2"/>
      <c r="S136" s="2"/>
      <c r="V136" s="2"/>
      <c r="W136" s="2"/>
    </row>
    <row r="137" spans="1:23" ht="12.5" x14ac:dyDescent="0.25">
      <c r="A137" s="2" t="s">
        <v>339</v>
      </c>
      <c r="B137" s="2">
        <v>103</v>
      </c>
      <c r="C137" s="2">
        <v>131564731</v>
      </c>
      <c r="D137" s="2" t="s">
        <v>62</v>
      </c>
      <c r="E137" s="2" t="s">
        <v>340</v>
      </c>
      <c r="F137" s="2" t="s">
        <v>14</v>
      </c>
      <c r="G137" s="2" t="s">
        <v>15</v>
      </c>
      <c r="H137" s="2">
        <v>150000000</v>
      </c>
      <c r="I137" s="2">
        <v>4.2</v>
      </c>
      <c r="J137" s="2">
        <f t="shared" si="0"/>
        <v>-18435269</v>
      </c>
      <c r="K137" s="2">
        <f t="shared" si="1"/>
        <v>4.6933356943935127E-2</v>
      </c>
      <c r="L137" s="2" t="str">
        <f>IF(ISNUMBER(SEARCH("|",IMDB_Movies!$D137)),LEFT(IMDB_Movies!$D137,SEARCH("|",IMDB_Movies!$D137)-1),IMDB_Movies!$D137)</f>
        <v>Action</v>
      </c>
      <c r="N137" s="2"/>
      <c r="O137" s="2"/>
      <c r="P137" s="2"/>
      <c r="Q137" s="2"/>
      <c r="R137" s="2"/>
      <c r="S137" s="2"/>
      <c r="V137" s="2"/>
      <c r="W137" s="2"/>
    </row>
    <row r="138" spans="1:23" ht="12.5" x14ac:dyDescent="0.25">
      <c r="A138" s="2" t="s">
        <v>130</v>
      </c>
      <c r="B138" s="2">
        <v>124</v>
      </c>
      <c r="C138" s="2">
        <v>133382309</v>
      </c>
      <c r="D138" s="2" t="s">
        <v>20</v>
      </c>
      <c r="E138" s="2" t="s">
        <v>341</v>
      </c>
      <c r="F138" s="2" t="s">
        <v>14</v>
      </c>
      <c r="G138" s="2" t="s">
        <v>15</v>
      </c>
      <c r="H138" s="2">
        <v>150000000</v>
      </c>
      <c r="I138" s="2">
        <v>6.9</v>
      </c>
      <c r="J138" s="2">
        <f t="shared" si="0"/>
        <v>-16617691</v>
      </c>
      <c r="K138" s="2">
        <f t="shared" si="1"/>
        <v>4.6743435096774734E-2</v>
      </c>
      <c r="L138" s="2" t="str">
        <f>IF(ISNUMBER(SEARCH("|",IMDB_Movies!$D138)),LEFT(IMDB_Movies!$D138,SEARCH("|",IMDB_Movies!$D138)-1),IMDB_Movies!$D138)</f>
        <v>Action</v>
      </c>
      <c r="N138" s="2"/>
      <c r="O138" s="2"/>
      <c r="P138" s="2"/>
      <c r="Q138" s="2"/>
      <c r="R138" s="2"/>
      <c r="S138" s="2"/>
      <c r="V138" s="2"/>
      <c r="W138" s="2"/>
    </row>
    <row r="139" spans="1:23" ht="12.5" x14ac:dyDescent="0.25">
      <c r="A139" s="2" t="s">
        <v>155</v>
      </c>
      <c r="B139" s="2">
        <v>131</v>
      </c>
      <c r="C139" s="2">
        <v>73103784</v>
      </c>
      <c r="D139" s="2" t="s">
        <v>342</v>
      </c>
      <c r="E139" s="2" t="s">
        <v>343</v>
      </c>
      <c r="F139" s="2" t="s">
        <v>14</v>
      </c>
      <c r="G139" s="2" t="s">
        <v>15</v>
      </c>
      <c r="H139" s="2">
        <v>150000000</v>
      </c>
      <c r="I139" s="2">
        <v>6.4</v>
      </c>
      <c r="J139" s="2">
        <f t="shared" si="0"/>
        <v>-76896216</v>
      </c>
      <c r="K139" s="2">
        <f t="shared" si="1"/>
        <v>4.6549625649164587E-2</v>
      </c>
      <c r="L139" s="2" t="str">
        <f>IF(ISNUMBER(SEARCH("|",IMDB_Movies!$D139)),LEFT(IMDB_Movies!$D139,SEARCH("|",IMDB_Movies!$D139)-1),IMDB_Movies!$D139)</f>
        <v>Action</v>
      </c>
      <c r="N139" s="2"/>
      <c r="O139" s="2"/>
      <c r="P139" s="2"/>
      <c r="Q139" s="2"/>
      <c r="R139" s="2"/>
      <c r="S139" s="2"/>
      <c r="V139" s="2"/>
      <c r="W139" s="2"/>
    </row>
    <row r="140" spans="1:23" ht="12.5" x14ac:dyDescent="0.25">
      <c r="A140" s="2" t="s">
        <v>344</v>
      </c>
      <c r="B140" s="2">
        <v>88</v>
      </c>
      <c r="C140" s="2">
        <v>21379315</v>
      </c>
      <c r="D140" s="2" t="s">
        <v>185</v>
      </c>
      <c r="E140" s="2" t="s">
        <v>345</v>
      </c>
      <c r="F140" s="2" t="s">
        <v>14</v>
      </c>
      <c r="G140" s="2" t="s">
        <v>15</v>
      </c>
      <c r="H140" s="2">
        <v>150000000</v>
      </c>
      <c r="I140" s="2">
        <v>5.4</v>
      </c>
      <c r="J140" s="2">
        <f t="shared" si="0"/>
        <v>-128620685</v>
      </c>
      <c r="K140" s="2">
        <f t="shared" si="1"/>
        <v>4.6483804315140612E-2</v>
      </c>
      <c r="L140" s="2" t="str">
        <f>IF(ISNUMBER(SEARCH("|",IMDB_Movies!$D140)),LEFT(IMDB_Movies!$D140,SEARCH("|",IMDB_Movies!$D140)-1),IMDB_Movies!$D140)</f>
        <v>Action</v>
      </c>
      <c r="N140" s="2"/>
      <c r="O140" s="2"/>
      <c r="P140" s="2"/>
      <c r="Q140" s="2"/>
      <c r="R140" s="2"/>
      <c r="S140" s="2"/>
      <c r="V140" s="2"/>
      <c r="W140" s="2"/>
    </row>
    <row r="141" spans="1:23" ht="12.5" x14ac:dyDescent="0.25">
      <c r="A141" s="2" t="s">
        <v>346</v>
      </c>
      <c r="B141" s="2">
        <v>85</v>
      </c>
      <c r="C141" s="2">
        <v>64459316</v>
      </c>
      <c r="D141" s="2" t="s">
        <v>181</v>
      </c>
      <c r="E141" s="2" t="s">
        <v>347</v>
      </c>
      <c r="F141" s="2" t="s">
        <v>14</v>
      </c>
      <c r="G141" s="2" t="s">
        <v>22</v>
      </c>
      <c r="H141" s="2">
        <v>149000000</v>
      </c>
      <c r="I141" s="2">
        <v>6.7</v>
      </c>
      <c r="J141" s="2">
        <f t="shared" si="0"/>
        <v>-84540684</v>
      </c>
      <c r="K141" s="2">
        <f t="shared" si="1"/>
        <v>4.653967862782795E-2</v>
      </c>
      <c r="L141" s="2" t="str">
        <f>IF(ISNUMBER(SEARCH("|",IMDB_Movies!$D141)),LEFT(IMDB_Movies!$D141,SEARCH("|",IMDB_Movies!$D141)-1),IMDB_Movies!$D141)</f>
        <v>Adventure</v>
      </c>
      <c r="N141" s="2"/>
      <c r="O141" s="2"/>
      <c r="P141" s="2"/>
      <c r="Q141" s="2"/>
      <c r="R141" s="2"/>
      <c r="S141" s="2"/>
      <c r="V141" s="2"/>
      <c r="W141" s="2"/>
    </row>
    <row r="142" spans="1:23" ht="12.5" x14ac:dyDescent="0.25">
      <c r="A142" s="2" t="s">
        <v>348</v>
      </c>
      <c r="B142" s="2">
        <v>111</v>
      </c>
      <c r="C142" s="2">
        <v>34964818</v>
      </c>
      <c r="D142" s="2" t="s">
        <v>81</v>
      </c>
      <c r="E142" s="2" t="s">
        <v>349</v>
      </c>
      <c r="F142" s="2" t="s">
        <v>14</v>
      </c>
      <c r="G142" s="2" t="s">
        <v>15</v>
      </c>
      <c r="H142" s="2">
        <v>150000000</v>
      </c>
      <c r="I142" s="2">
        <v>5.8</v>
      </c>
      <c r="J142" s="2">
        <f t="shared" si="0"/>
        <v>-115035182</v>
      </c>
      <c r="K142" s="2">
        <f t="shared" si="1"/>
        <v>4.6493822358701753E-2</v>
      </c>
      <c r="L142" s="2" t="str">
        <f>IF(ISNUMBER(SEARCH("|",IMDB_Movies!$D142)),LEFT(IMDB_Movies!$D142,SEARCH("|",IMDB_Movies!$D142)-1),IMDB_Movies!$D142)</f>
        <v>Adventure</v>
      </c>
      <c r="V142" s="2"/>
      <c r="W142" s="2"/>
    </row>
    <row r="143" spans="1:23" ht="12.5" x14ac:dyDescent="0.25">
      <c r="A143" s="2" t="s">
        <v>350</v>
      </c>
      <c r="B143" s="2">
        <v>92</v>
      </c>
      <c r="C143" s="2">
        <v>111505642</v>
      </c>
      <c r="D143" s="2" t="s">
        <v>238</v>
      </c>
      <c r="E143" s="2" t="s">
        <v>351</v>
      </c>
      <c r="F143" s="2" t="s">
        <v>14</v>
      </c>
      <c r="G143" s="2" t="s">
        <v>15</v>
      </c>
      <c r="H143" s="2">
        <v>145000000</v>
      </c>
      <c r="I143" s="2">
        <v>6.9</v>
      </c>
      <c r="J143" s="2">
        <f t="shared" si="0"/>
        <v>-33494358</v>
      </c>
      <c r="K143" s="2">
        <f t="shared" si="1"/>
        <v>4.6516692436342953E-2</v>
      </c>
      <c r="L143" s="2" t="str">
        <f>IF(ISNUMBER(SEARCH("|",IMDB_Movies!$D143)),LEFT(IMDB_Movies!$D143,SEARCH("|",IMDB_Movies!$D143)-1),IMDB_Movies!$D143)</f>
        <v>Adventure</v>
      </c>
      <c r="V143" s="2"/>
      <c r="W143" s="2"/>
    </row>
    <row r="144" spans="1:23" ht="12.5" x14ac:dyDescent="0.25">
      <c r="A144" s="2" t="s">
        <v>266</v>
      </c>
      <c r="B144" s="2">
        <v>196</v>
      </c>
      <c r="C144" s="2">
        <v>133228348</v>
      </c>
      <c r="D144" s="2" t="s">
        <v>352</v>
      </c>
      <c r="E144" s="2" t="s">
        <v>353</v>
      </c>
      <c r="F144" s="2" t="s">
        <v>14</v>
      </c>
      <c r="G144" s="2" t="s">
        <v>15</v>
      </c>
      <c r="H144" s="2">
        <v>175000000</v>
      </c>
      <c r="I144" s="2">
        <v>7.2</v>
      </c>
      <c r="J144" s="2">
        <f t="shared" si="0"/>
        <v>-41771652</v>
      </c>
      <c r="K144" s="2">
        <f t="shared" si="1"/>
        <v>4.6374381748439011E-2</v>
      </c>
      <c r="L144" s="2" t="str">
        <f>IF(ISNUMBER(SEARCH("|",IMDB_Movies!$D144)),LEFT(IMDB_Movies!$D144,SEARCH("|",IMDB_Movies!$D144)-1),IMDB_Movies!$D144)</f>
        <v>Adventure</v>
      </c>
      <c r="V144" s="2"/>
      <c r="W144" s="2"/>
    </row>
    <row r="145" spans="1:23" ht="12.5" x14ac:dyDescent="0.25">
      <c r="A145" s="2" t="s">
        <v>299</v>
      </c>
      <c r="B145" s="2">
        <v>93</v>
      </c>
      <c r="C145" s="2">
        <v>216366733</v>
      </c>
      <c r="D145" s="2" t="s">
        <v>181</v>
      </c>
      <c r="E145" s="2" t="s">
        <v>354</v>
      </c>
      <c r="F145" s="2" t="s">
        <v>14</v>
      </c>
      <c r="G145" s="2" t="s">
        <v>15</v>
      </c>
      <c r="H145" s="2">
        <v>145000000</v>
      </c>
      <c r="I145" s="2">
        <v>6.9</v>
      </c>
      <c r="J145" s="2">
        <f t="shared" si="0"/>
        <v>71366733</v>
      </c>
      <c r="K145" s="2">
        <f t="shared" si="1"/>
        <v>4.6133000929396629E-2</v>
      </c>
      <c r="L145" s="2" t="str">
        <f>IF(ISNUMBER(SEARCH("|",IMDB_Movies!$D145)),LEFT(IMDB_Movies!$D145,SEARCH("|",IMDB_Movies!$D145)-1),IMDB_Movies!$D145)</f>
        <v>Adventure</v>
      </c>
      <c r="V145" s="2"/>
      <c r="W145" s="2"/>
    </row>
    <row r="146" spans="1:23" ht="18" x14ac:dyDescent="0.4">
      <c r="A146" s="2" t="s">
        <v>355</v>
      </c>
      <c r="B146" s="2">
        <v>133</v>
      </c>
      <c r="C146" s="2">
        <v>160201106</v>
      </c>
      <c r="D146" s="2" t="s">
        <v>20</v>
      </c>
      <c r="E146" s="2" t="s">
        <v>356</v>
      </c>
      <c r="F146" s="2" t="s">
        <v>14</v>
      </c>
      <c r="G146" s="2" t="s">
        <v>22</v>
      </c>
      <c r="H146" s="2">
        <v>142000000</v>
      </c>
      <c r="I146" s="2">
        <v>6.1</v>
      </c>
      <c r="J146" s="2">
        <f t="shared" si="0"/>
        <v>18201106</v>
      </c>
      <c r="K146" s="2">
        <f t="shared" si="1"/>
        <v>4.5802979881695016E-2</v>
      </c>
      <c r="L146" s="2" t="str">
        <f>IF(ISNUMBER(SEARCH("|",IMDB_Movies!$D146)),LEFT(IMDB_Movies!$D146,SEARCH("|",IMDB_Movies!$D146)-1),IMDB_Movies!$D146)</f>
        <v>Action</v>
      </c>
      <c r="N146" s="13"/>
      <c r="V146" s="2"/>
      <c r="W146" s="2"/>
    </row>
    <row r="147" spans="1:23" ht="12.5" x14ac:dyDescent="0.25">
      <c r="A147" s="2" t="s">
        <v>358</v>
      </c>
      <c r="B147" s="2">
        <v>116</v>
      </c>
      <c r="C147" s="2">
        <v>118099659</v>
      </c>
      <c r="D147" s="2" t="s">
        <v>359</v>
      </c>
      <c r="E147" s="2" t="s">
        <v>360</v>
      </c>
      <c r="F147" s="2" t="s">
        <v>14</v>
      </c>
      <c r="G147" s="2" t="s">
        <v>15</v>
      </c>
      <c r="H147" s="2">
        <v>144000000</v>
      </c>
      <c r="I147" s="2">
        <v>5.5</v>
      </c>
      <c r="J147" s="2">
        <f t="shared" si="0"/>
        <v>-25900341</v>
      </c>
      <c r="K147" s="2">
        <f t="shared" si="1"/>
        <v>4.5574677041364066E-2</v>
      </c>
      <c r="L147" s="2" t="str">
        <f>IF(ISNUMBER(SEARCH("|",IMDB_Movies!$D147)),LEFT(IMDB_Movies!$D147,SEARCH("|",IMDB_Movies!$D147)-1),IMDB_Movies!$D147)</f>
        <v>Action</v>
      </c>
      <c r="V147" s="2"/>
      <c r="W147" s="2"/>
    </row>
    <row r="148" spans="1:23" ht="14" x14ac:dyDescent="0.3">
      <c r="A148" s="2" t="s">
        <v>108</v>
      </c>
      <c r="B148" s="2">
        <v>153</v>
      </c>
      <c r="C148" s="2">
        <v>201573391</v>
      </c>
      <c r="D148" s="2" t="s">
        <v>90</v>
      </c>
      <c r="E148" s="2" t="s">
        <v>361</v>
      </c>
      <c r="F148" s="2" t="s">
        <v>14</v>
      </c>
      <c r="G148" s="2" t="s">
        <v>15</v>
      </c>
      <c r="H148" s="2">
        <v>140000000</v>
      </c>
      <c r="I148" s="2">
        <v>6.6</v>
      </c>
      <c r="J148" s="2">
        <f t="shared" si="0"/>
        <v>61573391</v>
      </c>
      <c r="K148" s="2">
        <f t="shared" si="1"/>
        <v>4.54198358709497E-2</v>
      </c>
      <c r="L148" s="2" t="str">
        <f>IF(ISNUMBER(SEARCH("|",IMDB_Movies!$D148)),LEFT(IMDB_Movies!$D148,SEARCH("|",IMDB_Movies!$D148)-1),IMDB_Movies!$D148)</f>
        <v>Action</v>
      </c>
      <c r="S148" s="10"/>
      <c r="T148" s="10"/>
      <c r="V148" s="2"/>
      <c r="W148" s="2"/>
    </row>
    <row r="149" spans="1:23" ht="12.5" x14ac:dyDescent="0.25">
      <c r="A149" s="2" t="s">
        <v>67</v>
      </c>
      <c r="B149" s="2">
        <v>88</v>
      </c>
      <c r="C149" s="2">
        <v>190418803</v>
      </c>
      <c r="D149" s="2" t="s">
        <v>365</v>
      </c>
      <c r="E149" s="2" t="s">
        <v>366</v>
      </c>
      <c r="F149" s="2" t="s">
        <v>14</v>
      </c>
      <c r="G149" s="2" t="s">
        <v>15</v>
      </c>
      <c r="H149" s="2">
        <v>140000000</v>
      </c>
      <c r="I149" s="2">
        <v>6.1</v>
      </c>
      <c r="J149" s="2">
        <f t="shared" si="0"/>
        <v>50418803</v>
      </c>
      <c r="K149" s="2">
        <f t="shared" si="1"/>
        <v>4.5128633616639803E-2</v>
      </c>
      <c r="L149" s="2" t="str">
        <f>IF(ISNUMBER(SEARCH("|",IMDB_Movies!$D149)),LEFT(IMDB_Movies!$D149,SEARCH("|",IMDB_Movies!$D149)-1),IMDB_Movies!$D149)</f>
        <v>Action</v>
      </c>
      <c r="V149" s="2"/>
      <c r="W149" s="2"/>
    </row>
    <row r="150" spans="1:23" ht="12.5" x14ac:dyDescent="0.25">
      <c r="A150" s="2" t="s">
        <v>160</v>
      </c>
      <c r="B150" s="2">
        <v>115</v>
      </c>
      <c r="C150" s="2">
        <v>82161969</v>
      </c>
      <c r="D150" s="2" t="s">
        <v>367</v>
      </c>
      <c r="E150" s="2" t="s">
        <v>368</v>
      </c>
      <c r="F150" s="2" t="s">
        <v>14</v>
      </c>
      <c r="G150" s="2" t="s">
        <v>15</v>
      </c>
      <c r="H150" s="2">
        <v>150000000</v>
      </c>
      <c r="I150" s="2">
        <v>6.3</v>
      </c>
      <c r="J150" s="2">
        <f t="shared" si="0"/>
        <v>-67838031</v>
      </c>
      <c r="K150" s="2">
        <f t="shared" si="1"/>
        <v>4.485419112396373E-2</v>
      </c>
      <c r="L150" s="2" t="str">
        <f>IF(ISNUMBER(SEARCH("|",IMDB_Movies!$D150)),LEFT(IMDB_Movies!$D150,SEARCH("|",IMDB_Movies!$D150)-1),IMDB_Movies!$D150)</f>
        <v>Action</v>
      </c>
      <c r="V150" s="2"/>
      <c r="W150" s="2"/>
    </row>
    <row r="151" spans="1:23" ht="12.5" x14ac:dyDescent="0.25">
      <c r="A151" s="2" t="s">
        <v>369</v>
      </c>
      <c r="B151" s="2">
        <v>95</v>
      </c>
      <c r="C151" s="2">
        <v>143523463</v>
      </c>
      <c r="D151" s="2" t="s">
        <v>300</v>
      </c>
      <c r="E151" s="2" t="s">
        <v>370</v>
      </c>
      <c r="F151" s="2" t="s">
        <v>14</v>
      </c>
      <c r="G151" s="2" t="s">
        <v>15</v>
      </c>
      <c r="H151" s="2">
        <v>145000000</v>
      </c>
      <c r="I151" s="2">
        <v>7.2</v>
      </c>
      <c r="J151" s="2">
        <f t="shared" si="0"/>
        <v>-1476537</v>
      </c>
      <c r="K151" s="2">
        <f t="shared" si="1"/>
        <v>4.4766789260492157E-2</v>
      </c>
      <c r="L151" s="2" t="str">
        <f>IF(ISNUMBER(SEARCH("|",IMDB_Movies!$D151)),LEFT(IMDB_Movies!$D151,SEARCH("|",IMDB_Movies!$D151)-1),IMDB_Movies!$D151)</f>
        <v>Action</v>
      </c>
      <c r="V151" s="2"/>
      <c r="W151" s="2"/>
    </row>
    <row r="152" spans="1:23" ht="12.5" x14ac:dyDescent="0.25">
      <c r="A152" s="2" t="s">
        <v>231</v>
      </c>
      <c r="B152" s="2">
        <v>133</v>
      </c>
      <c r="C152" s="2">
        <v>209364921</v>
      </c>
      <c r="D152" s="2" t="s">
        <v>20</v>
      </c>
      <c r="E152" s="2" t="s">
        <v>371</v>
      </c>
      <c r="F152" s="2" t="s">
        <v>14</v>
      </c>
      <c r="G152" s="2" t="s">
        <v>15</v>
      </c>
      <c r="H152" s="2">
        <v>145000000</v>
      </c>
      <c r="I152" s="2">
        <v>7.4</v>
      </c>
      <c r="J152" s="2">
        <f t="shared" si="0"/>
        <v>64364921</v>
      </c>
      <c r="K152" s="2">
        <f t="shared" si="1"/>
        <v>4.4560102124594471E-2</v>
      </c>
      <c r="L152" s="2" t="str">
        <f>IF(ISNUMBER(SEARCH("|",IMDB_Movies!$D152)),LEFT(IMDB_Movies!$D152,SEARCH("|",IMDB_Movies!$D152)-1),IMDB_Movies!$D152)</f>
        <v>Action</v>
      </c>
      <c r="V152" s="2"/>
      <c r="W152" s="2"/>
    </row>
    <row r="153" spans="1:23" ht="12.5" x14ac:dyDescent="0.25">
      <c r="A153" s="2" t="s">
        <v>372</v>
      </c>
      <c r="B153" s="2">
        <v>97</v>
      </c>
      <c r="C153" s="2">
        <v>103400692</v>
      </c>
      <c r="D153" s="2" t="s">
        <v>240</v>
      </c>
      <c r="E153" s="2" t="s">
        <v>373</v>
      </c>
      <c r="F153" s="2" t="s">
        <v>14</v>
      </c>
      <c r="G153" s="2" t="s">
        <v>15</v>
      </c>
      <c r="H153" s="2">
        <v>145000000</v>
      </c>
      <c r="I153" s="2">
        <v>7.3</v>
      </c>
      <c r="J153" s="2">
        <f t="shared" si="0"/>
        <v>-41599308</v>
      </c>
      <c r="K153" s="2">
        <f t="shared" si="1"/>
        <v>4.4236902494391495E-2</v>
      </c>
      <c r="L153" s="2" t="str">
        <f>IF(ISNUMBER(SEARCH("|",IMDB_Movies!$D153)),LEFT(IMDB_Movies!$D153,SEARCH("|",IMDB_Movies!$D153)-1),IMDB_Movies!$D153)</f>
        <v>Adventure</v>
      </c>
      <c r="V153" s="2"/>
      <c r="W153" s="2"/>
    </row>
    <row r="154" spans="1:23" ht="12.5" x14ac:dyDescent="0.25">
      <c r="A154" s="2" t="s">
        <v>374</v>
      </c>
      <c r="B154" s="2">
        <v>90</v>
      </c>
      <c r="C154" s="2">
        <v>110332737</v>
      </c>
      <c r="D154" s="2" t="s">
        <v>375</v>
      </c>
      <c r="E154" s="2" t="s">
        <v>376</v>
      </c>
      <c r="F154" s="2" t="s">
        <v>14</v>
      </c>
      <c r="G154" s="2" t="s">
        <v>15</v>
      </c>
      <c r="H154" s="2">
        <v>100000000</v>
      </c>
      <c r="I154" s="2">
        <v>6.1</v>
      </c>
      <c r="J154" s="2">
        <f t="shared" si="0"/>
        <v>10332737</v>
      </c>
      <c r="K154" s="2">
        <f t="shared" si="1"/>
        <v>4.4108607521325442E-2</v>
      </c>
      <c r="L154" s="2" t="str">
        <f>IF(ISNUMBER(SEARCH("|",IMDB_Movies!$D154)),LEFT(IMDB_Movies!$D154,SEARCH("|",IMDB_Movies!$D154)-1),IMDB_Movies!$D154)</f>
        <v>Comedy</v>
      </c>
      <c r="V154" s="2"/>
      <c r="W154" s="2"/>
    </row>
    <row r="155" spans="1:23" ht="12.5" x14ac:dyDescent="0.25">
      <c r="A155" s="2" t="s">
        <v>377</v>
      </c>
      <c r="B155" s="2">
        <v>154</v>
      </c>
      <c r="C155" s="2">
        <v>111110575</v>
      </c>
      <c r="D155" s="2" t="s">
        <v>378</v>
      </c>
      <c r="E155" s="2" t="s">
        <v>379</v>
      </c>
      <c r="F155" s="2" t="s">
        <v>14</v>
      </c>
      <c r="G155" s="2" t="s">
        <v>15</v>
      </c>
      <c r="H155" s="2">
        <v>140000000</v>
      </c>
      <c r="I155" s="2">
        <v>7.7</v>
      </c>
      <c r="J155" s="2">
        <f t="shared" si="0"/>
        <v>-28889425</v>
      </c>
      <c r="K155" s="2">
        <f t="shared" si="1"/>
        <v>4.4030020612453535E-2</v>
      </c>
      <c r="L155" s="2" t="str">
        <f>IF(ISNUMBER(SEARCH("|",IMDB_Movies!$D155)),LEFT(IMDB_Movies!$D155,SEARCH("|",IMDB_Movies!$D155)-1),IMDB_Movies!$D155)</f>
        <v>Action</v>
      </c>
      <c r="V155" s="2"/>
      <c r="W155" s="2"/>
    </row>
    <row r="156" spans="1:23" ht="12.5" x14ac:dyDescent="0.25">
      <c r="A156" s="2" t="s">
        <v>76</v>
      </c>
      <c r="B156" s="2">
        <v>150</v>
      </c>
      <c r="C156" s="2">
        <v>65007045</v>
      </c>
      <c r="D156" s="2" t="s">
        <v>380</v>
      </c>
      <c r="E156" s="2" t="s">
        <v>381</v>
      </c>
      <c r="F156" s="2" t="s">
        <v>14</v>
      </c>
      <c r="G156" s="2" t="s">
        <v>22</v>
      </c>
      <c r="H156" s="2">
        <v>140000000</v>
      </c>
      <c r="I156" s="2">
        <v>6.1</v>
      </c>
      <c r="J156" s="2">
        <f t="shared" si="0"/>
        <v>-74992955</v>
      </c>
      <c r="K156" s="2">
        <f t="shared" si="1"/>
        <v>4.3892953999192595E-2</v>
      </c>
      <c r="L156" s="2" t="str">
        <f>IF(ISNUMBER(SEARCH("|",IMDB_Movies!$D156)),LEFT(IMDB_Movies!$D156,SEARCH("|",IMDB_Movies!$D156)-1),IMDB_Movies!$D156)</f>
        <v>Action</v>
      </c>
      <c r="V156" s="2"/>
      <c r="W156" s="2"/>
    </row>
    <row r="157" spans="1:23" ht="12.5" x14ac:dyDescent="0.25">
      <c r="A157" s="2" t="s">
        <v>130</v>
      </c>
      <c r="B157" s="2">
        <v>127</v>
      </c>
      <c r="C157" s="2">
        <v>257704099</v>
      </c>
      <c r="D157" s="2" t="s">
        <v>28</v>
      </c>
      <c r="E157" s="2" t="s">
        <v>382</v>
      </c>
      <c r="F157" s="2" t="s">
        <v>14</v>
      </c>
      <c r="G157" s="2" t="s">
        <v>15</v>
      </c>
      <c r="H157" s="2">
        <v>150000000</v>
      </c>
      <c r="I157" s="2">
        <v>8</v>
      </c>
      <c r="J157" s="2">
        <f t="shared" si="0"/>
        <v>107704099</v>
      </c>
      <c r="K157" s="2">
        <f t="shared" si="1"/>
        <v>4.3848291909758724E-2</v>
      </c>
      <c r="L157" s="2" t="str">
        <f>IF(ISNUMBER(SEARCH("|",IMDB_Movies!$D157)),LEFT(IMDB_Movies!$D157,SEARCH("|",IMDB_Movies!$D157)-1),IMDB_Movies!$D157)</f>
        <v>Action</v>
      </c>
      <c r="V157" s="2"/>
      <c r="W157" s="2"/>
    </row>
    <row r="158" spans="1:23" ht="12.5" x14ac:dyDescent="0.25">
      <c r="A158" s="2" t="s">
        <v>39</v>
      </c>
      <c r="B158" s="2">
        <v>121</v>
      </c>
      <c r="C158" s="2">
        <v>403706375</v>
      </c>
      <c r="D158" s="2" t="s">
        <v>95</v>
      </c>
      <c r="E158" s="2" t="s">
        <v>383</v>
      </c>
      <c r="F158" s="2" t="s">
        <v>14</v>
      </c>
      <c r="G158" s="2" t="s">
        <v>15</v>
      </c>
      <c r="H158" s="2">
        <v>139000000</v>
      </c>
      <c r="I158" s="2">
        <v>7.3</v>
      </c>
      <c r="J158" s="2">
        <f t="shared" si="0"/>
        <v>264706375</v>
      </c>
      <c r="K158" s="2">
        <f t="shared" si="1"/>
        <v>4.3424531762387211E-2</v>
      </c>
      <c r="L158" s="2" t="str">
        <f>IF(ISNUMBER(SEARCH("|",IMDB_Movies!$D158)),LEFT(IMDB_Movies!$D158,SEARCH("|",IMDB_Movies!$D158)-1),IMDB_Movies!$D158)</f>
        <v>Action</v>
      </c>
      <c r="V158" s="2"/>
      <c r="W158" s="2"/>
    </row>
    <row r="159" spans="1:23" ht="12.5" x14ac:dyDescent="0.25">
      <c r="A159" s="2" t="s">
        <v>243</v>
      </c>
      <c r="B159" s="2">
        <v>102</v>
      </c>
      <c r="C159" s="2">
        <v>176997107</v>
      </c>
      <c r="D159" s="2" t="s">
        <v>384</v>
      </c>
      <c r="E159" s="2" t="s">
        <v>385</v>
      </c>
      <c r="F159" s="2" t="s">
        <v>14</v>
      </c>
      <c r="G159" s="2" t="s">
        <v>15</v>
      </c>
      <c r="H159" s="2">
        <v>145000000</v>
      </c>
      <c r="I159" s="2">
        <v>7.9</v>
      </c>
      <c r="J159" s="2">
        <f t="shared" si="0"/>
        <v>31997107</v>
      </c>
      <c r="K159" s="2">
        <f t="shared" si="1"/>
        <v>4.2893380198180973E-2</v>
      </c>
      <c r="L159" s="2" t="str">
        <f>IF(ISNUMBER(SEARCH("|",IMDB_Movies!$D159)),LEFT(IMDB_Movies!$D159,SEARCH("|",IMDB_Movies!$D159)-1),IMDB_Movies!$D159)</f>
        <v>Action</v>
      </c>
      <c r="V159" s="2"/>
      <c r="W159" s="2"/>
    </row>
    <row r="160" spans="1:23" ht="12.5" x14ac:dyDescent="0.25">
      <c r="A160" s="2" t="s">
        <v>386</v>
      </c>
      <c r="B160" s="2">
        <v>126</v>
      </c>
      <c r="C160" s="2">
        <v>31141074</v>
      </c>
      <c r="D160" s="2" t="s">
        <v>17</v>
      </c>
      <c r="E160" s="2" t="s">
        <v>387</v>
      </c>
      <c r="F160" s="2" t="s">
        <v>14</v>
      </c>
      <c r="G160" s="2" t="s">
        <v>15</v>
      </c>
      <c r="H160" s="2">
        <v>140000000</v>
      </c>
      <c r="I160" s="2">
        <v>5.5</v>
      </c>
      <c r="J160" s="2">
        <f t="shared" si="0"/>
        <v>-108858926</v>
      </c>
      <c r="K160" s="2">
        <f t="shared" si="1"/>
        <v>4.2620513187907133E-2</v>
      </c>
      <c r="L160" s="2" t="str">
        <f>IF(ISNUMBER(SEARCH("|",IMDB_Movies!$D160)),LEFT(IMDB_Movies!$D160,SEARCH("|",IMDB_Movies!$D160)-1),IMDB_Movies!$D160)</f>
        <v>Action</v>
      </c>
      <c r="V160" s="2"/>
      <c r="W160" s="2"/>
    </row>
    <row r="161" spans="1:23" ht="12.5" x14ac:dyDescent="0.25">
      <c r="A161" s="2" t="s">
        <v>197</v>
      </c>
      <c r="B161" s="2">
        <v>121</v>
      </c>
      <c r="C161" s="2">
        <v>31704416</v>
      </c>
      <c r="D161" s="2" t="s">
        <v>90</v>
      </c>
      <c r="E161" s="2" t="s">
        <v>388</v>
      </c>
      <c r="F161" s="2" t="s">
        <v>14</v>
      </c>
      <c r="G161" s="2" t="s">
        <v>15</v>
      </c>
      <c r="H161" s="2">
        <v>135000000</v>
      </c>
      <c r="I161" s="2">
        <v>5</v>
      </c>
      <c r="J161" s="2">
        <f t="shared" si="0"/>
        <v>-103295584</v>
      </c>
      <c r="K161" s="2">
        <f t="shared" si="1"/>
        <v>4.2648827399320854E-2</v>
      </c>
      <c r="L161" s="2" t="str">
        <f>IF(ISNUMBER(SEARCH("|",IMDB_Movies!$D161)),LEFT(IMDB_Movies!$D161,SEARCH("|",IMDB_Movies!$D161)-1),IMDB_Movies!$D161)</f>
        <v>Action</v>
      </c>
      <c r="V161" s="2"/>
      <c r="W161" s="2"/>
    </row>
    <row r="162" spans="1:23" ht="12.5" x14ac:dyDescent="0.25">
      <c r="A162" s="2" t="s">
        <v>50</v>
      </c>
      <c r="B162" s="2">
        <v>215</v>
      </c>
      <c r="C162" s="2">
        <v>107503316</v>
      </c>
      <c r="D162" s="2" t="s">
        <v>389</v>
      </c>
      <c r="E162" s="2" t="s">
        <v>390</v>
      </c>
      <c r="F162" s="2" t="s">
        <v>14</v>
      </c>
      <c r="G162" s="2" t="s">
        <v>15</v>
      </c>
      <c r="H162" s="2">
        <v>130000000</v>
      </c>
      <c r="I162" s="2">
        <v>7.7</v>
      </c>
      <c r="J162" s="2">
        <f t="shared" si="0"/>
        <v>-22496684</v>
      </c>
      <c r="K162" s="2">
        <f t="shared" si="1"/>
        <v>4.2674512513813621E-2</v>
      </c>
      <c r="L162" s="2" t="str">
        <f>IF(ISNUMBER(SEARCH("|",IMDB_Movies!$D162)),LEFT(IMDB_Movies!$D162,SEARCH("|",IMDB_Movies!$D162)-1),IMDB_Movies!$D162)</f>
        <v>Action</v>
      </c>
      <c r="V162" s="2"/>
      <c r="W162" s="2"/>
    </row>
    <row r="163" spans="1:23" ht="12.5" x14ac:dyDescent="0.25">
      <c r="A163" s="2" t="s">
        <v>391</v>
      </c>
      <c r="B163" s="2">
        <v>127</v>
      </c>
      <c r="C163" s="2">
        <v>129734803</v>
      </c>
      <c r="D163" s="2" t="s">
        <v>125</v>
      </c>
      <c r="E163" s="2" t="s">
        <v>392</v>
      </c>
      <c r="F163" s="2" t="s">
        <v>14</v>
      </c>
      <c r="G163" s="2" t="s">
        <v>15</v>
      </c>
      <c r="H163" s="2">
        <v>140000000</v>
      </c>
      <c r="I163" s="2">
        <v>6.6</v>
      </c>
      <c r="J163" s="2">
        <f t="shared" si="0"/>
        <v>-10265197</v>
      </c>
      <c r="K163" s="2">
        <f t="shared" si="1"/>
        <v>4.2556053513878575E-2</v>
      </c>
      <c r="L163" s="2" t="str">
        <f>IF(ISNUMBER(SEARCH("|",IMDB_Movies!$D163)),LEFT(IMDB_Movies!$D163,SEARCH("|",IMDB_Movies!$D163)-1),IMDB_Movies!$D163)</f>
        <v>Action</v>
      </c>
      <c r="V163" s="2"/>
      <c r="W163" s="2"/>
    </row>
    <row r="164" spans="1:23" ht="12.5" x14ac:dyDescent="0.25">
      <c r="A164" s="2" t="s">
        <v>393</v>
      </c>
      <c r="B164" s="2">
        <v>138</v>
      </c>
      <c r="C164" s="2">
        <v>132122995</v>
      </c>
      <c r="D164" s="2" t="s">
        <v>246</v>
      </c>
      <c r="E164" s="2" t="s">
        <v>394</v>
      </c>
      <c r="F164" s="2" t="s">
        <v>14</v>
      </c>
      <c r="G164" s="2" t="s">
        <v>15</v>
      </c>
      <c r="H164" s="2">
        <v>137000000</v>
      </c>
      <c r="I164" s="2">
        <v>5.7</v>
      </c>
      <c r="J164" s="2">
        <f t="shared" si="0"/>
        <v>-4877005</v>
      </c>
      <c r="K164" s="2">
        <f t="shared" si="1"/>
        <v>4.2381096719080427E-2</v>
      </c>
      <c r="L164" s="2" t="str">
        <f>IF(ISNUMBER(SEARCH("|",IMDB_Movies!$D164)),LEFT(IMDB_Movies!$D164,SEARCH("|",IMDB_Movies!$D164)-1),IMDB_Movies!$D164)</f>
        <v>Action</v>
      </c>
      <c r="V164" s="2"/>
      <c r="W164" s="2"/>
    </row>
    <row r="165" spans="1:23" ht="12.5" x14ac:dyDescent="0.25">
      <c r="A165" s="2" t="s">
        <v>395</v>
      </c>
      <c r="B165" s="2">
        <v>122</v>
      </c>
      <c r="C165" s="2">
        <v>122512052</v>
      </c>
      <c r="D165" s="2" t="s">
        <v>90</v>
      </c>
      <c r="E165" s="2" t="s">
        <v>396</v>
      </c>
      <c r="F165" s="2" t="s">
        <v>14</v>
      </c>
      <c r="G165" s="2" t="s">
        <v>15</v>
      </c>
      <c r="H165" s="2">
        <v>130000000</v>
      </c>
      <c r="I165" s="2">
        <v>5.8</v>
      </c>
      <c r="J165" s="2">
        <f t="shared" si="0"/>
        <v>-7487948</v>
      </c>
      <c r="K165" s="2">
        <f t="shared" si="1"/>
        <v>4.2207190379753373E-2</v>
      </c>
      <c r="L165" s="2" t="str">
        <f>IF(ISNUMBER(SEARCH("|",IMDB_Movies!$D165)),LEFT(IMDB_Movies!$D165,SEARCH("|",IMDB_Movies!$D165)-1),IMDB_Movies!$D165)</f>
        <v>Action</v>
      </c>
      <c r="V165" s="2"/>
      <c r="W165" s="2"/>
    </row>
    <row r="166" spans="1:23" ht="12.5" x14ac:dyDescent="0.25">
      <c r="A166" s="2" t="s">
        <v>397</v>
      </c>
      <c r="B166" s="2">
        <v>124</v>
      </c>
      <c r="C166" s="2">
        <v>68642452</v>
      </c>
      <c r="D166" s="2" t="s">
        <v>398</v>
      </c>
      <c r="E166" s="2" t="s">
        <v>399</v>
      </c>
      <c r="F166" s="2" t="s">
        <v>14</v>
      </c>
      <c r="G166" s="2" t="s">
        <v>22</v>
      </c>
      <c r="H166" s="2">
        <v>130000000</v>
      </c>
      <c r="I166" s="2">
        <v>6</v>
      </c>
      <c r="J166" s="2">
        <f t="shared" si="0"/>
        <v>-61357548</v>
      </c>
      <c r="K166" s="2">
        <f t="shared" si="1"/>
        <v>4.2062533841371763E-2</v>
      </c>
      <c r="L166" s="2" t="str">
        <f>IF(ISNUMBER(SEARCH("|",IMDB_Movies!$D166)),LEFT(IMDB_Movies!$D166,SEARCH("|",IMDB_Movies!$D166)-1),IMDB_Movies!$D166)</f>
        <v>Action</v>
      </c>
      <c r="V166" s="2"/>
      <c r="W166" s="2"/>
    </row>
    <row r="167" spans="1:23" ht="12.5" x14ac:dyDescent="0.25">
      <c r="A167" s="2" t="s">
        <v>400</v>
      </c>
      <c r="B167" s="2">
        <v>106</v>
      </c>
      <c r="C167" s="2">
        <v>32131830</v>
      </c>
      <c r="D167" s="2" t="s">
        <v>401</v>
      </c>
      <c r="E167" s="2" t="s">
        <v>402</v>
      </c>
      <c r="F167" s="2" t="s">
        <v>14</v>
      </c>
      <c r="G167" s="2" t="s">
        <v>15</v>
      </c>
      <c r="H167" s="2">
        <v>137000000</v>
      </c>
      <c r="I167" s="2">
        <v>6.4</v>
      </c>
      <c r="J167" s="2">
        <f t="shared" si="0"/>
        <v>-104868170</v>
      </c>
      <c r="K167" s="2">
        <f t="shared" si="1"/>
        <v>4.2014228933156247E-2</v>
      </c>
      <c r="L167" s="2" t="str">
        <f>IF(ISNUMBER(SEARCH("|",IMDB_Movies!$D167)),LEFT(IMDB_Movies!$D167,SEARCH("|",IMDB_Movies!$D167)-1),IMDB_Movies!$D167)</f>
        <v>Action</v>
      </c>
      <c r="V167" s="2"/>
      <c r="W167" s="2"/>
    </row>
    <row r="168" spans="1:23" ht="12.5" x14ac:dyDescent="0.25">
      <c r="A168" s="2" t="s">
        <v>332</v>
      </c>
      <c r="B168" s="2">
        <v>124</v>
      </c>
      <c r="C168" s="2">
        <v>176636816</v>
      </c>
      <c r="D168" s="2" t="s">
        <v>28</v>
      </c>
      <c r="E168" s="2" t="s">
        <v>403</v>
      </c>
      <c r="F168" s="2" t="s">
        <v>14</v>
      </c>
      <c r="G168" s="2" t="s">
        <v>15</v>
      </c>
      <c r="H168" s="2">
        <v>140000000</v>
      </c>
      <c r="I168" s="2">
        <v>6.9</v>
      </c>
      <c r="J168" s="2">
        <f t="shared" si="0"/>
        <v>36636816</v>
      </c>
      <c r="K168" s="2">
        <f t="shared" si="1"/>
        <v>4.2039388928481289E-2</v>
      </c>
      <c r="L168" s="2" t="str">
        <f>IF(ISNUMBER(SEARCH("|",IMDB_Movies!$D168)),LEFT(IMDB_Movies!$D168,SEARCH("|",IMDB_Movies!$D168)-1),IMDB_Movies!$D168)</f>
        <v>Action</v>
      </c>
      <c r="V168" s="2"/>
      <c r="W168" s="2"/>
    </row>
    <row r="169" spans="1:23" ht="12.5" x14ac:dyDescent="0.25">
      <c r="A169" s="2" t="s">
        <v>279</v>
      </c>
      <c r="B169" s="2">
        <v>128</v>
      </c>
      <c r="C169" s="2">
        <v>126930660</v>
      </c>
      <c r="D169" s="2" t="s">
        <v>20</v>
      </c>
      <c r="E169" s="2" t="s">
        <v>404</v>
      </c>
      <c r="F169" s="2" t="s">
        <v>14</v>
      </c>
      <c r="G169" s="2" t="s">
        <v>22</v>
      </c>
      <c r="H169" s="2">
        <v>135000000</v>
      </c>
      <c r="I169" s="2">
        <v>6.4</v>
      </c>
      <c r="J169" s="2">
        <f t="shared" si="0"/>
        <v>-8069340</v>
      </c>
      <c r="K169" s="2">
        <f t="shared" si="1"/>
        <v>4.1779440463560108E-2</v>
      </c>
      <c r="L169" s="2" t="str">
        <f>IF(ISNUMBER(SEARCH("|",IMDB_Movies!$D169)),LEFT(IMDB_Movies!$D169,SEARCH("|",IMDB_Movies!$D169)-1),IMDB_Movies!$D169)</f>
        <v>Action</v>
      </c>
      <c r="V169" s="2"/>
      <c r="W169" s="2"/>
    </row>
    <row r="170" spans="1:23" ht="12.5" x14ac:dyDescent="0.25">
      <c r="A170" s="2" t="s">
        <v>405</v>
      </c>
      <c r="B170" s="2">
        <v>138</v>
      </c>
      <c r="C170" s="2">
        <v>93926386</v>
      </c>
      <c r="D170" s="2" t="s">
        <v>406</v>
      </c>
      <c r="E170" s="2" t="s">
        <v>407</v>
      </c>
      <c r="F170" s="2" t="s">
        <v>14</v>
      </c>
      <c r="G170" s="2" t="s">
        <v>15</v>
      </c>
      <c r="H170" s="2">
        <v>150000000</v>
      </c>
      <c r="I170" s="2">
        <v>7.4</v>
      </c>
      <c r="J170" s="2">
        <f t="shared" si="0"/>
        <v>-56073614</v>
      </c>
      <c r="K170" s="2">
        <f t="shared" si="1"/>
        <v>4.1617710438309551E-2</v>
      </c>
      <c r="L170" s="2" t="str">
        <f>IF(ISNUMBER(SEARCH("|",IMDB_Movies!$D170)),LEFT(IMDB_Movies!$D170,SEARCH("|",IMDB_Movies!$D170)-1),IMDB_Movies!$D170)</f>
        <v>Action</v>
      </c>
      <c r="V170" s="2"/>
      <c r="W170" s="2"/>
    </row>
    <row r="171" spans="1:23" ht="12.5" x14ac:dyDescent="0.25">
      <c r="A171" s="2" t="s">
        <v>408</v>
      </c>
      <c r="B171" s="2">
        <v>115</v>
      </c>
      <c r="C171" s="2">
        <v>292298923</v>
      </c>
      <c r="D171" s="2" t="s">
        <v>409</v>
      </c>
      <c r="E171" s="2" t="s">
        <v>410</v>
      </c>
      <c r="F171" s="2" t="s">
        <v>14</v>
      </c>
      <c r="G171" s="2" t="s">
        <v>15</v>
      </c>
      <c r="H171" s="2">
        <v>120000000</v>
      </c>
      <c r="I171" s="2">
        <v>5.5</v>
      </c>
      <c r="J171" s="2">
        <f t="shared" si="0"/>
        <v>172298923</v>
      </c>
      <c r="K171" s="2">
        <f t="shared" si="1"/>
        <v>4.1500629959870423E-2</v>
      </c>
      <c r="L171" s="2" t="str">
        <f>IF(ISNUMBER(SEARCH("|",IMDB_Movies!$D171)),LEFT(IMDB_Movies!$D171,SEARCH("|",IMDB_Movies!$D171)-1),IMDB_Movies!$D171)</f>
        <v>Adventure</v>
      </c>
      <c r="V171" s="2"/>
      <c r="W171" s="2"/>
    </row>
    <row r="172" spans="1:23" ht="12.5" x14ac:dyDescent="0.25">
      <c r="A172" s="2" t="s">
        <v>312</v>
      </c>
      <c r="B172" s="2">
        <v>100</v>
      </c>
      <c r="C172" s="2">
        <v>63992328</v>
      </c>
      <c r="D172" s="2" t="s">
        <v>411</v>
      </c>
      <c r="E172" s="2" t="s">
        <v>412</v>
      </c>
      <c r="F172" s="2" t="s">
        <v>14</v>
      </c>
      <c r="G172" s="2" t="s">
        <v>135</v>
      </c>
      <c r="H172" s="2">
        <v>135000000</v>
      </c>
      <c r="I172" s="2">
        <v>5.9</v>
      </c>
      <c r="J172" s="2">
        <f t="shared" si="0"/>
        <v>-71007672</v>
      </c>
      <c r="K172" s="2">
        <f t="shared" si="1"/>
        <v>4.1174169125852644E-2</v>
      </c>
      <c r="L172" s="2" t="str">
        <f>IF(ISNUMBER(SEARCH("|",IMDB_Movies!$D172)),LEFT(IMDB_Movies!$D172,SEARCH("|",IMDB_Movies!$D172)-1),IMDB_Movies!$D172)</f>
        <v>Animation</v>
      </c>
      <c r="V172" s="2"/>
      <c r="W172" s="2"/>
    </row>
    <row r="173" spans="1:23" ht="12.5" x14ac:dyDescent="0.25">
      <c r="A173" s="2" t="s">
        <v>413</v>
      </c>
      <c r="B173" s="2">
        <v>135</v>
      </c>
      <c r="C173" s="2">
        <v>134518390</v>
      </c>
      <c r="D173" s="2" t="s">
        <v>28</v>
      </c>
      <c r="E173" s="2" t="s">
        <v>414</v>
      </c>
      <c r="F173" s="2" t="s">
        <v>14</v>
      </c>
      <c r="G173" s="2" t="s">
        <v>15</v>
      </c>
      <c r="H173" s="2">
        <v>150000000</v>
      </c>
      <c r="I173" s="2">
        <v>6.8</v>
      </c>
      <c r="J173" s="2">
        <f t="shared" si="0"/>
        <v>-15481610</v>
      </c>
      <c r="K173" s="2">
        <f t="shared" si="1"/>
        <v>4.1131968196377502E-2</v>
      </c>
      <c r="L173" s="2" t="str">
        <f>IF(ISNUMBER(SEARCH("|",IMDB_Movies!$D173)),LEFT(IMDB_Movies!$D173,SEARCH("|",IMDB_Movies!$D173)-1),IMDB_Movies!$D173)</f>
        <v>Action</v>
      </c>
      <c r="V173" s="2"/>
      <c r="W173" s="2"/>
    </row>
    <row r="174" spans="1:23" ht="12.5" x14ac:dyDescent="0.25">
      <c r="A174" s="2" t="s">
        <v>141</v>
      </c>
      <c r="B174" s="2">
        <v>117</v>
      </c>
      <c r="C174" s="2">
        <v>52792307</v>
      </c>
      <c r="D174" s="2" t="s">
        <v>81</v>
      </c>
      <c r="E174" s="2" t="s">
        <v>415</v>
      </c>
      <c r="F174" s="2" t="s">
        <v>14</v>
      </c>
      <c r="G174" s="2" t="s">
        <v>22</v>
      </c>
      <c r="H174" s="2">
        <v>140000000</v>
      </c>
      <c r="I174" s="2">
        <v>6.8</v>
      </c>
      <c r="J174" s="2">
        <f t="shared" si="0"/>
        <v>-87207693</v>
      </c>
      <c r="K174" s="2">
        <f t="shared" si="1"/>
        <v>4.0925856766906805E-2</v>
      </c>
      <c r="L174" s="2" t="str">
        <f>IF(ISNUMBER(SEARCH("|",IMDB_Movies!$D174)),LEFT(IMDB_Movies!$D174,SEARCH("|",IMDB_Movies!$D174)-1),IMDB_Movies!$D174)</f>
        <v>Adventure</v>
      </c>
      <c r="V174" s="2"/>
      <c r="W174" s="2"/>
    </row>
    <row r="175" spans="1:23" ht="12.5" x14ac:dyDescent="0.25">
      <c r="A175" s="2" t="s">
        <v>416</v>
      </c>
      <c r="B175" s="2">
        <v>156</v>
      </c>
      <c r="C175" s="2">
        <v>183635922</v>
      </c>
      <c r="D175" s="2" t="s">
        <v>417</v>
      </c>
      <c r="E175" s="2" t="s">
        <v>418</v>
      </c>
      <c r="F175" s="2" t="s">
        <v>14</v>
      </c>
      <c r="G175" s="2" t="s">
        <v>15</v>
      </c>
      <c r="H175" s="2">
        <v>135000000</v>
      </c>
      <c r="I175" s="2">
        <v>8.1</v>
      </c>
      <c r="J175" s="2">
        <f t="shared" si="0"/>
        <v>48635922</v>
      </c>
      <c r="K175" s="2">
        <f t="shared" si="1"/>
        <v>4.0905604525669069E-2</v>
      </c>
      <c r="L175" s="2" t="str">
        <f>IF(ISNUMBER(SEARCH("|",IMDB_Movies!$D175)),LEFT(IMDB_Movies!$D175,SEARCH("|",IMDB_Movies!$D175)-1),IMDB_Movies!$D175)</f>
        <v>Adventure</v>
      </c>
      <c r="V175" s="2"/>
      <c r="W175" s="2"/>
    </row>
    <row r="176" spans="1:23" ht="12.5" x14ac:dyDescent="0.25">
      <c r="A176" s="2" t="s">
        <v>419</v>
      </c>
      <c r="B176" s="2">
        <v>96</v>
      </c>
      <c r="C176" s="2">
        <v>83024900</v>
      </c>
      <c r="D176" s="2" t="s">
        <v>116</v>
      </c>
      <c r="E176" s="2" t="s">
        <v>420</v>
      </c>
      <c r="F176" s="2" t="s">
        <v>14</v>
      </c>
      <c r="G176" s="2" t="s">
        <v>15</v>
      </c>
      <c r="H176" s="2">
        <v>135000000</v>
      </c>
      <c r="I176" s="2">
        <v>6.5</v>
      </c>
      <c r="J176" s="2">
        <f t="shared" si="0"/>
        <v>-51975100</v>
      </c>
      <c r="K176" s="2">
        <f t="shared" si="1"/>
        <v>4.0646054265134325E-2</v>
      </c>
      <c r="L176" s="2" t="str">
        <f>IF(ISNUMBER(SEARCH("|",IMDB_Movies!$D176)),LEFT(IMDB_Movies!$D176,SEARCH("|",IMDB_Movies!$D176)-1),IMDB_Movies!$D176)</f>
        <v>Adventure</v>
      </c>
      <c r="V176" s="2"/>
      <c r="W176" s="2"/>
    </row>
    <row r="177" spans="1:23" ht="12.5" x14ac:dyDescent="0.25">
      <c r="A177" s="2" t="s">
        <v>16</v>
      </c>
      <c r="B177" s="2">
        <v>107</v>
      </c>
      <c r="C177" s="2">
        <v>123207194</v>
      </c>
      <c r="D177" s="2" t="s">
        <v>421</v>
      </c>
      <c r="E177" s="2" t="s">
        <v>422</v>
      </c>
      <c r="F177" s="2" t="s">
        <v>14</v>
      </c>
      <c r="G177" s="2" t="s">
        <v>15</v>
      </c>
      <c r="H177" s="2">
        <v>135000000</v>
      </c>
      <c r="I177" s="2">
        <v>7.2</v>
      </c>
      <c r="J177" s="2">
        <f t="shared" si="0"/>
        <v>-11792806</v>
      </c>
      <c r="K177" s="2">
        <f t="shared" si="1"/>
        <v>4.0565444528989199E-2</v>
      </c>
      <c r="L177" s="2" t="str">
        <f>IF(ISNUMBER(SEARCH("|",IMDB_Movies!$D177)),LEFT(IMDB_Movies!$D177,SEARCH("|",IMDB_Movies!$D177)-1),IMDB_Movies!$D177)</f>
        <v>Adventure</v>
      </c>
      <c r="V177" s="2"/>
      <c r="W177" s="2"/>
    </row>
    <row r="178" spans="1:23" ht="12.5" x14ac:dyDescent="0.25">
      <c r="A178" s="2" t="s">
        <v>299</v>
      </c>
      <c r="B178" s="2">
        <v>92</v>
      </c>
      <c r="C178" s="2">
        <v>83348920</v>
      </c>
      <c r="D178" s="2" t="s">
        <v>181</v>
      </c>
      <c r="E178" s="2" t="s">
        <v>423</v>
      </c>
      <c r="F178" s="2" t="s">
        <v>14</v>
      </c>
      <c r="G178" s="2" t="s">
        <v>15</v>
      </c>
      <c r="H178" s="2">
        <v>132000000</v>
      </c>
      <c r="I178" s="2">
        <v>6.7</v>
      </c>
      <c r="J178" s="2">
        <f t="shared" si="0"/>
        <v>-48651080</v>
      </c>
      <c r="K178" s="2">
        <f t="shared" si="1"/>
        <v>4.0408591795252802E-2</v>
      </c>
      <c r="L178" s="2" t="str">
        <f>IF(ISNUMBER(SEARCH("|",IMDB_Movies!$D178)),LEFT(IMDB_Movies!$D178,SEARCH("|",IMDB_Movies!$D178)-1),IMDB_Movies!$D178)</f>
        <v>Adventure</v>
      </c>
      <c r="V178" s="2"/>
      <c r="W178" s="2"/>
    </row>
    <row r="179" spans="1:23" ht="12.5" x14ac:dyDescent="0.25">
      <c r="A179" s="2" t="s">
        <v>424</v>
      </c>
      <c r="B179" s="2">
        <v>115</v>
      </c>
      <c r="C179" s="2">
        <v>227137090</v>
      </c>
      <c r="D179" s="2" t="s">
        <v>425</v>
      </c>
      <c r="E179" s="2" t="s">
        <v>426</v>
      </c>
      <c r="F179" s="2" t="s">
        <v>14</v>
      </c>
      <c r="G179" s="2" t="s">
        <v>15</v>
      </c>
      <c r="H179" s="2">
        <v>110000000</v>
      </c>
      <c r="I179" s="2">
        <v>8.1</v>
      </c>
      <c r="J179" s="2">
        <f t="shared" si="0"/>
        <v>117137090</v>
      </c>
      <c r="K179" s="2">
        <f t="shared" si="1"/>
        <v>4.0329770730921047E-2</v>
      </c>
      <c r="L179" s="2" t="str">
        <f>IF(ISNUMBER(SEARCH("|",IMDB_Movies!$D179)),LEFT(IMDB_Movies!$D179,SEARCH("|",IMDB_Movies!$D179)-1),IMDB_Movies!$D179)</f>
        <v>Action</v>
      </c>
      <c r="V179" s="2"/>
      <c r="W179" s="2"/>
    </row>
    <row r="180" spans="1:23" ht="12.5" x14ac:dyDescent="0.25">
      <c r="A180" s="2" t="s">
        <v>427</v>
      </c>
      <c r="B180" s="2">
        <v>92</v>
      </c>
      <c r="C180" s="2">
        <v>215395021</v>
      </c>
      <c r="D180" s="2" t="s">
        <v>300</v>
      </c>
      <c r="E180" s="2" t="s">
        <v>428</v>
      </c>
      <c r="F180" s="2" t="s">
        <v>14</v>
      </c>
      <c r="G180" s="2" t="s">
        <v>15</v>
      </c>
      <c r="H180" s="2">
        <v>130000000</v>
      </c>
      <c r="I180" s="2">
        <v>7.6</v>
      </c>
      <c r="J180" s="2">
        <f t="shared" si="0"/>
        <v>85395021</v>
      </c>
      <c r="K180" s="2">
        <f t="shared" si="1"/>
        <v>4.0103142730862594E-2</v>
      </c>
      <c r="L180" s="2" t="str">
        <f>IF(ISNUMBER(SEARCH("|",IMDB_Movies!$D180)),LEFT(IMDB_Movies!$D180,SEARCH("|",IMDB_Movies!$D180)-1),IMDB_Movies!$D180)</f>
        <v>Action</v>
      </c>
      <c r="V180" s="2"/>
      <c r="W180" s="2"/>
    </row>
    <row r="181" spans="1:23" ht="12.5" x14ac:dyDescent="0.25">
      <c r="A181" s="2" t="s">
        <v>429</v>
      </c>
      <c r="B181" s="2">
        <v>117</v>
      </c>
      <c r="C181" s="2">
        <v>180191634</v>
      </c>
      <c r="D181" s="2" t="s">
        <v>201</v>
      </c>
      <c r="E181" s="2" t="s">
        <v>430</v>
      </c>
      <c r="F181" s="2" t="s">
        <v>14</v>
      </c>
      <c r="G181" s="2" t="s">
        <v>15</v>
      </c>
      <c r="H181" s="2">
        <v>130000000</v>
      </c>
      <c r="I181" s="2">
        <v>7.4</v>
      </c>
      <c r="J181" s="2">
        <f t="shared" si="0"/>
        <v>50191634</v>
      </c>
      <c r="K181" s="2">
        <f t="shared" si="1"/>
        <v>3.9811063130864521E-2</v>
      </c>
      <c r="L181" s="2" t="str">
        <f>IF(ISNUMBER(SEARCH("|",IMDB_Movies!$D181)),LEFT(IMDB_Movies!$D181,SEARCH("|",IMDB_Movies!$D181)-1),IMDB_Movies!$D181)</f>
        <v>Action</v>
      </c>
      <c r="V181" s="2"/>
      <c r="W181" s="2"/>
    </row>
    <row r="182" spans="1:23" ht="12.5" x14ac:dyDescent="0.25">
      <c r="A182" s="2" t="s">
        <v>261</v>
      </c>
      <c r="B182" s="2">
        <v>146</v>
      </c>
      <c r="C182" s="2">
        <v>424645577</v>
      </c>
      <c r="D182" s="2" t="s">
        <v>431</v>
      </c>
      <c r="E182" s="2" t="s">
        <v>432</v>
      </c>
      <c r="F182" s="2" t="s">
        <v>14</v>
      </c>
      <c r="G182" s="2" t="s">
        <v>15</v>
      </c>
      <c r="H182" s="2">
        <v>130000000</v>
      </c>
      <c r="I182" s="2">
        <v>7.6</v>
      </c>
      <c r="J182" s="2">
        <f t="shared" si="0"/>
        <v>294645577</v>
      </c>
      <c r="K182" s="2">
        <f t="shared" si="1"/>
        <v>3.9569363517781168E-2</v>
      </c>
      <c r="L182" s="2" t="str">
        <f>IF(ISNUMBER(SEARCH("|",IMDB_Movies!$D182)),LEFT(IMDB_Movies!$D182,SEARCH("|",IMDB_Movies!$D182)-1),IMDB_Movies!$D182)</f>
        <v>Adventure</v>
      </c>
      <c r="V182" s="2"/>
      <c r="W182" s="2"/>
    </row>
    <row r="183" spans="1:23" ht="12.5" x14ac:dyDescent="0.25">
      <c r="A183" s="2" t="s">
        <v>433</v>
      </c>
      <c r="B183" s="2">
        <v>94</v>
      </c>
      <c r="C183" s="2">
        <v>177343675</v>
      </c>
      <c r="D183" s="2" t="s">
        <v>434</v>
      </c>
      <c r="E183" s="2" t="s">
        <v>435</v>
      </c>
      <c r="F183" s="2" t="s">
        <v>14</v>
      </c>
      <c r="G183" s="2" t="s">
        <v>15</v>
      </c>
      <c r="H183" s="2">
        <v>135000000</v>
      </c>
      <c r="I183" s="2">
        <v>6.7</v>
      </c>
      <c r="J183" s="2">
        <f t="shared" si="0"/>
        <v>42343675</v>
      </c>
      <c r="K183" s="2">
        <f t="shared" si="1"/>
        <v>3.9061410144635197E-2</v>
      </c>
      <c r="L183" s="2" t="str">
        <f>IF(ISNUMBER(SEARCH("|",IMDB_Movies!$D183)),LEFT(IMDB_Movies!$D183,SEARCH("|",IMDB_Movies!$D183)-1),IMDB_Movies!$D183)</f>
        <v>Adventure</v>
      </c>
      <c r="V183" s="2"/>
      <c r="W183" s="2"/>
    </row>
    <row r="184" spans="1:23" ht="12.5" x14ac:dyDescent="0.25">
      <c r="A184" s="2" t="s">
        <v>141</v>
      </c>
      <c r="B184" s="2">
        <v>116</v>
      </c>
      <c r="C184" s="2">
        <v>234277056</v>
      </c>
      <c r="D184" s="2" t="s">
        <v>431</v>
      </c>
      <c r="E184" s="2" t="s">
        <v>436</v>
      </c>
      <c r="F184" s="2" t="s">
        <v>14</v>
      </c>
      <c r="G184" s="2" t="s">
        <v>15</v>
      </c>
      <c r="H184" s="2">
        <v>132000000</v>
      </c>
      <c r="I184" s="2">
        <v>6.5</v>
      </c>
      <c r="J184" s="2">
        <f t="shared" si="0"/>
        <v>102277056</v>
      </c>
      <c r="K184" s="2">
        <f t="shared" si="1"/>
        <v>3.8806617823358425E-2</v>
      </c>
      <c r="L184" s="2" t="str">
        <f>IF(ISNUMBER(SEARCH("|",IMDB_Movies!$D184)),LEFT(IMDB_Movies!$D184,SEARCH("|",IMDB_Movies!$D184)-1),IMDB_Movies!$D184)</f>
        <v>Adventure</v>
      </c>
      <c r="V184" s="2"/>
      <c r="W184" s="2"/>
    </row>
    <row r="185" spans="1:23" ht="12.5" x14ac:dyDescent="0.25">
      <c r="A185" s="2" t="s">
        <v>108</v>
      </c>
      <c r="B185" s="2">
        <v>147</v>
      </c>
      <c r="C185" s="2">
        <v>138396624</v>
      </c>
      <c r="D185" s="2" t="s">
        <v>150</v>
      </c>
      <c r="E185" s="2" t="s">
        <v>437</v>
      </c>
      <c r="F185" s="2" t="s">
        <v>14</v>
      </c>
      <c r="G185" s="2" t="s">
        <v>15</v>
      </c>
      <c r="H185" s="2">
        <v>130000000</v>
      </c>
      <c r="I185" s="2">
        <v>6.6</v>
      </c>
      <c r="J185" s="2">
        <f t="shared" si="0"/>
        <v>8396624</v>
      </c>
      <c r="K185" s="2">
        <f t="shared" si="1"/>
        <v>3.8475007546712445E-2</v>
      </c>
      <c r="L185" s="2" t="str">
        <f>IF(ISNUMBER(SEARCH("|",IMDB_Movies!$D185)),LEFT(IMDB_Movies!$D185,SEARCH("|",IMDB_Movies!$D185)-1),IMDB_Movies!$D185)</f>
        <v>Action</v>
      </c>
      <c r="V185" s="2"/>
      <c r="W185" s="2"/>
    </row>
    <row r="186" spans="1:23" ht="12.5" x14ac:dyDescent="0.25">
      <c r="A186" s="2" t="s">
        <v>273</v>
      </c>
      <c r="B186" s="2">
        <v>90</v>
      </c>
      <c r="C186" s="2">
        <v>149234747</v>
      </c>
      <c r="D186" s="2" t="s">
        <v>384</v>
      </c>
      <c r="E186" s="2" t="s">
        <v>438</v>
      </c>
      <c r="F186" s="2" t="s">
        <v>14</v>
      </c>
      <c r="G186" s="2" t="s">
        <v>15</v>
      </c>
      <c r="H186" s="2">
        <v>130000000</v>
      </c>
      <c r="I186" s="2">
        <v>6.7</v>
      </c>
      <c r="J186" s="2">
        <f t="shared" si="0"/>
        <v>19234747</v>
      </c>
      <c r="K186" s="2">
        <f t="shared" si="1"/>
        <v>3.8297114145240035E-2</v>
      </c>
      <c r="L186" s="2" t="str">
        <f>IF(ISNUMBER(SEARCH("|",IMDB_Movies!$D186)),LEFT(IMDB_Movies!$D186,SEARCH("|",IMDB_Movies!$D186)-1),IMDB_Movies!$D186)</f>
        <v>Action</v>
      </c>
      <c r="V186" s="2"/>
      <c r="W186" s="2"/>
    </row>
    <row r="187" spans="1:23" ht="12.5" x14ac:dyDescent="0.25">
      <c r="A187" s="2" t="s">
        <v>439</v>
      </c>
      <c r="B187" s="2">
        <v>101</v>
      </c>
      <c r="C187" s="2">
        <v>118311368</v>
      </c>
      <c r="D187" s="2" t="s">
        <v>440</v>
      </c>
      <c r="E187" s="2" t="s">
        <v>441</v>
      </c>
      <c r="F187" s="2" t="s">
        <v>14</v>
      </c>
      <c r="G187" s="2" t="s">
        <v>15</v>
      </c>
      <c r="H187" s="2">
        <v>110000000</v>
      </c>
      <c r="I187" s="2">
        <v>6.4</v>
      </c>
      <c r="J187" s="2">
        <f t="shared" si="0"/>
        <v>8311368</v>
      </c>
      <c r="K187" s="2">
        <f t="shared" si="1"/>
        <v>3.8100752706884199E-2</v>
      </c>
      <c r="L187" s="2" t="str">
        <f>IF(ISNUMBER(SEARCH("|",IMDB_Movies!$D187)),LEFT(IMDB_Movies!$D187,SEARCH("|",IMDB_Movies!$D187)-1),IMDB_Movies!$D187)</f>
        <v>Action</v>
      </c>
      <c r="V187" s="2"/>
      <c r="W187" s="2"/>
    </row>
    <row r="188" spans="1:23" ht="12.5" x14ac:dyDescent="0.25">
      <c r="A188" s="2" t="s">
        <v>442</v>
      </c>
      <c r="B188" s="2">
        <v>138</v>
      </c>
      <c r="C188" s="2">
        <v>101160529</v>
      </c>
      <c r="D188" s="2" t="s">
        <v>380</v>
      </c>
      <c r="E188" s="2" t="s">
        <v>443</v>
      </c>
      <c r="F188" s="2" t="s">
        <v>14</v>
      </c>
      <c r="G188" s="2" t="s">
        <v>15</v>
      </c>
      <c r="H188" s="2">
        <v>125000000</v>
      </c>
      <c r="I188" s="2">
        <v>5.8</v>
      </c>
      <c r="J188" s="2">
        <f t="shared" si="0"/>
        <v>-23839471</v>
      </c>
      <c r="K188" s="2">
        <f t="shared" si="1"/>
        <v>3.7990613520459897E-2</v>
      </c>
      <c r="L188" s="2" t="str">
        <f>IF(ISNUMBER(SEARCH("|",IMDB_Movies!$D188)),LEFT(IMDB_Movies!$D188,SEARCH("|",IMDB_Movies!$D188)-1),IMDB_Movies!$D188)</f>
        <v>Action</v>
      </c>
      <c r="V188" s="2"/>
      <c r="W188" s="2"/>
    </row>
    <row r="189" spans="1:23" ht="12.5" x14ac:dyDescent="0.25">
      <c r="A189" s="2" t="s">
        <v>141</v>
      </c>
      <c r="B189" s="2">
        <v>107</v>
      </c>
      <c r="C189" s="2">
        <v>77564037</v>
      </c>
      <c r="D189" s="2" t="s">
        <v>444</v>
      </c>
      <c r="E189" s="2" t="s">
        <v>445</v>
      </c>
      <c r="F189" s="2" t="s">
        <v>14</v>
      </c>
      <c r="G189" s="2" t="s">
        <v>15</v>
      </c>
      <c r="H189" s="2">
        <v>135000000</v>
      </c>
      <c r="I189" s="2">
        <v>7.4</v>
      </c>
      <c r="J189" s="2">
        <f t="shared" si="0"/>
        <v>-57435963</v>
      </c>
      <c r="K189" s="2">
        <f t="shared" si="1"/>
        <v>3.788434877306298E-2</v>
      </c>
      <c r="L189" s="2" t="str">
        <f>IF(ISNUMBER(SEARCH("|",IMDB_Movies!$D189)),LEFT(IMDB_Movies!$D189,SEARCH("|",IMDB_Movies!$D189)-1),IMDB_Movies!$D189)</f>
        <v>Action</v>
      </c>
      <c r="V189" s="2"/>
      <c r="W189" s="2"/>
    </row>
    <row r="190" spans="1:23" ht="12.5" x14ac:dyDescent="0.25">
      <c r="A190" s="2" t="s">
        <v>446</v>
      </c>
      <c r="B190" s="2">
        <v>142</v>
      </c>
      <c r="C190" s="2">
        <v>249358727</v>
      </c>
      <c r="D190" s="2" t="s">
        <v>48</v>
      </c>
      <c r="E190" s="2" t="s">
        <v>447</v>
      </c>
      <c r="F190" s="2" t="s">
        <v>14</v>
      </c>
      <c r="G190" s="2" t="s">
        <v>22</v>
      </c>
      <c r="H190" s="2">
        <v>130000000</v>
      </c>
      <c r="I190" s="2">
        <v>7.8</v>
      </c>
      <c r="J190" s="2">
        <f t="shared" si="0"/>
        <v>119358727</v>
      </c>
      <c r="K190" s="2">
        <f t="shared" si="1"/>
        <v>3.7812074893543775E-2</v>
      </c>
      <c r="L190" s="2" t="str">
        <f>IF(ISNUMBER(SEARCH("|",IMDB_Movies!$D190)),LEFT(IMDB_Movies!$D190,SEARCH("|",IMDB_Movies!$D190)-1),IMDB_Movies!$D190)</f>
        <v>Adventure</v>
      </c>
      <c r="V190" s="2"/>
      <c r="W190" s="2"/>
    </row>
    <row r="191" spans="1:23" ht="12.5" x14ac:dyDescent="0.25">
      <c r="A191" s="2" t="s">
        <v>133</v>
      </c>
      <c r="B191" s="2">
        <v>165</v>
      </c>
      <c r="C191" s="2">
        <v>49551662</v>
      </c>
      <c r="D191" s="2" t="s">
        <v>448</v>
      </c>
      <c r="E191" s="2" t="s">
        <v>449</v>
      </c>
      <c r="F191" s="2" t="s">
        <v>14</v>
      </c>
      <c r="G191" s="2" t="s">
        <v>135</v>
      </c>
      <c r="H191" s="2">
        <v>130000000</v>
      </c>
      <c r="I191" s="2">
        <v>6.6</v>
      </c>
      <c r="J191" s="2">
        <f t="shared" si="0"/>
        <v>-80448338</v>
      </c>
      <c r="K191" s="2">
        <f t="shared" si="1"/>
        <v>3.7465187786488753E-2</v>
      </c>
      <c r="L191" s="2" t="str">
        <f>IF(ISNUMBER(SEARCH("|",IMDB_Movies!$D191)),LEFT(IMDB_Movies!$D191,SEARCH("|",IMDB_Movies!$D191)-1),IMDB_Movies!$D191)</f>
        <v>Adventure</v>
      </c>
      <c r="V191" s="2"/>
      <c r="W191" s="2"/>
    </row>
    <row r="192" spans="1:23" ht="12.5" x14ac:dyDescent="0.25">
      <c r="A192" s="2" t="s">
        <v>339</v>
      </c>
      <c r="B192" s="2">
        <v>100</v>
      </c>
      <c r="C192" s="2">
        <v>60522097</v>
      </c>
      <c r="D192" s="2" t="s">
        <v>28</v>
      </c>
      <c r="E192" s="2" t="s">
        <v>450</v>
      </c>
      <c r="F192" s="2" t="s">
        <v>14</v>
      </c>
      <c r="G192" s="2" t="s">
        <v>15</v>
      </c>
      <c r="H192" s="2">
        <v>130000000</v>
      </c>
      <c r="I192" s="2">
        <v>4.9000000000000004</v>
      </c>
      <c r="J192" s="2">
        <f t="shared" si="0"/>
        <v>-69477903</v>
      </c>
      <c r="K192" s="2">
        <f t="shared" si="1"/>
        <v>3.7451698215569429E-2</v>
      </c>
      <c r="L192" s="2" t="str">
        <f>IF(ISNUMBER(SEARCH("|",IMDB_Movies!$D192)),LEFT(IMDB_Movies!$D192,SEARCH("|",IMDB_Movies!$D192)-1),IMDB_Movies!$D192)</f>
        <v>Action</v>
      </c>
      <c r="V192" s="2"/>
      <c r="W192" s="2"/>
    </row>
    <row r="193" spans="1:23" ht="12.5" x14ac:dyDescent="0.25">
      <c r="A193" s="2" t="s">
        <v>451</v>
      </c>
      <c r="B193" s="2">
        <v>82</v>
      </c>
      <c r="C193" s="2">
        <v>137748063</v>
      </c>
      <c r="D193" s="2" t="s">
        <v>452</v>
      </c>
      <c r="E193" s="2" t="s">
        <v>453</v>
      </c>
      <c r="F193" s="2" t="s">
        <v>14</v>
      </c>
      <c r="G193" s="2" t="s">
        <v>15</v>
      </c>
      <c r="H193" s="2">
        <v>127500000</v>
      </c>
      <c r="I193" s="2">
        <v>6.5</v>
      </c>
      <c r="J193" s="2">
        <f t="shared" si="0"/>
        <v>10248063</v>
      </c>
      <c r="K193" s="2">
        <f t="shared" si="1"/>
        <v>3.7416197682184009E-2</v>
      </c>
      <c r="L193" s="2" t="str">
        <f>IF(ISNUMBER(SEARCH("|",IMDB_Movies!$D193)),LEFT(IMDB_Movies!$D193,SEARCH("|",IMDB_Movies!$D193)-1),IMDB_Movies!$D193)</f>
        <v>Adventure</v>
      </c>
      <c r="V193" s="2"/>
      <c r="W193" s="2"/>
    </row>
    <row r="194" spans="1:23" ht="12.5" x14ac:dyDescent="0.25">
      <c r="A194" s="2" t="s">
        <v>302</v>
      </c>
      <c r="B194" s="2">
        <v>98</v>
      </c>
      <c r="C194" s="2">
        <v>113733726</v>
      </c>
      <c r="D194" s="2" t="s">
        <v>294</v>
      </c>
      <c r="E194" s="2" t="s">
        <v>454</v>
      </c>
      <c r="F194" s="2" t="s">
        <v>14</v>
      </c>
      <c r="G194" s="2" t="s">
        <v>15</v>
      </c>
      <c r="H194" s="2">
        <v>127000000</v>
      </c>
      <c r="I194" s="2">
        <v>6.2</v>
      </c>
      <c r="J194" s="2">
        <f t="shared" si="0"/>
        <v>-13266274</v>
      </c>
      <c r="K194" s="2">
        <f t="shared" si="1"/>
        <v>3.7242905180241988E-2</v>
      </c>
      <c r="L194" s="2" t="str">
        <f>IF(ISNUMBER(SEARCH("|",IMDB_Movies!$D194)),LEFT(IMDB_Movies!$D194,SEARCH("|",IMDB_Movies!$D194)-1),IMDB_Movies!$D194)</f>
        <v>Adventure</v>
      </c>
      <c r="V194" s="2"/>
      <c r="W194" s="2"/>
    </row>
    <row r="195" spans="1:23" ht="12.5" x14ac:dyDescent="0.25">
      <c r="A195" s="2" t="s">
        <v>455</v>
      </c>
      <c r="B195" s="2">
        <v>95</v>
      </c>
      <c r="C195" s="2">
        <v>148337537</v>
      </c>
      <c r="D195" s="2" t="s">
        <v>456</v>
      </c>
      <c r="E195" s="2" t="s">
        <v>457</v>
      </c>
      <c r="F195" s="2" t="s">
        <v>14</v>
      </c>
      <c r="G195" s="2" t="s">
        <v>15</v>
      </c>
      <c r="H195" s="2">
        <v>130000000</v>
      </c>
      <c r="I195" s="2">
        <v>7.3</v>
      </c>
      <c r="J195" s="2">
        <f t="shared" si="0"/>
        <v>18337537</v>
      </c>
      <c r="K195" s="2">
        <f t="shared" si="1"/>
        <v>3.7111125930275012E-2</v>
      </c>
      <c r="L195" s="2" t="str">
        <f>IF(ISNUMBER(SEARCH("|",IMDB_Movies!$D195)),LEFT(IMDB_Movies!$D195,SEARCH("|",IMDB_Movies!$D195)-1),IMDB_Movies!$D195)</f>
        <v>Action</v>
      </c>
      <c r="V195" s="2"/>
      <c r="W195" s="2"/>
    </row>
    <row r="196" spans="1:23" ht="12.5" x14ac:dyDescent="0.25">
      <c r="A196" s="2" t="s">
        <v>458</v>
      </c>
      <c r="B196" s="2">
        <v>159</v>
      </c>
      <c r="C196" s="2">
        <v>317557891</v>
      </c>
      <c r="D196" s="2" t="s">
        <v>81</v>
      </c>
      <c r="E196" s="2" t="s">
        <v>459</v>
      </c>
      <c r="F196" s="2" t="s">
        <v>14</v>
      </c>
      <c r="G196" s="2" t="s">
        <v>22</v>
      </c>
      <c r="H196" s="2">
        <v>125000000</v>
      </c>
      <c r="I196" s="2">
        <v>7.5</v>
      </c>
      <c r="J196" s="2">
        <f t="shared" si="0"/>
        <v>192557891</v>
      </c>
      <c r="K196" s="2">
        <f t="shared" si="1"/>
        <v>3.6914075985056714E-2</v>
      </c>
      <c r="L196" s="2" t="str">
        <f>IF(ISNUMBER(SEARCH("|",IMDB_Movies!$D196)),LEFT(IMDB_Movies!$D196,SEARCH("|",IMDB_Movies!$D196)-1),IMDB_Movies!$D196)</f>
        <v>Adventure</v>
      </c>
      <c r="V196" s="2"/>
      <c r="W196" s="2"/>
    </row>
    <row r="197" spans="1:23" ht="12.5" x14ac:dyDescent="0.25">
      <c r="A197" s="2" t="s">
        <v>460</v>
      </c>
      <c r="B197" s="2">
        <v>96</v>
      </c>
      <c r="C197" s="2">
        <v>33592415</v>
      </c>
      <c r="D197" s="2" t="s">
        <v>461</v>
      </c>
      <c r="E197" s="2" t="s">
        <v>462</v>
      </c>
      <c r="F197" s="2" t="s">
        <v>14</v>
      </c>
      <c r="G197" s="2" t="s">
        <v>15</v>
      </c>
      <c r="H197" s="2">
        <v>130000000</v>
      </c>
      <c r="I197" s="2">
        <v>5.6</v>
      </c>
      <c r="J197" s="2">
        <f t="shared" si="0"/>
        <v>-96407585</v>
      </c>
      <c r="K197" s="2">
        <f t="shared" si="1"/>
        <v>3.6510620319143657E-2</v>
      </c>
      <c r="L197" s="2" t="str">
        <f>IF(ISNUMBER(SEARCH("|",IMDB_Movies!$D197)),LEFT(IMDB_Movies!$D197,SEARCH("|",IMDB_Movies!$D197)-1),IMDB_Movies!$D197)</f>
        <v>Action</v>
      </c>
      <c r="V197" s="2"/>
      <c r="W197" s="2"/>
    </row>
    <row r="198" spans="1:23" ht="12.5" x14ac:dyDescent="0.25">
      <c r="A198" s="2" t="s">
        <v>16</v>
      </c>
      <c r="B198" s="2">
        <v>143</v>
      </c>
      <c r="C198" s="2">
        <v>305388685</v>
      </c>
      <c r="D198" s="2" t="s">
        <v>17</v>
      </c>
      <c r="E198" s="2" t="s">
        <v>463</v>
      </c>
      <c r="F198" s="2" t="s">
        <v>14</v>
      </c>
      <c r="G198" s="2" t="s">
        <v>15</v>
      </c>
      <c r="H198" s="2">
        <v>140000000</v>
      </c>
      <c r="I198" s="2">
        <v>8.1</v>
      </c>
      <c r="J198" s="2">
        <f t="shared" si="0"/>
        <v>165388685</v>
      </c>
      <c r="K198" s="2">
        <f t="shared" si="1"/>
        <v>3.6529650650767423E-2</v>
      </c>
      <c r="L198" s="2" t="str">
        <f>IF(ISNUMBER(SEARCH("|",IMDB_Movies!$D198)),LEFT(IMDB_Movies!$D198,SEARCH("|",IMDB_Movies!$D198)-1),IMDB_Movies!$D198)</f>
        <v>Action</v>
      </c>
      <c r="V198" s="2"/>
      <c r="W198" s="2"/>
    </row>
    <row r="199" spans="1:23" ht="12.5" x14ac:dyDescent="0.25">
      <c r="A199" s="2" t="s">
        <v>261</v>
      </c>
      <c r="B199" s="2">
        <v>123</v>
      </c>
      <c r="C199" s="2">
        <v>337103873</v>
      </c>
      <c r="D199" s="2" t="s">
        <v>431</v>
      </c>
      <c r="E199" s="2" t="s">
        <v>464</v>
      </c>
      <c r="F199" s="2" t="s">
        <v>14</v>
      </c>
      <c r="G199" s="2" t="s">
        <v>15</v>
      </c>
      <c r="H199" s="2">
        <v>125000000</v>
      </c>
      <c r="I199" s="2">
        <v>6.7</v>
      </c>
      <c r="J199" s="2">
        <f t="shared" si="0"/>
        <v>212103873</v>
      </c>
      <c r="K199" s="2">
        <f t="shared" si="1"/>
        <v>3.6047426696639462E-2</v>
      </c>
      <c r="L199" s="2" t="str">
        <f>IF(ISNUMBER(SEARCH("|",IMDB_Movies!$D199)),LEFT(IMDB_Movies!$D199,SEARCH("|",IMDB_Movies!$D199)-1),IMDB_Movies!$D199)</f>
        <v>Adventure</v>
      </c>
      <c r="V199" s="2"/>
      <c r="W199" s="2"/>
    </row>
    <row r="200" spans="1:23" ht="12.5" x14ac:dyDescent="0.25">
      <c r="A200" s="2" t="s">
        <v>314</v>
      </c>
      <c r="B200" s="2">
        <v>174</v>
      </c>
      <c r="C200" s="2">
        <v>217536138</v>
      </c>
      <c r="D200" s="2" t="s">
        <v>315</v>
      </c>
      <c r="E200" s="2" t="s">
        <v>465</v>
      </c>
      <c r="F200" s="2" t="s">
        <v>14</v>
      </c>
      <c r="G200" s="2" t="s">
        <v>15</v>
      </c>
      <c r="H200" s="2">
        <v>125000000</v>
      </c>
      <c r="I200" s="2">
        <v>6.6</v>
      </c>
      <c r="J200" s="2">
        <f t="shared" si="0"/>
        <v>92536138</v>
      </c>
      <c r="K200" s="2">
        <f t="shared" si="1"/>
        <v>3.5618918778966634E-2</v>
      </c>
      <c r="L200" s="2" t="str">
        <f>IF(ISNUMBER(SEARCH("|",IMDB_Movies!$D200)),LEFT(IMDB_Movies!$D200,SEARCH("|",IMDB_Movies!$D200)-1),IMDB_Movies!$D200)</f>
        <v>Mystery</v>
      </c>
      <c r="V200" s="2"/>
      <c r="W200" s="2"/>
    </row>
    <row r="201" spans="1:23" ht="12.5" x14ac:dyDescent="0.25">
      <c r="A201" s="2" t="s">
        <v>466</v>
      </c>
      <c r="B201" s="2">
        <v>101</v>
      </c>
      <c r="C201" s="2">
        <v>131536019</v>
      </c>
      <c r="D201" s="2" t="s">
        <v>467</v>
      </c>
      <c r="E201" s="2" t="s">
        <v>468</v>
      </c>
      <c r="F201" s="2" t="s">
        <v>14</v>
      </c>
      <c r="G201" s="2" t="s">
        <v>15</v>
      </c>
      <c r="H201" s="2">
        <v>103000000</v>
      </c>
      <c r="I201" s="2">
        <v>6.4</v>
      </c>
      <c r="J201" s="2">
        <f t="shared" si="0"/>
        <v>28536019</v>
      </c>
      <c r="K201" s="2">
        <f t="shared" si="1"/>
        <v>3.5327080420204125E-2</v>
      </c>
      <c r="L201" s="2" t="str">
        <f>IF(ISNUMBER(SEARCH("|",IMDB_Movies!$D201)),LEFT(IMDB_Movies!$D201,SEARCH("|",IMDB_Movies!$D201)-1),IMDB_Movies!$D201)</f>
        <v>Adventure</v>
      </c>
      <c r="V201" s="2"/>
      <c r="W201" s="2"/>
    </row>
    <row r="202" spans="1:23" ht="12.5" x14ac:dyDescent="0.25">
      <c r="A202" s="2" t="s">
        <v>52</v>
      </c>
      <c r="B202" s="2">
        <v>134</v>
      </c>
      <c r="C202" s="2">
        <v>214948780</v>
      </c>
      <c r="D202" s="2" t="s">
        <v>102</v>
      </c>
      <c r="E202" s="2" t="s">
        <v>469</v>
      </c>
      <c r="F202" s="2" t="s">
        <v>14</v>
      </c>
      <c r="G202" s="2" t="s">
        <v>104</v>
      </c>
      <c r="H202" s="2">
        <v>110000000</v>
      </c>
      <c r="I202" s="2">
        <v>7.5</v>
      </c>
      <c r="J202" s="2">
        <f t="shared" si="0"/>
        <v>104948780</v>
      </c>
      <c r="K202" s="2">
        <f t="shared" si="1"/>
        <v>3.5209448285183458E-2</v>
      </c>
      <c r="L202" s="2" t="str">
        <f>IF(ISNUMBER(SEARCH("|",IMDB_Movies!$D202)),LEFT(IMDB_Movies!$D202,SEARCH("|",IMDB_Movies!$D202)-1),IMDB_Movies!$D202)</f>
        <v>Action</v>
      </c>
      <c r="V202" s="2"/>
      <c r="W202" s="2"/>
    </row>
    <row r="203" spans="1:23" ht="12.5" x14ac:dyDescent="0.25">
      <c r="A203" s="2" t="s">
        <v>145</v>
      </c>
      <c r="B203" s="2">
        <v>132</v>
      </c>
      <c r="C203" s="2">
        <v>209805005</v>
      </c>
      <c r="D203" s="2" t="s">
        <v>125</v>
      </c>
      <c r="E203" s="2" t="s">
        <v>470</v>
      </c>
      <c r="F203" s="2" t="s">
        <v>14</v>
      </c>
      <c r="G203" s="2" t="s">
        <v>15</v>
      </c>
      <c r="H203" s="2">
        <v>125000000</v>
      </c>
      <c r="I203" s="2">
        <v>7.3</v>
      </c>
      <c r="J203" s="2">
        <f t="shared" si="0"/>
        <v>84805005</v>
      </c>
      <c r="K203" s="2">
        <f t="shared" si="1"/>
        <v>3.49784018530854E-2</v>
      </c>
      <c r="L203" s="2" t="str">
        <f>IF(ISNUMBER(SEARCH("|",IMDB_Movies!$D203)),LEFT(IMDB_Movies!$D203,SEARCH("|",IMDB_Movies!$D203)-1),IMDB_Movies!$D203)</f>
        <v>Action</v>
      </c>
      <c r="V203" s="2"/>
      <c r="W203" s="2"/>
    </row>
    <row r="204" spans="1:23" ht="12.5" x14ac:dyDescent="0.25">
      <c r="A204" s="2" t="s">
        <v>471</v>
      </c>
      <c r="B204" s="2">
        <v>129</v>
      </c>
      <c r="C204" s="2">
        <v>186830669</v>
      </c>
      <c r="D204" s="2" t="s">
        <v>472</v>
      </c>
      <c r="E204" s="2" t="s">
        <v>473</v>
      </c>
      <c r="F204" s="2" t="s">
        <v>14</v>
      </c>
      <c r="G204" s="2" t="s">
        <v>15</v>
      </c>
      <c r="H204" s="2">
        <v>125000000</v>
      </c>
      <c r="I204" s="2">
        <v>7.5</v>
      </c>
      <c r="J204" s="2">
        <f t="shared" si="0"/>
        <v>61830669</v>
      </c>
      <c r="K204" s="2">
        <f t="shared" si="1"/>
        <v>3.4695183489098523E-2</v>
      </c>
      <c r="L204" s="2" t="str">
        <f>IF(ISNUMBER(SEARCH("|",IMDB_Movies!$D204)),LEFT(IMDB_Movies!$D204,SEARCH("|",IMDB_Movies!$D204)-1),IMDB_Movies!$D204)</f>
        <v>Action</v>
      </c>
      <c r="V204" s="2"/>
      <c r="W204" s="2"/>
    </row>
    <row r="205" spans="1:23" ht="12.5" x14ac:dyDescent="0.25">
      <c r="A205" s="2" t="s">
        <v>413</v>
      </c>
      <c r="B205" s="2">
        <v>106</v>
      </c>
      <c r="C205" s="2">
        <v>163192114</v>
      </c>
      <c r="D205" s="2" t="s">
        <v>17</v>
      </c>
      <c r="E205" s="2" t="s">
        <v>474</v>
      </c>
      <c r="F205" s="2" t="s">
        <v>14</v>
      </c>
      <c r="G205" s="2" t="s">
        <v>15</v>
      </c>
      <c r="H205" s="2">
        <v>125000000</v>
      </c>
      <c r="I205" s="2">
        <v>5.8</v>
      </c>
      <c r="J205" s="2">
        <f t="shared" si="0"/>
        <v>38192114</v>
      </c>
      <c r="K205" s="2">
        <f t="shared" si="1"/>
        <v>3.4444547430269E-2</v>
      </c>
      <c r="L205" s="2" t="str">
        <f>IF(ISNUMBER(SEARCH("|",IMDB_Movies!$D205)),LEFT(IMDB_Movies!$D205,SEARCH("|",IMDB_Movies!$D205)-1),IMDB_Movies!$D205)</f>
        <v>Action</v>
      </c>
      <c r="V205" s="2"/>
      <c r="W205" s="2"/>
    </row>
    <row r="206" spans="1:23" ht="12.5" x14ac:dyDescent="0.25">
      <c r="A206" s="2" t="s">
        <v>475</v>
      </c>
      <c r="B206" s="2">
        <v>113</v>
      </c>
      <c r="C206" s="2">
        <v>119412921</v>
      </c>
      <c r="D206" s="2" t="s">
        <v>246</v>
      </c>
      <c r="E206" s="2" t="s">
        <v>476</v>
      </c>
      <c r="F206" s="2" t="s">
        <v>14</v>
      </c>
      <c r="G206" s="2" t="s">
        <v>15</v>
      </c>
      <c r="H206" s="2">
        <v>65000000</v>
      </c>
      <c r="I206" s="2">
        <v>7.5</v>
      </c>
      <c r="J206" s="2">
        <f t="shared" si="0"/>
        <v>54412921</v>
      </c>
      <c r="K206" s="2">
        <f t="shared" si="1"/>
        <v>3.422965737269551E-2</v>
      </c>
      <c r="L206" s="2" t="str">
        <f>IF(ISNUMBER(SEARCH("|",IMDB_Movies!$D206)),LEFT(IMDB_Movies!$D206,SEARCH("|",IMDB_Movies!$D206)-1),IMDB_Movies!$D206)</f>
        <v>Action</v>
      </c>
      <c r="V206" s="2"/>
      <c r="W206" s="2"/>
    </row>
    <row r="207" spans="1:23" ht="12.5" x14ac:dyDescent="0.25">
      <c r="A207" s="2" t="s">
        <v>477</v>
      </c>
      <c r="B207" s="2">
        <v>102</v>
      </c>
      <c r="C207" s="2">
        <v>32694788</v>
      </c>
      <c r="D207" s="2" t="s">
        <v>478</v>
      </c>
      <c r="E207" s="2" t="s">
        <v>479</v>
      </c>
      <c r="F207" s="2" t="s">
        <v>14</v>
      </c>
      <c r="G207" s="2" t="s">
        <v>15</v>
      </c>
      <c r="H207" s="2">
        <v>85000000</v>
      </c>
      <c r="I207" s="2">
        <v>6.6</v>
      </c>
      <c r="J207" s="2">
        <f t="shared" si="0"/>
        <v>-52305212</v>
      </c>
      <c r="K207" s="2">
        <f t="shared" si="1"/>
        <v>3.4191855679406545E-2</v>
      </c>
      <c r="L207" s="2" t="str">
        <f>IF(ISNUMBER(SEARCH("|",IMDB_Movies!$D207)),LEFT(IMDB_Movies!$D207,SEARCH("|",IMDB_Movies!$D207)-1),IMDB_Movies!$D207)</f>
        <v>Action</v>
      </c>
      <c r="V207" s="2"/>
      <c r="W207" s="2"/>
    </row>
    <row r="208" spans="1:23" ht="12.5" x14ac:dyDescent="0.25">
      <c r="A208" s="2" t="s">
        <v>480</v>
      </c>
      <c r="B208" s="2">
        <v>135</v>
      </c>
      <c r="C208" s="2">
        <v>113165635</v>
      </c>
      <c r="D208" s="2" t="s">
        <v>20</v>
      </c>
      <c r="E208" s="2" t="s">
        <v>481</v>
      </c>
      <c r="F208" s="2" t="s">
        <v>14</v>
      </c>
      <c r="G208" s="2" t="s">
        <v>15</v>
      </c>
      <c r="H208" s="2">
        <v>125000000</v>
      </c>
      <c r="I208" s="2">
        <v>6.7</v>
      </c>
      <c r="J208" s="2">
        <f t="shared" si="0"/>
        <v>-11834365</v>
      </c>
      <c r="K208" s="2">
        <f t="shared" si="1"/>
        <v>3.4202124310868547E-2</v>
      </c>
      <c r="L208" s="2" t="str">
        <f>IF(ISNUMBER(SEARCH("|",IMDB_Movies!$D208)),LEFT(IMDB_Movies!$D208,SEARCH("|",IMDB_Movies!$D208)-1),IMDB_Movies!$D208)</f>
        <v>Action</v>
      </c>
      <c r="V208" s="2"/>
      <c r="W208" s="2"/>
    </row>
    <row r="209" spans="1:23" ht="12.5" x14ac:dyDescent="0.25">
      <c r="A209" s="2" t="s">
        <v>482</v>
      </c>
      <c r="B209" s="2">
        <v>125</v>
      </c>
      <c r="C209" s="2">
        <v>107285004</v>
      </c>
      <c r="D209" s="2" t="s">
        <v>483</v>
      </c>
      <c r="E209" s="2" t="s">
        <v>484</v>
      </c>
      <c r="F209" s="2" t="s">
        <v>14</v>
      </c>
      <c r="G209" s="2" t="s">
        <v>15</v>
      </c>
      <c r="H209" s="2">
        <v>125000000</v>
      </c>
      <c r="I209" s="2">
        <v>3.7</v>
      </c>
      <c r="J209" s="2">
        <f t="shared" si="0"/>
        <v>-17714996</v>
      </c>
      <c r="K209" s="2">
        <f t="shared" si="1"/>
        <v>3.4069946758567331E-2</v>
      </c>
      <c r="L209" s="2" t="str">
        <f>IF(ISNUMBER(SEARCH("|",IMDB_Movies!$D209)),LEFT(IMDB_Movies!$D209,SEARCH("|",IMDB_Movies!$D209)-1),IMDB_Movies!$D209)</f>
        <v>Action</v>
      </c>
      <c r="V209" s="2"/>
      <c r="W209" s="2"/>
    </row>
    <row r="210" spans="1:23" ht="12.5" x14ac:dyDescent="0.25">
      <c r="A210" s="2" t="s">
        <v>314</v>
      </c>
      <c r="B210" s="2">
        <v>110</v>
      </c>
      <c r="C210" s="2">
        <v>260031035</v>
      </c>
      <c r="D210" s="2" t="s">
        <v>204</v>
      </c>
      <c r="E210" s="2" t="s">
        <v>485</v>
      </c>
      <c r="F210" s="2" t="s">
        <v>14</v>
      </c>
      <c r="G210" s="2" t="s">
        <v>15</v>
      </c>
      <c r="H210" s="2">
        <v>123000000</v>
      </c>
      <c r="I210" s="2">
        <v>6</v>
      </c>
      <c r="J210" s="2">
        <f t="shared" si="0"/>
        <v>137031035</v>
      </c>
      <c r="K210" s="2">
        <f t="shared" si="1"/>
        <v>3.3947970615345067E-2</v>
      </c>
      <c r="L210" s="2" t="str">
        <f>IF(ISNUMBER(SEARCH("|",IMDB_Movies!$D210)),LEFT(IMDB_Movies!$D210,SEARCH("|",IMDB_Movies!$D210)-1),IMDB_Movies!$D210)</f>
        <v>Comedy</v>
      </c>
      <c r="V210" s="2"/>
      <c r="W210" s="2"/>
    </row>
    <row r="211" spans="1:23" ht="12.5" x14ac:dyDescent="0.25">
      <c r="A211" s="2" t="s">
        <v>155</v>
      </c>
      <c r="B211" s="2">
        <v>124</v>
      </c>
      <c r="C211" s="2">
        <v>186739919</v>
      </c>
      <c r="D211" s="2" t="s">
        <v>90</v>
      </c>
      <c r="E211" s="2" t="s">
        <v>486</v>
      </c>
      <c r="F211" s="2" t="s">
        <v>14</v>
      </c>
      <c r="G211" s="2" t="s">
        <v>15</v>
      </c>
      <c r="H211" s="2">
        <v>125000000</v>
      </c>
      <c r="I211" s="2">
        <v>6.4</v>
      </c>
      <c r="J211" s="2">
        <f t="shared" si="0"/>
        <v>61739919</v>
      </c>
      <c r="K211" s="2">
        <f t="shared" si="1"/>
        <v>3.3603501698656814E-2</v>
      </c>
      <c r="L211" s="2" t="str">
        <f>IF(ISNUMBER(SEARCH("|",IMDB_Movies!$D211)),LEFT(IMDB_Movies!$D211,SEARCH("|",IMDB_Movies!$D211)-1),IMDB_Movies!$D211)</f>
        <v>Action</v>
      </c>
      <c r="V211" s="2"/>
      <c r="W211" s="2"/>
    </row>
    <row r="212" spans="1:23" ht="12.5" x14ac:dyDescent="0.25">
      <c r="A212" s="2" t="s">
        <v>487</v>
      </c>
      <c r="B212" s="2">
        <v>123</v>
      </c>
      <c r="C212" s="2">
        <v>215397307</v>
      </c>
      <c r="D212" s="2" t="s">
        <v>20</v>
      </c>
      <c r="E212" s="2" t="s">
        <v>488</v>
      </c>
      <c r="F212" s="2" t="s">
        <v>14</v>
      </c>
      <c r="G212" s="2" t="s">
        <v>15</v>
      </c>
      <c r="H212" s="2">
        <v>125000000</v>
      </c>
      <c r="I212" s="2">
        <v>6.1</v>
      </c>
      <c r="J212" s="2">
        <f t="shared" si="0"/>
        <v>90397307</v>
      </c>
      <c r="K212" s="2">
        <f t="shared" si="1"/>
        <v>3.3350022705444689E-2</v>
      </c>
      <c r="L212" s="2" t="str">
        <f>IF(ISNUMBER(SEARCH("|",IMDB_Movies!$D212)),LEFT(IMDB_Movies!$D212,SEARCH("|",IMDB_Movies!$D212)-1),IMDB_Movies!$D212)</f>
        <v>Action</v>
      </c>
      <c r="V212" s="2"/>
      <c r="W212" s="2"/>
    </row>
    <row r="213" spans="1:23" ht="12.5" x14ac:dyDescent="0.25">
      <c r="A213" s="2" t="s">
        <v>266</v>
      </c>
      <c r="B213" s="2">
        <v>130</v>
      </c>
      <c r="C213" s="2">
        <v>182618434</v>
      </c>
      <c r="D213" s="2" t="s">
        <v>267</v>
      </c>
      <c r="E213" s="2" t="s">
        <v>489</v>
      </c>
      <c r="F213" s="2" t="s">
        <v>14</v>
      </c>
      <c r="G213" s="2" t="s">
        <v>15</v>
      </c>
      <c r="H213" s="2">
        <v>140000000</v>
      </c>
      <c r="I213" s="2">
        <v>6.4</v>
      </c>
      <c r="J213" s="2">
        <f t="shared" si="0"/>
        <v>42618434</v>
      </c>
      <c r="K213" s="2">
        <f t="shared" si="1"/>
        <v>3.3053566575333752E-2</v>
      </c>
      <c r="L213" s="2" t="str">
        <f>IF(ISNUMBER(SEARCH("|",IMDB_Movies!$D213)),LEFT(IMDB_Movies!$D213,SEARCH("|",IMDB_Movies!$D213)-1),IMDB_Movies!$D213)</f>
        <v>Action</v>
      </c>
      <c r="V213" s="2"/>
      <c r="W213" s="2"/>
    </row>
    <row r="214" spans="1:23" ht="12.5" x14ac:dyDescent="0.25">
      <c r="A214" s="2" t="s">
        <v>490</v>
      </c>
      <c r="B214" s="2">
        <v>92</v>
      </c>
      <c r="C214" s="2">
        <v>131920333</v>
      </c>
      <c r="D214" s="2" t="s">
        <v>90</v>
      </c>
      <c r="E214" s="2" t="s">
        <v>491</v>
      </c>
      <c r="F214" s="2" t="s">
        <v>14</v>
      </c>
      <c r="G214" s="2" t="s">
        <v>15</v>
      </c>
      <c r="H214" s="2">
        <v>130000000</v>
      </c>
      <c r="I214" s="2">
        <v>5.6</v>
      </c>
      <c r="J214" s="2">
        <f t="shared" si="0"/>
        <v>1920333</v>
      </c>
      <c r="K214" s="2">
        <f t="shared" si="1"/>
        <v>3.2756839576798195E-2</v>
      </c>
      <c r="L214" s="2" t="str">
        <f>IF(ISNUMBER(SEARCH("|",IMDB_Movies!$D214)),LEFT(IMDB_Movies!$D214,SEARCH("|",IMDB_Movies!$D214)-1),IMDB_Movies!$D214)</f>
        <v>Action</v>
      </c>
      <c r="V214" s="2"/>
      <c r="W214" s="2"/>
    </row>
    <row r="215" spans="1:23" ht="12.5" x14ac:dyDescent="0.25">
      <c r="A215" s="2" t="s">
        <v>393</v>
      </c>
      <c r="B215" s="2">
        <v>127</v>
      </c>
      <c r="C215" s="2">
        <v>124976634</v>
      </c>
      <c r="D215" s="2" t="s">
        <v>492</v>
      </c>
      <c r="E215" s="2" t="s">
        <v>493</v>
      </c>
      <c r="F215" s="2" t="s">
        <v>14</v>
      </c>
      <c r="G215" s="2" t="s">
        <v>15</v>
      </c>
      <c r="H215" s="2">
        <v>120000000</v>
      </c>
      <c r="I215" s="2">
        <v>8</v>
      </c>
      <c r="J215" s="2">
        <f t="shared" si="0"/>
        <v>4976634</v>
      </c>
      <c r="K215" s="2">
        <f t="shared" si="1"/>
        <v>3.2579931830313602E-2</v>
      </c>
      <c r="L215" s="2" t="str">
        <f>IF(ISNUMBER(SEARCH("|",IMDB_Movies!$D215)),LEFT(IMDB_Movies!$D215,SEARCH("|",IMDB_Movies!$D215)-1),IMDB_Movies!$D215)</f>
        <v>Adventure</v>
      </c>
      <c r="V215" s="2"/>
      <c r="W215" s="2"/>
    </row>
    <row r="216" spans="1:23" ht="12.5" x14ac:dyDescent="0.25">
      <c r="A216" s="2" t="s">
        <v>494</v>
      </c>
      <c r="B216" s="2">
        <v>123</v>
      </c>
      <c r="C216" s="2">
        <v>115802596</v>
      </c>
      <c r="D216" s="2" t="s">
        <v>495</v>
      </c>
      <c r="E216" s="2" t="s">
        <v>496</v>
      </c>
      <c r="F216" s="2" t="s">
        <v>14</v>
      </c>
      <c r="G216" s="2" t="s">
        <v>15</v>
      </c>
      <c r="H216" s="2">
        <v>110000000</v>
      </c>
      <c r="I216" s="2">
        <v>5.2</v>
      </c>
      <c r="J216" s="2">
        <f t="shared" si="0"/>
        <v>5802596</v>
      </c>
      <c r="K216" s="2">
        <f t="shared" si="1"/>
        <v>3.2434482575405349E-2</v>
      </c>
      <c r="L216" s="2" t="str">
        <f>IF(ISNUMBER(SEARCH("|",IMDB_Movies!$D216)),LEFT(IMDB_Movies!$D216,SEARCH("|",IMDB_Movies!$D216)-1),IMDB_Movies!$D216)</f>
        <v>Action</v>
      </c>
      <c r="V216" s="2"/>
      <c r="W216" s="2"/>
    </row>
    <row r="217" spans="1:23" ht="12.5" x14ac:dyDescent="0.25">
      <c r="A217" s="2" t="s">
        <v>424</v>
      </c>
      <c r="B217" s="2">
        <v>123</v>
      </c>
      <c r="C217" s="2">
        <v>108521835</v>
      </c>
      <c r="D217" s="2" t="s">
        <v>25</v>
      </c>
      <c r="E217" s="2" t="s">
        <v>497</v>
      </c>
      <c r="F217" s="2" t="s">
        <v>14</v>
      </c>
      <c r="G217" s="2" t="s">
        <v>22</v>
      </c>
      <c r="H217" s="2">
        <v>120000000</v>
      </c>
      <c r="I217" s="2">
        <v>7.1</v>
      </c>
      <c r="J217" s="2">
        <f t="shared" si="0"/>
        <v>-11478165</v>
      </c>
      <c r="K217" s="2">
        <f t="shared" si="1"/>
        <v>3.2320730365725137E-2</v>
      </c>
      <c r="L217" s="2" t="str">
        <f>IF(ISNUMBER(SEARCH("|",IMDB_Movies!$D217)),LEFT(IMDB_Movies!$D217,SEARCH("|",IMDB_Movies!$D217)-1),IMDB_Movies!$D217)</f>
        <v>Action</v>
      </c>
      <c r="V217" s="2"/>
      <c r="W217" s="2"/>
    </row>
    <row r="218" spans="1:23" ht="12.5" x14ac:dyDescent="0.25">
      <c r="A218" s="2" t="s">
        <v>122</v>
      </c>
      <c r="B218" s="2">
        <v>107</v>
      </c>
      <c r="C218" s="2">
        <v>100685880</v>
      </c>
      <c r="D218" s="2" t="s">
        <v>498</v>
      </c>
      <c r="E218" s="2" t="s">
        <v>499</v>
      </c>
      <c r="F218" s="2" t="s">
        <v>14</v>
      </c>
      <c r="G218" s="2" t="s">
        <v>15</v>
      </c>
      <c r="H218" s="2">
        <v>120000000</v>
      </c>
      <c r="I218" s="2">
        <v>4.8</v>
      </c>
      <c r="J218" s="2">
        <f t="shared" si="0"/>
        <v>-19314120</v>
      </c>
      <c r="K218" s="2">
        <f t="shared" si="1"/>
        <v>3.2202100931952783E-2</v>
      </c>
      <c r="L218" s="2" t="str">
        <f>IF(ISNUMBER(SEARCH("|",IMDB_Movies!$D218)),LEFT(IMDB_Movies!$D218,SEARCH("|",IMDB_Movies!$D218)-1),IMDB_Movies!$D218)</f>
        <v>Action</v>
      </c>
      <c r="V218" s="2"/>
      <c r="W218" s="2"/>
    </row>
    <row r="219" spans="1:23" ht="12.5" x14ac:dyDescent="0.25">
      <c r="A219" s="2" t="s">
        <v>76</v>
      </c>
      <c r="B219" s="2">
        <v>124</v>
      </c>
      <c r="C219" s="2">
        <v>126464904</v>
      </c>
      <c r="D219" s="2" t="s">
        <v>500</v>
      </c>
      <c r="E219" s="2" t="s">
        <v>501</v>
      </c>
      <c r="F219" s="2" t="s">
        <v>14</v>
      </c>
      <c r="G219" s="2" t="s">
        <v>15</v>
      </c>
      <c r="H219" s="2">
        <v>130000000</v>
      </c>
      <c r="I219" s="2">
        <v>7</v>
      </c>
      <c r="J219" s="2">
        <f t="shared" si="0"/>
        <v>-3535096</v>
      </c>
      <c r="K219" s="2">
        <f t="shared" si="1"/>
        <v>3.209659483695345E-2</v>
      </c>
      <c r="L219" s="2" t="str">
        <f>IF(ISNUMBER(SEARCH("|",IMDB_Movies!$D219)),LEFT(IMDB_Movies!$D219,SEARCH("|",IMDB_Movies!$D219)-1),IMDB_Movies!$D219)</f>
        <v>Adventure</v>
      </c>
      <c r="V219" s="2"/>
      <c r="W219" s="2"/>
    </row>
    <row r="220" spans="1:23" ht="12.5" x14ac:dyDescent="0.25">
      <c r="A220" s="2" t="s">
        <v>350</v>
      </c>
      <c r="B220" s="2">
        <v>77</v>
      </c>
      <c r="C220" s="2">
        <v>64736114</v>
      </c>
      <c r="D220" s="2" t="s">
        <v>106</v>
      </c>
      <c r="E220" s="2" t="s">
        <v>502</v>
      </c>
      <c r="F220" s="2" t="s">
        <v>14</v>
      </c>
      <c r="G220" s="2" t="s">
        <v>15</v>
      </c>
      <c r="H220" s="2">
        <v>120000000</v>
      </c>
      <c r="I220" s="2">
        <v>5.4</v>
      </c>
      <c r="J220" s="2">
        <f t="shared" si="0"/>
        <v>-55263886</v>
      </c>
      <c r="K220" s="2">
        <f t="shared" si="1"/>
        <v>3.1928787263331787E-2</v>
      </c>
      <c r="L220" s="2" t="str">
        <f>IF(ISNUMBER(SEARCH("|",IMDB_Movies!$D220)),LEFT(IMDB_Movies!$D220,SEARCH("|",IMDB_Movies!$D220)-1),IMDB_Movies!$D220)</f>
        <v>Adventure</v>
      </c>
      <c r="V220" s="2"/>
      <c r="W220" s="2"/>
    </row>
    <row r="221" spans="1:23" ht="12.5" x14ac:dyDescent="0.25">
      <c r="A221" s="2" t="s">
        <v>503</v>
      </c>
      <c r="B221" s="2">
        <v>109</v>
      </c>
      <c r="C221" s="2">
        <v>93050117</v>
      </c>
      <c r="D221" s="2" t="s">
        <v>504</v>
      </c>
      <c r="E221" s="2" t="s">
        <v>505</v>
      </c>
      <c r="F221" s="2" t="s">
        <v>14</v>
      </c>
      <c r="G221" s="2" t="s">
        <v>15</v>
      </c>
      <c r="H221" s="2">
        <v>115000000</v>
      </c>
      <c r="I221" s="2">
        <v>6.6</v>
      </c>
      <c r="J221" s="2">
        <f t="shared" si="0"/>
        <v>-21949883</v>
      </c>
      <c r="K221" s="2">
        <f t="shared" si="1"/>
        <v>3.1886403850530903E-2</v>
      </c>
      <c r="L221" s="2" t="str">
        <f>IF(ISNUMBER(SEARCH("|",IMDB_Movies!$D221)),LEFT(IMDB_Movies!$D221,SEARCH("|",IMDB_Movies!$D221)-1),IMDB_Movies!$D221)</f>
        <v>Action</v>
      </c>
      <c r="V221" s="2"/>
      <c r="W221" s="2"/>
    </row>
    <row r="222" spans="1:23" ht="12.5" x14ac:dyDescent="0.25">
      <c r="A222" s="2" t="s">
        <v>506</v>
      </c>
      <c r="B222" s="2">
        <v>134</v>
      </c>
      <c r="C222" s="2">
        <v>57637485</v>
      </c>
      <c r="D222" s="2" t="s">
        <v>90</v>
      </c>
      <c r="E222" s="2" t="s">
        <v>507</v>
      </c>
      <c r="F222" s="2" t="s">
        <v>14</v>
      </c>
      <c r="G222" s="2" t="s">
        <v>15</v>
      </c>
      <c r="H222" s="2">
        <v>105000000</v>
      </c>
      <c r="I222" s="2">
        <v>6.7</v>
      </c>
      <c r="J222" s="2">
        <f t="shared" si="0"/>
        <v>-47362515</v>
      </c>
      <c r="K222" s="2">
        <f t="shared" si="1"/>
        <v>3.1799561746220985E-2</v>
      </c>
      <c r="L222" s="2" t="str">
        <f>IF(ISNUMBER(SEARCH("|",IMDB_Movies!$D222)),LEFT(IMDB_Movies!$D222,SEARCH("|",IMDB_Movies!$D222)-1),IMDB_Movies!$D222)</f>
        <v>Action</v>
      </c>
      <c r="V222" s="2"/>
      <c r="W222" s="2"/>
    </row>
    <row r="223" spans="1:23" ht="12.5" x14ac:dyDescent="0.25">
      <c r="A223" s="2" t="s">
        <v>508</v>
      </c>
      <c r="B223" s="2">
        <v>117</v>
      </c>
      <c r="C223" s="2">
        <v>58607007</v>
      </c>
      <c r="D223" s="2" t="s">
        <v>509</v>
      </c>
      <c r="E223" s="2" t="s">
        <v>510</v>
      </c>
      <c r="F223" s="2" t="s">
        <v>14</v>
      </c>
      <c r="G223" s="2" t="s">
        <v>15</v>
      </c>
      <c r="H223" s="2">
        <v>100000000</v>
      </c>
      <c r="I223" s="2">
        <v>6.2</v>
      </c>
      <c r="J223" s="2">
        <f t="shared" si="0"/>
        <v>-41392993</v>
      </c>
      <c r="K223" s="2">
        <f t="shared" si="1"/>
        <v>3.1775449757158597E-2</v>
      </c>
      <c r="L223" s="2" t="str">
        <f>IF(ISNUMBER(SEARCH("|",IMDB_Movies!$D223)),LEFT(IMDB_Movies!$D223,SEARCH("|",IMDB_Movies!$D223)-1),IMDB_Movies!$D223)</f>
        <v>Action</v>
      </c>
      <c r="V223" s="2"/>
      <c r="W223" s="2"/>
    </row>
    <row r="224" spans="1:23" ht="12.5" x14ac:dyDescent="0.25">
      <c r="A224" s="2" t="s">
        <v>165</v>
      </c>
      <c r="B224" s="2">
        <v>135</v>
      </c>
      <c r="C224" s="2">
        <v>43929341</v>
      </c>
      <c r="D224" s="2" t="s">
        <v>511</v>
      </c>
      <c r="E224" s="2" t="s">
        <v>512</v>
      </c>
      <c r="F224" s="2" t="s">
        <v>14</v>
      </c>
      <c r="G224" s="2" t="s">
        <v>15</v>
      </c>
      <c r="H224" s="2">
        <v>120000000</v>
      </c>
      <c r="I224" s="2">
        <v>6.1</v>
      </c>
      <c r="J224" s="2">
        <f t="shared" si="0"/>
        <v>-76070659</v>
      </c>
      <c r="K224" s="2">
        <f t="shared" si="1"/>
        <v>3.1751771742421074E-2</v>
      </c>
      <c r="L224" s="2" t="str">
        <f>IF(ISNUMBER(SEARCH("|",IMDB_Movies!$D224)),LEFT(IMDB_Movies!$D224,SEARCH("|",IMDB_Movies!$D224)-1),IMDB_Movies!$D224)</f>
        <v>Action</v>
      </c>
      <c r="V224" s="2"/>
      <c r="W224" s="2"/>
    </row>
    <row r="225" spans="1:23" ht="12.5" x14ac:dyDescent="0.25">
      <c r="A225" s="2" t="s">
        <v>513</v>
      </c>
      <c r="B225" s="2">
        <v>121</v>
      </c>
      <c r="C225" s="2">
        <v>30212620</v>
      </c>
      <c r="D225" s="2" t="s">
        <v>514</v>
      </c>
      <c r="E225" s="2" t="s">
        <v>515</v>
      </c>
      <c r="F225" s="2" t="s">
        <v>14</v>
      </c>
      <c r="G225" s="2" t="s">
        <v>15</v>
      </c>
      <c r="H225" s="2">
        <v>120000000</v>
      </c>
      <c r="I225" s="2">
        <v>5.3</v>
      </c>
      <c r="J225" s="2">
        <f t="shared" si="0"/>
        <v>-89787380</v>
      </c>
      <c r="K225" s="2">
        <f t="shared" si="1"/>
        <v>3.1747859240364704E-2</v>
      </c>
      <c r="L225" s="2" t="str">
        <f>IF(ISNUMBER(SEARCH("|",IMDB_Movies!$D225)),LEFT(IMDB_Movies!$D225,SEARCH("|",IMDB_Movies!$D225)-1),IMDB_Movies!$D225)</f>
        <v>Comedy</v>
      </c>
      <c r="V225" s="2"/>
      <c r="W225" s="2"/>
    </row>
    <row r="226" spans="1:23" ht="12.5" x14ac:dyDescent="0.25">
      <c r="A226" s="2" t="s">
        <v>516</v>
      </c>
      <c r="B226" s="2">
        <v>117</v>
      </c>
      <c r="C226" s="2">
        <v>76418654</v>
      </c>
      <c r="D226" s="2" t="s">
        <v>517</v>
      </c>
      <c r="E226" s="2" t="s">
        <v>518</v>
      </c>
      <c r="F226" s="2" t="s">
        <v>14</v>
      </c>
      <c r="G226" s="2" t="s">
        <v>15</v>
      </c>
      <c r="H226" s="2">
        <v>117000000</v>
      </c>
      <c r="I226" s="2">
        <v>6.3</v>
      </c>
      <c r="J226" s="2">
        <f t="shared" si="0"/>
        <v>-40581346</v>
      </c>
      <c r="K226" s="2">
        <f t="shared" si="1"/>
        <v>3.1770134680269846E-2</v>
      </c>
      <c r="L226" s="2" t="str">
        <f>IF(ISNUMBER(SEARCH("|",IMDB_Movies!$D226)),LEFT(IMDB_Movies!$D226,SEARCH("|",IMDB_Movies!$D226)-1),IMDB_Movies!$D226)</f>
        <v>Action</v>
      </c>
      <c r="V226" s="2"/>
      <c r="W226" s="2"/>
    </row>
    <row r="227" spans="1:23" ht="12.5" x14ac:dyDescent="0.25">
      <c r="A227" s="2" t="s">
        <v>113</v>
      </c>
      <c r="B227" s="2">
        <v>124</v>
      </c>
      <c r="C227" s="2">
        <v>89021735</v>
      </c>
      <c r="D227" s="2" t="s">
        <v>519</v>
      </c>
      <c r="E227" s="2" t="s">
        <v>520</v>
      </c>
      <c r="F227" s="2" t="s">
        <v>14</v>
      </c>
      <c r="G227" s="2" t="s">
        <v>15</v>
      </c>
      <c r="H227" s="2">
        <v>120000000</v>
      </c>
      <c r="I227" s="2">
        <v>7</v>
      </c>
      <c r="J227" s="2">
        <f t="shared" si="0"/>
        <v>-30978265</v>
      </c>
      <c r="K227" s="2">
        <f t="shared" si="1"/>
        <v>3.1708892067860581E-2</v>
      </c>
      <c r="L227" s="2" t="str">
        <f>IF(ISNUMBER(SEARCH("|",IMDB_Movies!$D227)),LEFT(IMDB_Movies!$D227,SEARCH("|",IMDB_Movies!$D227)-1),IMDB_Movies!$D227)</f>
        <v>Action</v>
      </c>
      <c r="V227" s="2"/>
      <c r="W227" s="2"/>
    </row>
    <row r="228" spans="1:23" ht="12.5" x14ac:dyDescent="0.25">
      <c r="A228" s="2" t="s">
        <v>521</v>
      </c>
      <c r="B228" s="2">
        <v>140</v>
      </c>
      <c r="C228" s="2">
        <v>380262555</v>
      </c>
      <c r="D228" s="2" t="s">
        <v>12</v>
      </c>
      <c r="E228" s="2" t="s">
        <v>522</v>
      </c>
      <c r="F228" s="2" t="s">
        <v>14</v>
      </c>
      <c r="G228" s="2" t="s">
        <v>15</v>
      </c>
      <c r="H228" s="2">
        <v>113000000</v>
      </c>
      <c r="I228" s="2">
        <v>7.6</v>
      </c>
      <c r="J228" s="2">
        <f t="shared" si="0"/>
        <v>267262555</v>
      </c>
      <c r="K228" s="2">
        <f t="shared" si="1"/>
        <v>3.1622970238342894E-2</v>
      </c>
      <c r="L228" s="2" t="str">
        <f>IF(ISNUMBER(SEARCH("|",IMDB_Movies!$D228)),LEFT(IMDB_Movies!$D228,SEARCH("|",IMDB_Movies!$D228)-1),IMDB_Movies!$D228)</f>
        <v>Action</v>
      </c>
      <c r="V228" s="2"/>
      <c r="W228" s="2"/>
    </row>
    <row r="229" spans="1:23" ht="12.5" x14ac:dyDescent="0.25">
      <c r="A229" s="2" t="s">
        <v>521</v>
      </c>
      <c r="B229" s="2">
        <v>142</v>
      </c>
      <c r="C229" s="2">
        <v>310675583</v>
      </c>
      <c r="D229" s="2" t="s">
        <v>12</v>
      </c>
      <c r="E229" s="2" t="s">
        <v>523</v>
      </c>
      <c r="F229" s="2" t="s">
        <v>14</v>
      </c>
      <c r="G229" s="2" t="s">
        <v>15</v>
      </c>
      <c r="H229" s="2">
        <v>115000000</v>
      </c>
      <c r="I229" s="2">
        <v>6.7</v>
      </c>
      <c r="J229" s="2">
        <f t="shared" si="0"/>
        <v>195675583</v>
      </c>
      <c r="K229" s="2">
        <f t="shared" si="1"/>
        <v>3.1213356651364772E-2</v>
      </c>
      <c r="L229" s="2" t="str">
        <f>IF(ISNUMBER(SEARCH("|",IMDB_Movies!$D229)),LEFT(IMDB_Movies!$D229,SEARCH("|",IMDB_Movies!$D229)-1),IMDB_Movies!$D229)</f>
        <v>Action</v>
      </c>
      <c r="V229" s="2"/>
      <c r="W229" s="2"/>
    </row>
    <row r="230" spans="1:23" ht="12.5" x14ac:dyDescent="0.25">
      <c r="A230" s="2" t="s">
        <v>180</v>
      </c>
      <c r="B230" s="2">
        <v>92</v>
      </c>
      <c r="C230" s="2">
        <v>289907418</v>
      </c>
      <c r="D230" s="2" t="s">
        <v>106</v>
      </c>
      <c r="E230" s="2" t="s">
        <v>524</v>
      </c>
      <c r="F230" s="2" t="s">
        <v>14</v>
      </c>
      <c r="G230" s="2" t="s">
        <v>15</v>
      </c>
      <c r="H230" s="2">
        <v>115000000</v>
      </c>
      <c r="I230" s="2">
        <v>8.1</v>
      </c>
      <c r="J230" s="2">
        <f t="shared" si="0"/>
        <v>174907418</v>
      </c>
      <c r="K230" s="2">
        <f t="shared" si="1"/>
        <v>3.0843424550484281E-2</v>
      </c>
      <c r="L230" s="2" t="str">
        <f>IF(ISNUMBER(SEARCH("|",IMDB_Movies!$D230)),LEFT(IMDB_Movies!$D230,SEARCH("|",IMDB_Movies!$D230)-1),IMDB_Movies!$D230)</f>
        <v>Adventure</v>
      </c>
      <c r="V230" s="2"/>
      <c r="W230" s="2"/>
    </row>
    <row r="231" spans="1:23" ht="12.5" x14ac:dyDescent="0.25">
      <c r="A231" s="2" t="s">
        <v>516</v>
      </c>
      <c r="B231" s="2">
        <v>138</v>
      </c>
      <c r="C231" s="2">
        <v>132550960</v>
      </c>
      <c r="D231" s="2" t="s">
        <v>90</v>
      </c>
      <c r="E231" s="2" t="s">
        <v>525</v>
      </c>
      <c r="F231" s="2" t="s">
        <v>14</v>
      </c>
      <c r="G231" s="2" t="s">
        <v>15</v>
      </c>
      <c r="H231" s="2">
        <v>120000000</v>
      </c>
      <c r="I231" s="2">
        <v>6.7</v>
      </c>
      <c r="J231" s="2">
        <f t="shared" si="0"/>
        <v>12550960</v>
      </c>
      <c r="K231" s="2">
        <f t="shared" si="1"/>
        <v>3.049179898902683E-2</v>
      </c>
      <c r="L231" s="2" t="str">
        <f>IF(ISNUMBER(SEARCH("|",IMDB_Movies!$D231)),LEFT(IMDB_Movies!$D231,SEARCH("|",IMDB_Movies!$D231)-1),IMDB_Movies!$D231)</f>
        <v>Action</v>
      </c>
      <c r="V231" s="2"/>
      <c r="W231" s="2"/>
    </row>
    <row r="232" spans="1:23" ht="12.5" x14ac:dyDescent="0.25">
      <c r="A232" s="2" t="s">
        <v>521</v>
      </c>
      <c r="B232" s="2">
        <v>136</v>
      </c>
      <c r="C232" s="2">
        <v>474544677</v>
      </c>
      <c r="D232" s="2" t="s">
        <v>12</v>
      </c>
      <c r="E232" s="2" t="s">
        <v>526</v>
      </c>
      <c r="F232" s="2" t="s">
        <v>14</v>
      </c>
      <c r="G232" s="2" t="s">
        <v>15</v>
      </c>
      <c r="H232" s="2">
        <v>115000000</v>
      </c>
      <c r="I232" s="2">
        <v>6.5</v>
      </c>
      <c r="J232" s="2">
        <f t="shared" si="0"/>
        <v>359544677</v>
      </c>
      <c r="K232" s="2">
        <f t="shared" si="1"/>
        <v>3.0329739540264657E-2</v>
      </c>
      <c r="L232" s="2" t="str">
        <f>IF(ISNUMBER(SEARCH("|",IMDB_Movies!$D232)),LEFT(IMDB_Movies!$D232,SEARCH("|",IMDB_Movies!$D232)-1),IMDB_Movies!$D232)</f>
        <v>Action</v>
      </c>
      <c r="V232" s="2"/>
      <c r="W232" s="2"/>
    </row>
    <row r="233" spans="1:23" ht="12.5" x14ac:dyDescent="0.25">
      <c r="A233" s="2" t="s">
        <v>527</v>
      </c>
      <c r="B233" s="2">
        <v>98</v>
      </c>
      <c r="C233" s="2">
        <v>187165546</v>
      </c>
      <c r="D233" s="2" t="s">
        <v>106</v>
      </c>
      <c r="E233" s="2" t="s">
        <v>528</v>
      </c>
      <c r="F233" s="2" t="s">
        <v>14</v>
      </c>
      <c r="G233" s="2" t="s">
        <v>15</v>
      </c>
      <c r="H233" s="2">
        <v>135000000</v>
      </c>
      <c r="I233" s="2">
        <v>7.3</v>
      </c>
      <c r="J233" s="2">
        <f t="shared" si="0"/>
        <v>52165546</v>
      </c>
      <c r="K233" s="2">
        <f t="shared" si="1"/>
        <v>2.983335334478689E-2</v>
      </c>
      <c r="L233" s="2" t="str">
        <f>IF(ISNUMBER(SEARCH("|",IMDB_Movies!$D233)),LEFT(IMDB_Movies!$D233,SEARCH("|",IMDB_Movies!$D233)-1),IMDB_Movies!$D233)</f>
        <v>Adventure</v>
      </c>
      <c r="V233" s="2"/>
      <c r="W233" s="2"/>
    </row>
    <row r="234" spans="1:23" ht="12.5" x14ac:dyDescent="0.25">
      <c r="A234" s="2" t="s">
        <v>487</v>
      </c>
      <c r="B234" s="2">
        <v>153</v>
      </c>
      <c r="C234" s="2">
        <v>40911830</v>
      </c>
      <c r="D234" s="2" t="s">
        <v>529</v>
      </c>
      <c r="E234" s="2" t="s">
        <v>530</v>
      </c>
      <c r="F234" s="2" t="s">
        <v>14</v>
      </c>
      <c r="G234" s="2" t="s">
        <v>15</v>
      </c>
      <c r="H234" s="2">
        <v>115000000</v>
      </c>
      <c r="I234" s="2">
        <v>6</v>
      </c>
      <c r="J234" s="2">
        <f t="shared" si="0"/>
        <v>-74088170</v>
      </c>
      <c r="K234" s="2">
        <f t="shared" si="1"/>
        <v>2.9531612026400797E-2</v>
      </c>
      <c r="L234" s="2" t="str">
        <f>IF(ISNUMBER(SEARCH("|",IMDB_Movies!$D234)),LEFT(IMDB_Movies!$D234,SEARCH("|",IMDB_Movies!$D234)-1),IMDB_Movies!$D234)</f>
        <v>Action</v>
      </c>
      <c r="V234" s="2"/>
      <c r="W234" s="2"/>
    </row>
    <row r="235" spans="1:23" ht="12.5" x14ac:dyDescent="0.25">
      <c r="A235" s="2" t="s">
        <v>531</v>
      </c>
      <c r="B235" s="2">
        <v>120</v>
      </c>
      <c r="C235" s="2">
        <v>47952020</v>
      </c>
      <c r="D235" s="2" t="s">
        <v>218</v>
      </c>
      <c r="E235" s="2" t="s">
        <v>532</v>
      </c>
      <c r="F235" s="2" t="s">
        <v>14</v>
      </c>
      <c r="G235" s="2" t="s">
        <v>15</v>
      </c>
      <c r="H235" s="2">
        <v>115000000</v>
      </c>
      <c r="I235" s="2">
        <v>6.1</v>
      </c>
      <c r="J235" s="2">
        <f t="shared" si="0"/>
        <v>-67047980</v>
      </c>
      <c r="K235" s="2">
        <f t="shared" si="1"/>
        <v>2.9532442552586878E-2</v>
      </c>
      <c r="L235" s="2" t="str">
        <f>IF(ISNUMBER(SEARCH("|",IMDB_Movies!$D235)),LEFT(IMDB_Movies!$D235,SEARCH("|",IMDB_Movies!$D235)-1),IMDB_Movies!$D235)</f>
        <v>Action</v>
      </c>
      <c r="V235" s="2"/>
      <c r="W235" s="2"/>
    </row>
    <row r="236" spans="1:23" ht="12.5" x14ac:dyDescent="0.25">
      <c r="A236" s="2" t="s">
        <v>325</v>
      </c>
      <c r="B236" s="2">
        <v>101</v>
      </c>
      <c r="C236" s="2">
        <v>190871240</v>
      </c>
      <c r="D236" s="2" t="s">
        <v>201</v>
      </c>
      <c r="E236" s="2" t="s">
        <v>533</v>
      </c>
      <c r="F236" s="2" t="s">
        <v>14</v>
      </c>
      <c r="G236" s="2" t="s">
        <v>15</v>
      </c>
      <c r="H236" s="2">
        <v>125000000</v>
      </c>
      <c r="I236" s="2">
        <v>5.9</v>
      </c>
      <c r="J236" s="2">
        <f t="shared" si="0"/>
        <v>65871240</v>
      </c>
      <c r="K236" s="2">
        <f t="shared" si="1"/>
        <v>2.9520467695018912E-2</v>
      </c>
      <c r="L236" s="2" t="str">
        <f>IF(ISNUMBER(SEARCH("|",IMDB_Movies!$D236)),LEFT(IMDB_Movies!$D236,SEARCH("|",IMDB_Movies!$D236)-1),IMDB_Movies!$D236)</f>
        <v>Action</v>
      </c>
      <c r="V236" s="2"/>
      <c r="W236" s="2"/>
    </row>
    <row r="237" spans="1:23" ht="12.5" x14ac:dyDescent="0.25">
      <c r="A237" s="2" t="s">
        <v>446</v>
      </c>
      <c r="B237" s="2">
        <v>91</v>
      </c>
      <c r="C237" s="2">
        <v>274084951</v>
      </c>
      <c r="D237" s="2" t="s">
        <v>534</v>
      </c>
      <c r="E237" s="2" t="s">
        <v>535</v>
      </c>
      <c r="F237" s="2" t="s">
        <v>14</v>
      </c>
      <c r="G237" s="2" t="s">
        <v>22</v>
      </c>
      <c r="H237" s="2">
        <v>100000000</v>
      </c>
      <c r="I237" s="2">
        <v>7.8</v>
      </c>
      <c r="J237" s="2">
        <f t="shared" si="0"/>
        <v>174084951</v>
      </c>
      <c r="K237" s="2">
        <f t="shared" si="1"/>
        <v>2.9245967337048425E-2</v>
      </c>
      <c r="L237" s="2" t="str">
        <f>IF(ISNUMBER(SEARCH("|",IMDB_Movies!$D237)),LEFT(IMDB_Movies!$D237,SEARCH("|",IMDB_Movies!$D237)-1),IMDB_Movies!$D237)</f>
        <v>Adventure</v>
      </c>
      <c r="V237" s="2"/>
      <c r="W237" s="2"/>
    </row>
    <row r="238" spans="1:23" ht="12.5" x14ac:dyDescent="0.25">
      <c r="A238" s="2" t="s">
        <v>536</v>
      </c>
      <c r="B238" s="2">
        <v>108</v>
      </c>
      <c r="C238" s="2">
        <v>67155742</v>
      </c>
      <c r="D238" s="2" t="s">
        <v>20</v>
      </c>
      <c r="E238" s="2" t="s">
        <v>537</v>
      </c>
      <c r="F238" s="2" t="s">
        <v>14</v>
      </c>
      <c r="G238" s="2" t="s">
        <v>15</v>
      </c>
      <c r="H238" s="2">
        <v>116000000</v>
      </c>
      <c r="I238" s="2">
        <v>5.8</v>
      </c>
      <c r="J238" s="2">
        <f t="shared" si="0"/>
        <v>-48844258</v>
      </c>
      <c r="K238" s="2">
        <f t="shared" si="1"/>
        <v>2.8983678392272737E-2</v>
      </c>
      <c r="L238" s="2" t="str">
        <f>IF(ISNUMBER(SEARCH("|",IMDB_Movies!$D238)),LEFT(IMDB_Movies!$D238,SEARCH("|",IMDB_Movies!$D238)-1),IMDB_Movies!$D238)</f>
        <v>Action</v>
      </c>
      <c r="V238" s="2"/>
      <c r="W238" s="2"/>
    </row>
    <row r="239" spans="1:23" ht="12.5" x14ac:dyDescent="0.25">
      <c r="A239" s="2" t="s">
        <v>538</v>
      </c>
      <c r="B239" s="2">
        <v>112</v>
      </c>
      <c r="C239" s="2">
        <v>81638674</v>
      </c>
      <c r="D239" s="2" t="s">
        <v>201</v>
      </c>
      <c r="E239" s="2" t="s">
        <v>539</v>
      </c>
      <c r="F239" s="2" t="s">
        <v>14</v>
      </c>
      <c r="G239" s="2" t="s">
        <v>15</v>
      </c>
      <c r="H239" s="2">
        <v>135000000</v>
      </c>
      <c r="I239" s="2">
        <v>6.3</v>
      </c>
      <c r="J239" s="2">
        <f t="shared" si="0"/>
        <v>-53361326</v>
      </c>
      <c r="K239" s="2">
        <f t="shared" si="1"/>
        <v>2.8936494271019842E-2</v>
      </c>
      <c r="L239" s="2" t="str">
        <f>IF(ISNUMBER(SEARCH("|",IMDB_Movies!$D239)),LEFT(IMDB_Movies!$D239,SEARCH("|",IMDB_Movies!$D239)-1),IMDB_Movies!$D239)</f>
        <v>Action</v>
      </c>
      <c r="V239" s="2"/>
      <c r="W239" s="2"/>
    </row>
    <row r="240" spans="1:23" ht="12.5" x14ac:dyDescent="0.25">
      <c r="A240" s="2" t="s">
        <v>540</v>
      </c>
      <c r="B240" s="2">
        <v>100</v>
      </c>
      <c r="C240" s="2">
        <v>56114221</v>
      </c>
      <c r="D240" s="2" t="s">
        <v>28</v>
      </c>
      <c r="E240" s="2" t="s">
        <v>541</v>
      </c>
      <c r="F240" s="2" t="s">
        <v>14</v>
      </c>
      <c r="G240" s="2" t="s">
        <v>15</v>
      </c>
      <c r="H240" s="2">
        <v>120000000</v>
      </c>
      <c r="I240" s="2">
        <v>4.3</v>
      </c>
      <c r="J240" s="2">
        <f t="shared" si="0"/>
        <v>-63885779</v>
      </c>
      <c r="K240" s="2">
        <f t="shared" si="1"/>
        <v>2.8845795989849144E-2</v>
      </c>
      <c r="L240" s="2" t="str">
        <f>IF(ISNUMBER(SEARCH("|",IMDB_Movies!$D240)),LEFT(IMDB_Movies!$D240,SEARCH("|",IMDB_Movies!$D240)-1),IMDB_Movies!$D240)</f>
        <v>Action</v>
      </c>
      <c r="V240" s="2"/>
      <c r="W240" s="2"/>
    </row>
    <row r="241" spans="1:23" ht="12.5" x14ac:dyDescent="0.25">
      <c r="A241" s="2" t="s">
        <v>302</v>
      </c>
      <c r="B241" s="2">
        <v>108</v>
      </c>
      <c r="C241" s="2">
        <v>250863268</v>
      </c>
      <c r="D241" s="2" t="s">
        <v>542</v>
      </c>
      <c r="E241" s="2" t="s">
        <v>543</v>
      </c>
      <c r="F241" s="2" t="s">
        <v>14</v>
      </c>
      <c r="G241" s="2" t="s">
        <v>15</v>
      </c>
      <c r="H241" s="2">
        <v>110000000</v>
      </c>
      <c r="I241" s="2">
        <v>6.4</v>
      </c>
      <c r="J241" s="2">
        <f t="shared" si="0"/>
        <v>140863268</v>
      </c>
      <c r="K241" s="2">
        <f t="shared" si="1"/>
        <v>2.8817037626307777E-2</v>
      </c>
      <c r="L241" s="2" t="str">
        <f>IF(ISNUMBER(SEARCH("|",IMDB_Movies!$D241)),LEFT(IMDB_Movies!$D241,SEARCH("|",IMDB_Movies!$D241)-1),IMDB_Movies!$D241)</f>
        <v>Action</v>
      </c>
      <c r="V241" s="2"/>
      <c r="W241" s="2"/>
    </row>
    <row r="242" spans="1:23" ht="12.5" x14ac:dyDescent="0.25">
      <c r="A242" s="2" t="s">
        <v>544</v>
      </c>
      <c r="B242" s="2">
        <v>114</v>
      </c>
      <c r="C242" s="2">
        <v>155181732</v>
      </c>
      <c r="D242" s="2" t="s">
        <v>267</v>
      </c>
      <c r="E242" s="2" t="s">
        <v>545</v>
      </c>
      <c r="F242" s="2" t="s">
        <v>14</v>
      </c>
      <c r="G242" s="2" t="s">
        <v>15</v>
      </c>
      <c r="H242" s="2">
        <v>110000000</v>
      </c>
      <c r="I242" s="2">
        <v>6.1</v>
      </c>
      <c r="J242" s="2">
        <f t="shared" si="0"/>
        <v>45181732</v>
      </c>
      <c r="K242" s="2">
        <f t="shared" si="1"/>
        <v>2.852193861984716E-2</v>
      </c>
      <c r="L242" s="2" t="str">
        <f>IF(ISNUMBER(SEARCH("|",IMDB_Movies!$D242)),LEFT(IMDB_Movies!$D242,SEARCH("|",IMDB_Movies!$D242)-1),IMDB_Movies!$D242)</f>
        <v>Action</v>
      </c>
      <c r="V242" s="2"/>
      <c r="W242" s="2"/>
    </row>
    <row r="243" spans="1:23" ht="12.5" x14ac:dyDescent="0.25">
      <c r="A243" s="2" t="s">
        <v>546</v>
      </c>
      <c r="B243" s="2">
        <v>119</v>
      </c>
      <c r="C243" s="2">
        <v>125332007</v>
      </c>
      <c r="D243" s="2" t="s">
        <v>20</v>
      </c>
      <c r="E243" s="2" t="s">
        <v>547</v>
      </c>
      <c r="F243" s="2" t="s">
        <v>14</v>
      </c>
      <c r="G243" s="2" t="s">
        <v>22</v>
      </c>
      <c r="H243" s="2">
        <v>110000000</v>
      </c>
      <c r="I243" s="2">
        <v>6.5</v>
      </c>
      <c r="J243" s="2">
        <f t="shared" si="0"/>
        <v>15332007</v>
      </c>
      <c r="K243" s="2">
        <f t="shared" si="1"/>
        <v>2.834454142334198E-2</v>
      </c>
      <c r="L243" s="2" t="str">
        <f>IF(ISNUMBER(SEARCH("|",IMDB_Movies!$D243)),LEFT(IMDB_Movies!$D243,SEARCH("|",IMDB_Movies!$D243)-1),IMDB_Movies!$D243)</f>
        <v>Action</v>
      </c>
      <c r="V243" s="2"/>
      <c r="W243" s="2"/>
    </row>
    <row r="244" spans="1:23" ht="12.5" x14ac:dyDescent="0.25">
      <c r="A244" s="2" t="s">
        <v>155</v>
      </c>
      <c r="B244" s="2">
        <v>142</v>
      </c>
      <c r="C244" s="2">
        <v>113330342</v>
      </c>
      <c r="D244" s="2" t="s">
        <v>378</v>
      </c>
      <c r="E244" s="2" t="s">
        <v>548</v>
      </c>
      <c r="F244" s="2" t="s">
        <v>14</v>
      </c>
      <c r="G244" s="2" t="s">
        <v>15</v>
      </c>
      <c r="H244" s="2">
        <v>110000000</v>
      </c>
      <c r="I244" s="2">
        <v>7.1</v>
      </c>
      <c r="J244" s="2">
        <f t="shared" si="0"/>
        <v>3330342</v>
      </c>
      <c r="K244" s="2">
        <f t="shared" si="1"/>
        <v>2.8209595534833633E-2</v>
      </c>
      <c r="L244" s="2" t="str">
        <f>IF(ISNUMBER(SEARCH("|",IMDB_Movies!$D244)),LEFT(IMDB_Movies!$D244,SEARCH("|",IMDB_Movies!$D244)-1),IMDB_Movies!$D244)</f>
        <v>Action</v>
      </c>
      <c r="V244" s="2"/>
      <c r="W244" s="2"/>
    </row>
    <row r="245" spans="1:23" ht="12.5" x14ac:dyDescent="0.25">
      <c r="A245" s="2" t="s">
        <v>549</v>
      </c>
      <c r="B245" s="2">
        <v>125</v>
      </c>
      <c r="C245" s="2">
        <v>125531634</v>
      </c>
      <c r="D245" s="2" t="s">
        <v>550</v>
      </c>
      <c r="E245" s="2" t="s">
        <v>551</v>
      </c>
      <c r="F245" s="2" t="s">
        <v>14</v>
      </c>
      <c r="G245" s="2" t="s">
        <v>15</v>
      </c>
      <c r="H245" s="2">
        <v>110000000</v>
      </c>
      <c r="I245" s="2">
        <v>6.4</v>
      </c>
      <c r="J245" s="2">
        <f t="shared" si="0"/>
        <v>15531634</v>
      </c>
      <c r="K245" s="2">
        <f t="shared" si="1"/>
        <v>2.8092441472180221E-2</v>
      </c>
      <c r="L245" s="2" t="str">
        <f>IF(ISNUMBER(SEARCH("|",IMDB_Movies!$D245)),LEFT(IMDB_Movies!$D245,SEARCH("|",IMDB_Movies!$D245)-1),IMDB_Movies!$D245)</f>
        <v>Crime</v>
      </c>
      <c r="V245" s="2"/>
      <c r="W245" s="2"/>
    </row>
    <row r="246" spans="1:23" ht="12.5" x14ac:dyDescent="0.25">
      <c r="A246" s="2" t="s">
        <v>206</v>
      </c>
      <c r="B246" s="2">
        <v>126</v>
      </c>
      <c r="C246" s="2">
        <v>186336103</v>
      </c>
      <c r="D246" s="2" t="s">
        <v>552</v>
      </c>
      <c r="E246" s="2" t="s">
        <v>553</v>
      </c>
      <c r="F246" s="2" t="s">
        <v>14</v>
      </c>
      <c r="G246" s="2" t="s">
        <v>15</v>
      </c>
      <c r="H246" s="2">
        <v>120000000</v>
      </c>
      <c r="I246" s="2">
        <v>6.5</v>
      </c>
      <c r="J246" s="2">
        <f t="shared" si="0"/>
        <v>66336103</v>
      </c>
      <c r="K246" s="2">
        <f t="shared" si="1"/>
        <v>2.7956867942277537E-2</v>
      </c>
      <c r="L246" s="2" t="str">
        <f>IF(ISNUMBER(SEARCH("|",IMDB_Movies!$D246)),LEFT(IMDB_Movies!$D246,SEARCH("|",IMDB_Movies!$D246)-1),IMDB_Movies!$D246)</f>
        <v>Action</v>
      </c>
      <c r="V246" s="2"/>
      <c r="W246" s="2"/>
    </row>
    <row r="247" spans="1:23" ht="12.5" x14ac:dyDescent="0.25">
      <c r="A247" s="2" t="s">
        <v>460</v>
      </c>
      <c r="B247" s="2">
        <v>119</v>
      </c>
      <c r="C247" s="2">
        <v>129995817</v>
      </c>
      <c r="D247" s="2" t="s">
        <v>431</v>
      </c>
      <c r="E247" s="2" t="s">
        <v>554</v>
      </c>
      <c r="F247" s="2" t="s">
        <v>14</v>
      </c>
      <c r="G247" s="2" t="s">
        <v>15</v>
      </c>
      <c r="H247" s="2">
        <v>110000000</v>
      </c>
      <c r="I247" s="2">
        <v>6.3</v>
      </c>
      <c r="J247" s="2">
        <f t="shared" si="0"/>
        <v>19995817</v>
      </c>
      <c r="K247" s="2">
        <f t="shared" si="1"/>
        <v>2.7701910257871221E-2</v>
      </c>
      <c r="L247" s="2" t="str">
        <f>IF(ISNUMBER(SEARCH("|",IMDB_Movies!$D247)),LEFT(IMDB_Movies!$D247,SEARCH("|",IMDB_Movies!$D247)-1),IMDB_Movies!$D247)</f>
        <v>Adventure</v>
      </c>
      <c r="V247" s="2"/>
      <c r="W247" s="2"/>
    </row>
    <row r="248" spans="1:23" ht="12.5" x14ac:dyDescent="0.25">
      <c r="A248" s="2" t="s">
        <v>191</v>
      </c>
      <c r="B248" s="2">
        <v>170</v>
      </c>
      <c r="C248" s="2">
        <v>102608827</v>
      </c>
      <c r="D248" s="2" t="s">
        <v>555</v>
      </c>
      <c r="E248" s="2" t="s">
        <v>556</v>
      </c>
      <c r="F248" s="2" t="s">
        <v>14</v>
      </c>
      <c r="G248" s="2" t="s">
        <v>15</v>
      </c>
      <c r="H248" s="2">
        <v>110000000</v>
      </c>
      <c r="I248" s="2">
        <v>7.5</v>
      </c>
      <c r="J248" s="2">
        <f t="shared" si="0"/>
        <v>-7391173</v>
      </c>
      <c r="K248" s="2">
        <f t="shared" si="1"/>
        <v>2.7559194866191281E-2</v>
      </c>
      <c r="L248" s="2" t="str">
        <f>IF(ISNUMBER(SEARCH("|",IMDB_Movies!$D248)),LEFT(IMDB_Movies!$D248,SEARCH("|",IMDB_Movies!$D248)-1),IMDB_Movies!$D248)</f>
        <v>Biography</v>
      </c>
      <c r="V248" s="2"/>
      <c r="W248" s="2"/>
    </row>
    <row r="249" spans="1:23" ht="12.5" x14ac:dyDescent="0.25">
      <c r="A249" s="2" t="s">
        <v>184</v>
      </c>
      <c r="B249" s="2">
        <v>85</v>
      </c>
      <c r="C249" s="2">
        <v>42776259</v>
      </c>
      <c r="D249" s="2" t="s">
        <v>294</v>
      </c>
      <c r="E249" s="2" t="s">
        <v>557</v>
      </c>
      <c r="F249" s="2" t="s">
        <v>14</v>
      </c>
      <c r="G249" s="2" t="s">
        <v>15</v>
      </c>
      <c r="H249" s="2">
        <v>112000000</v>
      </c>
      <c r="I249" s="2">
        <v>4.9000000000000004</v>
      </c>
      <c r="J249" s="2">
        <f t="shared" si="0"/>
        <v>-69223741</v>
      </c>
      <c r="K249" s="2">
        <f t="shared" si="1"/>
        <v>2.7457798937748759E-2</v>
      </c>
      <c r="L249" s="2" t="str">
        <f>IF(ISNUMBER(SEARCH("|",IMDB_Movies!$D249)),LEFT(IMDB_Movies!$D249,SEARCH("|",IMDB_Movies!$D249)-1),IMDB_Movies!$D249)</f>
        <v>Adventure</v>
      </c>
      <c r="V249" s="2"/>
      <c r="W249" s="2"/>
    </row>
    <row r="250" spans="1:23" ht="12.5" x14ac:dyDescent="0.25">
      <c r="A250" s="2" t="s">
        <v>558</v>
      </c>
      <c r="B250" s="2">
        <v>119</v>
      </c>
      <c r="C250" s="2">
        <v>98780042</v>
      </c>
      <c r="D250" s="2" t="s">
        <v>559</v>
      </c>
      <c r="E250" s="2" t="s">
        <v>560</v>
      </c>
      <c r="F250" s="2" t="s">
        <v>14</v>
      </c>
      <c r="G250" s="2" t="s">
        <v>15</v>
      </c>
      <c r="H250" s="2">
        <v>120000000</v>
      </c>
      <c r="I250" s="2">
        <v>5.8</v>
      </c>
      <c r="J250" s="2">
        <f t="shared" si="0"/>
        <v>-21219958</v>
      </c>
      <c r="K250" s="2">
        <f t="shared" si="1"/>
        <v>2.7454566923754063E-2</v>
      </c>
      <c r="L250" s="2" t="str">
        <f>IF(ISNUMBER(SEARCH("|",IMDB_Movies!$D250)),LEFT(IMDB_Movies!$D250,SEARCH("|",IMDB_Movies!$D250)-1),IMDB_Movies!$D250)</f>
        <v>Action</v>
      </c>
      <c r="V250" s="2"/>
      <c r="W250" s="2"/>
    </row>
    <row r="251" spans="1:23" ht="12.5" x14ac:dyDescent="0.25">
      <c r="A251" s="2" t="s">
        <v>561</v>
      </c>
      <c r="B251" s="2">
        <v>102</v>
      </c>
      <c r="C251" s="2">
        <v>106369117</v>
      </c>
      <c r="D251" s="2" t="s">
        <v>562</v>
      </c>
      <c r="E251" s="2" t="s">
        <v>563</v>
      </c>
      <c r="F251" s="2" t="s">
        <v>14</v>
      </c>
      <c r="G251" s="2" t="s">
        <v>15</v>
      </c>
      <c r="H251" s="2">
        <v>110000000</v>
      </c>
      <c r="I251" s="2">
        <v>6.2</v>
      </c>
      <c r="J251" s="2">
        <f t="shared" si="0"/>
        <v>-3630883</v>
      </c>
      <c r="K251" s="2">
        <f t="shared" si="1"/>
        <v>2.7345347386844798E-2</v>
      </c>
      <c r="L251" s="2" t="str">
        <f>IF(ISNUMBER(SEARCH("|",IMDB_Movies!$D251)),LEFT(IMDB_Movies!$D251,SEARCH("|",IMDB_Movies!$D251)-1),IMDB_Movies!$D251)</f>
        <v>Action</v>
      </c>
      <c r="V251" s="2"/>
      <c r="W251" s="2"/>
    </row>
    <row r="252" spans="1:23" ht="12.5" x14ac:dyDescent="0.25">
      <c r="A252" s="2" t="s">
        <v>564</v>
      </c>
      <c r="B252" s="2">
        <v>103</v>
      </c>
      <c r="C252" s="2">
        <v>142614158</v>
      </c>
      <c r="D252" s="2" t="s">
        <v>106</v>
      </c>
      <c r="E252" s="2" t="s">
        <v>565</v>
      </c>
      <c r="F252" s="2" t="s">
        <v>14</v>
      </c>
      <c r="G252" s="2" t="s">
        <v>15</v>
      </c>
      <c r="H252" s="2">
        <v>110000000</v>
      </c>
      <c r="I252" s="2">
        <v>5.5</v>
      </c>
      <c r="J252" s="2">
        <f t="shared" si="0"/>
        <v>32614158</v>
      </c>
      <c r="K252" s="2">
        <f t="shared" si="1"/>
        <v>2.7237871582611536E-2</v>
      </c>
      <c r="L252" s="2" t="str">
        <f>IF(ISNUMBER(SEARCH("|",IMDB_Movies!$D252)),LEFT(IMDB_Movies!$D252,SEARCH("|",IMDB_Movies!$D252)-1),IMDB_Movies!$D252)</f>
        <v>Adventure</v>
      </c>
      <c r="V252" s="2"/>
      <c r="W252" s="2"/>
    </row>
    <row r="253" spans="1:23" ht="12.5" x14ac:dyDescent="0.25">
      <c r="A253" s="2" t="s">
        <v>566</v>
      </c>
      <c r="B253" s="2">
        <v>76</v>
      </c>
      <c r="C253" s="2">
        <v>50026353</v>
      </c>
      <c r="D253" s="2" t="s">
        <v>567</v>
      </c>
      <c r="E253" s="2" t="s">
        <v>568</v>
      </c>
      <c r="F253" s="2" t="s">
        <v>14</v>
      </c>
      <c r="G253" s="2" t="s">
        <v>15</v>
      </c>
      <c r="H253" s="2">
        <v>110000000</v>
      </c>
      <c r="I253" s="2">
        <v>5.4</v>
      </c>
      <c r="J253" s="2">
        <f t="shared" si="0"/>
        <v>-59973647</v>
      </c>
      <c r="K253" s="2">
        <f t="shared" si="1"/>
        <v>2.7075987207840591E-2</v>
      </c>
      <c r="L253" s="2" t="str">
        <f>IF(ISNUMBER(SEARCH("|",IMDB_Movies!$D253)),LEFT(IMDB_Movies!$D253,SEARCH("|",IMDB_Movies!$D253)-1),IMDB_Movies!$D253)</f>
        <v>Animation</v>
      </c>
      <c r="V253" s="2"/>
      <c r="W253" s="2"/>
    </row>
    <row r="254" spans="1:23" ht="12.5" x14ac:dyDescent="0.25">
      <c r="A254" s="2" t="s">
        <v>460</v>
      </c>
      <c r="B254" s="2">
        <v>120</v>
      </c>
      <c r="C254" s="2">
        <v>66002193</v>
      </c>
      <c r="D254" s="2" t="s">
        <v>569</v>
      </c>
      <c r="E254" s="2" t="s">
        <v>570</v>
      </c>
      <c r="F254" s="2" t="s">
        <v>14</v>
      </c>
      <c r="G254" s="2" t="s">
        <v>15</v>
      </c>
      <c r="H254" s="2">
        <v>110000000</v>
      </c>
      <c r="I254" s="2">
        <v>5.8</v>
      </c>
      <c r="J254" s="2">
        <f t="shared" si="0"/>
        <v>-43997807</v>
      </c>
      <c r="K254" s="2">
        <f t="shared" si="1"/>
        <v>2.7060209842327879E-2</v>
      </c>
      <c r="L254" s="2" t="str">
        <f>IF(ISNUMBER(SEARCH("|",IMDB_Movies!$D254)),LEFT(IMDB_Movies!$D254,SEARCH("|",IMDB_Movies!$D254)-1),IMDB_Movies!$D254)</f>
        <v>Action</v>
      </c>
      <c r="V254" s="2"/>
      <c r="W254" s="2"/>
    </row>
    <row r="255" spans="1:23" ht="12.5" x14ac:dyDescent="0.25">
      <c r="A255" s="2" t="s">
        <v>302</v>
      </c>
      <c r="B255" s="2">
        <v>127</v>
      </c>
      <c r="C255" s="2">
        <v>85463309</v>
      </c>
      <c r="D255" s="2" t="s">
        <v>571</v>
      </c>
      <c r="E255" s="2" t="s">
        <v>572</v>
      </c>
      <c r="F255" s="2" t="s">
        <v>14</v>
      </c>
      <c r="G255" s="2" t="s">
        <v>15</v>
      </c>
      <c r="H255" s="2">
        <v>110000000</v>
      </c>
      <c r="I255" s="2">
        <v>7.1</v>
      </c>
      <c r="J255" s="2">
        <f t="shared" si="0"/>
        <v>-24536691</v>
      </c>
      <c r="K255" s="2">
        <f t="shared" si="1"/>
        <v>2.7017409685989278E-2</v>
      </c>
      <c r="L255" s="2" t="str">
        <f>IF(ISNUMBER(SEARCH("|",IMDB_Movies!$D255)),LEFT(IMDB_Movies!$D255,SEARCH("|",IMDB_Movies!$D255)-1),IMDB_Movies!$D255)</f>
        <v>Action</v>
      </c>
      <c r="V255" s="2"/>
      <c r="W255" s="2"/>
    </row>
    <row r="256" spans="1:23" ht="12.5" x14ac:dyDescent="0.25">
      <c r="A256" s="2" t="s">
        <v>564</v>
      </c>
      <c r="B256" s="2">
        <v>105</v>
      </c>
      <c r="C256" s="2">
        <v>71017784</v>
      </c>
      <c r="D256" s="2" t="s">
        <v>106</v>
      </c>
      <c r="E256" s="2" t="s">
        <v>573</v>
      </c>
      <c r="F256" s="2" t="s">
        <v>14</v>
      </c>
      <c r="G256" s="2" t="s">
        <v>15</v>
      </c>
      <c r="H256" s="2">
        <v>105000000</v>
      </c>
      <c r="I256" s="2">
        <v>5.4</v>
      </c>
      <c r="J256" s="2">
        <f t="shared" si="0"/>
        <v>-33982216</v>
      </c>
      <c r="K256" s="2">
        <f t="shared" si="1"/>
        <v>2.6942648043373454E-2</v>
      </c>
      <c r="L256" s="2" t="str">
        <f>IF(ISNUMBER(SEARCH("|",IMDB_Movies!$D256)),LEFT(IMDB_Movies!$D256,SEARCH("|",IMDB_Movies!$D256)-1),IMDB_Movies!$D256)</f>
        <v>Adventure</v>
      </c>
      <c r="V256" s="2"/>
      <c r="W256" s="2"/>
    </row>
    <row r="257" spans="1:23" ht="12.5" x14ac:dyDescent="0.25">
      <c r="A257" s="2" t="s">
        <v>574</v>
      </c>
      <c r="B257" s="2">
        <v>121</v>
      </c>
      <c r="C257" s="2">
        <v>48068396</v>
      </c>
      <c r="D257" s="2" t="s">
        <v>575</v>
      </c>
      <c r="E257" s="2" t="s">
        <v>576</v>
      </c>
      <c r="F257" s="2" t="s">
        <v>14</v>
      </c>
      <c r="G257" s="2" t="s">
        <v>15</v>
      </c>
      <c r="H257" s="2">
        <v>160000000</v>
      </c>
      <c r="I257" s="2">
        <v>3.7</v>
      </c>
      <c r="J257" s="2">
        <f t="shared" ref="J257:J511" si="2">(C257-H257)</f>
        <v>-111931604</v>
      </c>
      <c r="K257" s="2">
        <f t="shared" si="1"/>
        <v>2.6894999908674777E-2</v>
      </c>
      <c r="L257" s="2" t="str">
        <f>IF(ISNUMBER(SEARCH("|",IMDB_Movies!$D257)),LEFT(IMDB_Movies!$D257,SEARCH("|",IMDB_Movies!$D257)-1),IMDB_Movies!$D257)</f>
        <v>Action</v>
      </c>
      <c r="V257" s="2"/>
      <c r="W257" s="2"/>
    </row>
    <row r="258" spans="1:23" ht="12.5" x14ac:dyDescent="0.25">
      <c r="A258" s="2" t="s">
        <v>304</v>
      </c>
      <c r="B258" s="2">
        <v>114</v>
      </c>
      <c r="C258" s="2">
        <v>61656849</v>
      </c>
      <c r="D258" s="2" t="s">
        <v>246</v>
      </c>
      <c r="E258" s="2" t="s">
        <v>577</v>
      </c>
      <c r="F258" s="2" t="s">
        <v>14</v>
      </c>
      <c r="G258" s="2" t="s">
        <v>15</v>
      </c>
      <c r="H258" s="2">
        <v>110000000</v>
      </c>
      <c r="I258" s="2">
        <v>6.7</v>
      </c>
      <c r="J258" s="2">
        <f t="shared" si="2"/>
        <v>-48343151</v>
      </c>
      <c r="K258" s="2">
        <f t="shared" ref="K258:K512" si="3">CORREL(H258:H4043,C258:C4043)</f>
        <v>2.6874374049608178E-2</v>
      </c>
      <c r="L258" s="2" t="str">
        <f>IF(ISNUMBER(SEARCH("|",IMDB_Movies!$D258)),LEFT(IMDB_Movies!$D258,SEARCH("|",IMDB_Movies!$D258)-1),IMDB_Movies!$D258)</f>
        <v>Action</v>
      </c>
      <c r="V258" s="2"/>
      <c r="W258" s="2"/>
    </row>
    <row r="259" spans="1:23" ht="12.5" x14ac:dyDescent="0.25">
      <c r="A259" s="2" t="s">
        <v>578</v>
      </c>
      <c r="B259" s="2">
        <v>129</v>
      </c>
      <c r="C259" s="2">
        <v>134520804</v>
      </c>
      <c r="D259" s="2" t="s">
        <v>20</v>
      </c>
      <c r="E259" s="2" t="s">
        <v>579</v>
      </c>
      <c r="F259" s="2" t="s">
        <v>14</v>
      </c>
      <c r="G259" s="2" t="s">
        <v>15</v>
      </c>
      <c r="H259" s="2">
        <v>110000000</v>
      </c>
      <c r="I259" s="2">
        <v>7.2</v>
      </c>
      <c r="J259" s="2">
        <f t="shared" si="2"/>
        <v>24520804</v>
      </c>
      <c r="K259" s="2">
        <f t="shared" si="3"/>
        <v>2.6838733948079996E-2</v>
      </c>
      <c r="L259" s="2" t="str">
        <f>IF(ISNUMBER(SEARCH("|",IMDB_Movies!$D259)),LEFT(IMDB_Movies!$D259,SEARCH("|",IMDB_Movies!$D259)-1),IMDB_Movies!$D259)</f>
        <v>Action</v>
      </c>
      <c r="V259" s="2"/>
      <c r="W259" s="2"/>
    </row>
    <row r="260" spans="1:23" ht="12.5" x14ac:dyDescent="0.25">
      <c r="A260" s="2" t="s">
        <v>70</v>
      </c>
      <c r="B260" s="2">
        <v>171</v>
      </c>
      <c r="C260" s="2">
        <v>313837577</v>
      </c>
      <c r="D260" s="2" t="s">
        <v>218</v>
      </c>
      <c r="E260" s="2" t="s">
        <v>580</v>
      </c>
      <c r="F260" s="2" t="s">
        <v>14</v>
      </c>
      <c r="G260" s="2" t="s">
        <v>73</v>
      </c>
      <c r="H260" s="2">
        <v>93000000</v>
      </c>
      <c r="I260" s="2">
        <v>8.8000000000000007</v>
      </c>
      <c r="J260" s="2">
        <f t="shared" si="2"/>
        <v>220837577</v>
      </c>
      <c r="K260" s="2">
        <f t="shared" si="3"/>
        <v>2.6687877756757562E-2</v>
      </c>
      <c r="L260" s="2" t="str">
        <f>IF(ISNUMBER(SEARCH("|",IMDB_Movies!$D260)),LEFT(IMDB_Movies!$D260,SEARCH("|",IMDB_Movies!$D260)-1),IMDB_Movies!$D260)</f>
        <v>Action</v>
      </c>
      <c r="V260" s="2"/>
      <c r="W260" s="2"/>
    </row>
    <row r="261" spans="1:23" ht="12.5" x14ac:dyDescent="0.25">
      <c r="A261" s="2" t="s">
        <v>581</v>
      </c>
      <c r="B261" s="2">
        <v>120</v>
      </c>
      <c r="C261" s="2">
        <v>24004159</v>
      </c>
      <c r="D261" s="2" t="s">
        <v>582</v>
      </c>
      <c r="E261" s="2" t="s">
        <v>583</v>
      </c>
      <c r="F261" s="2" t="s">
        <v>14</v>
      </c>
      <c r="G261" s="2" t="s">
        <v>15</v>
      </c>
      <c r="H261" s="2">
        <v>110000000</v>
      </c>
      <c r="I261" s="2">
        <v>5.8</v>
      </c>
      <c r="J261" s="2">
        <f t="shared" si="2"/>
        <v>-85995841</v>
      </c>
      <c r="K261" s="2">
        <f t="shared" si="3"/>
        <v>2.6426927608900544E-2</v>
      </c>
      <c r="L261" s="2" t="str">
        <f>IF(ISNUMBER(SEARCH("|",IMDB_Movies!$D261)),LEFT(IMDB_Movies!$D261,SEARCH("|",IMDB_Movies!$D261)-1),IMDB_Movies!$D261)</f>
        <v>Action</v>
      </c>
      <c r="V261" s="2"/>
      <c r="W261" s="2"/>
    </row>
    <row r="262" spans="1:23" ht="12.5" x14ac:dyDescent="0.25">
      <c r="A262" s="2" t="s">
        <v>584</v>
      </c>
      <c r="B262" s="2">
        <v>165</v>
      </c>
      <c r="C262" s="2">
        <v>58183966</v>
      </c>
      <c r="D262" s="2" t="s">
        <v>585</v>
      </c>
      <c r="E262" s="2" t="s">
        <v>586</v>
      </c>
      <c r="F262" s="2" t="s">
        <v>14</v>
      </c>
      <c r="G262" s="2" t="s">
        <v>15</v>
      </c>
      <c r="H262" s="2">
        <v>107000000</v>
      </c>
      <c r="I262" s="2">
        <v>6.8</v>
      </c>
      <c r="J262" s="2">
        <f t="shared" si="2"/>
        <v>-48816034</v>
      </c>
      <c r="K262" s="2">
        <f t="shared" si="3"/>
        <v>2.6456645479501373E-2</v>
      </c>
      <c r="L262" s="2" t="str">
        <f>IF(ISNUMBER(SEARCH("|",IMDB_Movies!$D262)),LEFT(IMDB_Movies!$D262,SEARCH("|",IMDB_Movies!$D262)-1),IMDB_Movies!$D262)</f>
        <v>Biography</v>
      </c>
      <c r="V262" s="2"/>
      <c r="W262" s="2"/>
    </row>
    <row r="263" spans="1:23" ht="12.5" x14ac:dyDescent="0.25">
      <c r="A263" s="2" t="s">
        <v>587</v>
      </c>
      <c r="B263" s="2">
        <v>82</v>
      </c>
      <c r="C263" s="2">
        <v>100446895</v>
      </c>
      <c r="D263" s="2" t="s">
        <v>294</v>
      </c>
      <c r="E263" s="2" t="s">
        <v>588</v>
      </c>
      <c r="F263" s="2" t="s">
        <v>14</v>
      </c>
      <c r="G263" s="2" t="s">
        <v>15</v>
      </c>
      <c r="H263" s="2">
        <v>109000000</v>
      </c>
      <c r="I263" s="2">
        <v>3.8</v>
      </c>
      <c r="J263" s="2">
        <f t="shared" si="2"/>
        <v>-8553105</v>
      </c>
      <c r="K263" s="2">
        <f t="shared" si="3"/>
        <v>2.642774420947577E-2</v>
      </c>
      <c r="L263" s="2" t="str">
        <f>IF(ISNUMBER(SEARCH("|",IMDB_Movies!$D263)),LEFT(IMDB_Movies!$D263,SEARCH("|",IMDB_Movies!$D263)-1),IMDB_Movies!$D263)</f>
        <v>Adventure</v>
      </c>
      <c r="V263" s="2"/>
      <c r="W263" s="2"/>
    </row>
    <row r="264" spans="1:23" ht="12.5" x14ac:dyDescent="0.25">
      <c r="A264" s="2" t="s">
        <v>386</v>
      </c>
      <c r="B264" s="2">
        <v>115</v>
      </c>
      <c r="C264" s="2">
        <v>144795350</v>
      </c>
      <c r="D264" s="2" t="s">
        <v>589</v>
      </c>
      <c r="E264" s="2" t="s">
        <v>590</v>
      </c>
      <c r="F264" s="2" t="s">
        <v>14</v>
      </c>
      <c r="G264" s="2" t="s">
        <v>15</v>
      </c>
      <c r="H264" s="2">
        <v>120000000</v>
      </c>
      <c r="I264" s="2">
        <v>7.1</v>
      </c>
      <c r="J264" s="2">
        <f t="shared" si="2"/>
        <v>24795350</v>
      </c>
      <c r="K264" s="2">
        <f t="shared" si="3"/>
        <v>2.6329520867077471E-2</v>
      </c>
      <c r="L264" s="2" t="str">
        <f>IF(ISNUMBER(SEARCH("|",IMDB_Movies!$D264)),LEFT(IMDB_Movies!$D264,SEARCH("|",IMDB_Movies!$D264)-1),IMDB_Movies!$D264)</f>
        <v>Action</v>
      </c>
      <c r="V264" s="2"/>
      <c r="W264" s="2"/>
    </row>
    <row r="265" spans="1:23" ht="12.5" x14ac:dyDescent="0.25">
      <c r="A265" s="2" t="s">
        <v>76</v>
      </c>
      <c r="B265" s="2">
        <v>194</v>
      </c>
      <c r="C265" s="2">
        <v>47396698</v>
      </c>
      <c r="D265" s="2" t="s">
        <v>406</v>
      </c>
      <c r="E265" s="2" t="s">
        <v>591</v>
      </c>
      <c r="F265" s="2" t="s">
        <v>14</v>
      </c>
      <c r="G265" s="2" t="s">
        <v>15</v>
      </c>
      <c r="H265" s="2">
        <v>130000000</v>
      </c>
      <c r="I265" s="2">
        <v>7.2</v>
      </c>
      <c r="J265" s="2">
        <f t="shared" si="2"/>
        <v>-82603302</v>
      </c>
      <c r="K265" s="2">
        <f t="shared" si="3"/>
        <v>2.6137359409869936E-2</v>
      </c>
      <c r="L265" s="2" t="str">
        <f>IF(ISNUMBER(SEARCH("|",IMDB_Movies!$D265)),LEFT(IMDB_Movies!$D265,SEARCH("|",IMDB_Movies!$D265)-1),IMDB_Movies!$D265)</f>
        <v>Action</v>
      </c>
      <c r="V265" s="2"/>
      <c r="W265" s="2"/>
    </row>
    <row r="266" spans="1:23" ht="12.5" x14ac:dyDescent="0.25">
      <c r="A266" s="2" t="s">
        <v>350</v>
      </c>
      <c r="B266" s="2">
        <v>84</v>
      </c>
      <c r="C266" s="2">
        <v>140015224</v>
      </c>
      <c r="D266" s="2" t="s">
        <v>294</v>
      </c>
      <c r="E266" s="2" t="s">
        <v>592</v>
      </c>
      <c r="F266" s="2" t="s">
        <v>14</v>
      </c>
      <c r="G266" s="2" t="s">
        <v>287</v>
      </c>
      <c r="H266" s="2">
        <v>133000000</v>
      </c>
      <c r="I266" s="2">
        <v>5.9</v>
      </c>
      <c r="J266" s="2">
        <f t="shared" si="2"/>
        <v>7015224</v>
      </c>
      <c r="K266" s="2">
        <f t="shared" si="3"/>
        <v>2.6122569127190888E-2</v>
      </c>
      <c r="L266" s="2" t="str">
        <f>IF(ISNUMBER(SEARCH("|",IMDB_Movies!$D266)),LEFT(IMDB_Movies!$D266,SEARCH("|",IMDB_Movies!$D266)-1),IMDB_Movies!$D266)</f>
        <v>Adventure</v>
      </c>
      <c r="V266" s="2"/>
      <c r="W266" s="2"/>
    </row>
    <row r="267" spans="1:23" ht="12.5" x14ac:dyDescent="0.25">
      <c r="A267" s="2" t="s">
        <v>593</v>
      </c>
      <c r="B267" s="2">
        <v>97</v>
      </c>
      <c r="C267" s="2">
        <v>104374107</v>
      </c>
      <c r="D267" s="2" t="s">
        <v>594</v>
      </c>
      <c r="E267" s="2" t="s">
        <v>595</v>
      </c>
      <c r="F267" s="2" t="s">
        <v>14</v>
      </c>
      <c r="G267" s="2" t="s">
        <v>15</v>
      </c>
      <c r="H267" s="2">
        <v>105000000</v>
      </c>
      <c r="I267" s="2">
        <v>7.1</v>
      </c>
      <c r="J267" s="2">
        <f t="shared" si="2"/>
        <v>-625893</v>
      </c>
      <c r="K267" s="2">
        <f t="shared" si="3"/>
        <v>2.5907387184810497E-2</v>
      </c>
      <c r="L267" s="2" t="str">
        <f>IF(ISNUMBER(SEARCH("|",IMDB_Movies!$D267)),LEFT(IMDB_Movies!$D267,SEARCH("|",IMDB_Movies!$D267)-1),IMDB_Movies!$D267)</f>
        <v>Animation</v>
      </c>
      <c r="V267" s="2"/>
      <c r="W267" s="2"/>
    </row>
    <row r="268" spans="1:23" ht="12.5" x14ac:dyDescent="0.25">
      <c r="A268" s="2" t="s">
        <v>76</v>
      </c>
      <c r="B268" s="2">
        <v>151</v>
      </c>
      <c r="C268" s="2">
        <v>228430993</v>
      </c>
      <c r="D268" s="2" t="s">
        <v>250</v>
      </c>
      <c r="E268" s="2" t="s">
        <v>596</v>
      </c>
      <c r="F268" s="2" t="s">
        <v>14</v>
      </c>
      <c r="G268" s="2" t="s">
        <v>15</v>
      </c>
      <c r="H268" s="2">
        <v>108000000</v>
      </c>
      <c r="I268" s="2">
        <v>8.1</v>
      </c>
      <c r="J268" s="2">
        <f t="shared" si="2"/>
        <v>120430993</v>
      </c>
      <c r="K268" s="2">
        <f t="shared" si="3"/>
        <v>2.5808605892083992E-2</v>
      </c>
      <c r="L268" s="2" t="str">
        <f>IF(ISNUMBER(SEARCH("|",IMDB_Movies!$D268)),LEFT(IMDB_Movies!$D268,SEARCH("|",IMDB_Movies!$D268)-1),IMDB_Movies!$D268)</f>
        <v>Adventure</v>
      </c>
      <c r="V268" s="2"/>
      <c r="W268" s="2"/>
    </row>
    <row r="269" spans="1:23" ht="12.5" x14ac:dyDescent="0.25">
      <c r="A269" s="2" t="s">
        <v>108</v>
      </c>
      <c r="B269" s="2">
        <v>136</v>
      </c>
      <c r="C269" s="2">
        <v>35799026</v>
      </c>
      <c r="D269" s="2" t="s">
        <v>597</v>
      </c>
      <c r="E269" s="2" t="s">
        <v>598</v>
      </c>
      <c r="F269" s="2" t="s">
        <v>14</v>
      </c>
      <c r="G269" s="2" t="s">
        <v>15</v>
      </c>
      <c r="H269" s="2">
        <v>126000000</v>
      </c>
      <c r="I269" s="2">
        <v>6.9</v>
      </c>
      <c r="J269" s="2">
        <f t="shared" si="2"/>
        <v>-90200974</v>
      </c>
      <c r="K269" s="2">
        <f t="shared" si="3"/>
        <v>2.5535784200376423E-2</v>
      </c>
      <c r="L269" s="2" t="str">
        <f>IF(ISNUMBER(SEARCH("|",IMDB_Movies!$D269)),LEFT(IMDB_Movies!$D269,SEARCH("|",IMDB_Movies!$D269)-1),IMDB_Movies!$D269)</f>
        <v>Action</v>
      </c>
      <c r="V269" s="2"/>
      <c r="W269" s="2"/>
    </row>
    <row r="270" spans="1:23" ht="12.5" x14ac:dyDescent="0.25">
      <c r="A270" s="2" t="s">
        <v>599</v>
      </c>
      <c r="B270" s="2">
        <v>104</v>
      </c>
      <c r="C270" s="2">
        <v>6712451</v>
      </c>
      <c r="D270" s="2" t="s">
        <v>600</v>
      </c>
      <c r="E270" s="2" t="s">
        <v>601</v>
      </c>
      <c r="F270" s="2" t="s">
        <v>14</v>
      </c>
      <c r="G270" s="2" t="s">
        <v>602</v>
      </c>
      <c r="H270" s="2">
        <v>90000000</v>
      </c>
      <c r="I270" s="2">
        <v>4.4000000000000004</v>
      </c>
      <c r="J270" s="2">
        <f t="shared" si="2"/>
        <v>-83287549</v>
      </c>
      <c r="K270" s="2">
        <f t="shared" si="3"/>
        <v>2.5546179306965646E-2</v>
      </c>
      <c r="L270" s="2" t="str">
        <f>IF(ISNUMBER(SEARCH("|",IMDB_Movies!$D270)),LEFT(IMDB_Movies!$D270,SEARCH("|",IMDB_Movies!$D270)-1),IMDB_Movies!$D270)</f>
        <v>Comedy</v>
      </c>
      <c r="V270" s="2"/>
      <c r="W270" s="2"/>
    </row>
    <row r="271" spans="1:23" ht="12.5" x14ac:dyDescent="0.25">
      <c r="A271" s="2" t="s">
        <v>603</v>
      </c>
      <c r="B271" s="2">
        <v>127</v>
      </c>
      <c r="C271" s="2">
        <v>101643008</v>
      </c>
      <c r="D271" s="2" t="s">
        <v>125</v>
      </c>
      <c r="E271" s="2" t="s">
        <v>604</v>
      </c>
      <c r="F271" s="2" t="s">
        <v>14</v>
      </c>
      <c r="G271" s="2" t="s">
        <v>15</v>
      </c>
      <c r="H271" s="2">
        <v>90000000</v>
      </c>
      <c r="I271" s="2">
        <v>6.5</v>
      </c>
      <c r="J271" s="2">
        <f t="shared" si="2"/>
        <v>11643008</v>
      </c>
      <c r="K271" s="2">
        <f t="shared" si="3"/>
        <v>2.5591182292675381E-2</v>
      </c>
      <c r="L271" s="2" t="str">
        <f>IF(ISNUMBER(SEARCH("|",IMDB_Movies!$D271)),LEFT(IMDB_Movies!$D271,SEARCH("|",IMDB_Movies!$D271)-1),IMDB_Movies!$D271)</f>
        <v>Action</v>
      </c>
      <c r="V271" s="2"/>
      <c r="W271" s="2"/>
    </row>
    <row r="272" spans="1:23" ht="12.5" x14ac:dyDescent="0.25">
      <c r="A272" s="2" t="s">
        <v>76</v>
      </c>
      <c r="B272" s="2">
        <v>171</v>
      </c>
      <c r="C272" s="2">
        <v>187670866</v>
      </c>
      <c r="D272" s="2" t="s">
        <v>605</v>
      </c>
      <c r="E272" s="2" t="s">
        <v>606</v>
      </c>
      <c r="F272" s="2" t="s">
        <v>14</v>
      </c>
      <c r="G272" s="2" t="s">
        <v>15</v>
      </c>
      <c r="H272" s="2">
        <v>103000000</v>
      </c>
      <c r="I272" s="2">
        <v>8.5</v>
      </c>
      <c r="J272" s="2">
        <f t="shared" si="2"/>
        <v>84670866</v>
      </c>
      <c r="K272" s="2">
        <f t="shared" si="3"/>
        <v>2.5517834815114979E-2</v>
      </c>
      <c r="L272" s="2" t="str">
        <f>IF(ISNUMBER(SEARCH("|",IMDB_Movies!$D272)),LEFT(IMDB_Movies!$D272,SEARCH("|",IMDB_Movies!$D272)-1),IMDB_Movies!$D272)</f>
        <v>Action</v>
      </c>
      <c r="V272" s="2"/>
      <c r="W272" s="2"/>
    </row>
    <row r="273" spans="1:23" ht="12.5" x14ac:dyDescent="0.25">
      <c r="A273" s="2" t="s">
        <v>141</v>
      </c>
      <c r="B273" s="2">
        <v>145</v>
      </c>
      <c r="C273" s="2">
        <v>132014112</v>
      </c>
      <c r="D273" s="2" t="s">
        <v>589</v>
      </c>
      <c r="E273" s="2" t="s">
        <v>607</v>
      </c>
      <c r="F273" s="2" t="s">
        <v>14</v>
      </c>
      <c r="G273" s="2" t="s">
        <v>15</v>
      </c>
      <c r="H273" s="2">
        <v>102000000</v>
      </c>
      <c r="I273" s="2">
        <v>7.7</v>
      </c>
      <c r="J273" s="2">
        <f t="shared" si="2"/>
        <v>30014112</v>
      </c>
      <c r="K273" s="2">
        <f t="shared" si="3"/>
        <v>2.5312542269506775E-2</v>
      </c>
      <c r="L273" s="2" t="str">
        <f>IF(ISNUMBER(SEARCH("|",IMDB_Movies!$D273)),LEFT(IMDB_Movies!$D273,SEARCH("|",IMDB_Movies!$D273)-1),IMDB_Movies!$D273)</f>
        <v>Action</v>
      </c>
      <c r="V273" s="2"/>
      <c r="W273" s="2"/>
    </row>
    <row r="274" spans="1:23" ht="12.5" x14ac:dyDescent="0.25">
      <c r="A274" s="2" t="s">
        <v>458</v>
      </c>
      <c r="B274" s="2">
        <v>174</v>
      </c>
      <c r="C274" s="2">
        <v>261970615</v>
      </c>
      <c r="D274" s="2" t="s">
        <v>48</v>
      </c>
      <c r="E274" s="2" t="s">
        <v>608</v>
      </c>
      <c r="F274" s="2" t="s">
        <v>14</v>
      </c>
      <c r="G274" s="2" t="s">
        <v>22</v>
      </c>
      <c r="H274" s="2">
        <v>100000000</v>
      </c>
      <c r="I274" s="2">
        <v>7.4</v>
      </c>
      <c r="J274" s="2">
        <f t="shared" si="2"/>
        <v>161970615</v>
      </c>
      <c r="K274" s="2">
        <f t="shared" si="3"/>
        <v>2.5179828532624678E-2</v>
      </c>
      <c r="L274" s="2" t="str">
        <f>IF(ISNUMBER(SEARCH("|",IMDB_Movies!$D274)),LEFT(IMDB_Movies!$D274,SEARCH("|",IMDB_Movies!$D274)-1),IMDB_Movies!$D274)</f>
        <v>Adventure</v>
      </c>
      <c r="V274" s="2"/>
      <c r="W274" s="2"/>
    </row>
    <row r="275" spans="1:23" ht="12.5" x14ac:dyDescent="0.25">
      <c r="A275" s="2" t="s">
        <v>118</v>
      </c>
      <c r="B275" s="2">
        <v>144</v>
      </c>
      <c r="C275" s="2">
        <v>167007184</v>
      </c>
      <c r="D275" s="2" t="s">
        <v>20</v>
      </c>
      <c r="E275" s="2" t="s">
        <v>609</v>
      </c>
      <c r="F275" s="2" t="s">
        <v>14</v>
      </c>
      <c r="G275" s="2" t="s">
        <v>22</v>
      </c>
      <c r="H275" s="2">
        <v>150000000</v>
      </c>
      <c r="I275" s="2">
        <v>8</v>
      </c>
      <c r="J275" s="2">
        <f t="shared" si="2"/>
        <v>17007184</v>
      </c>
      <c r="K275" s="2">
        <f t="shared" si="3"/>
        <v>2.4907653724643281E-2</v>
      </c>
      <c r="L275" s="2" t="str">
        <f>IF(ISNUMBER(SEARCH("|",IMDB_Movies!$D275)),LEFT(IMDB_Movies!$D275,SEARCH("|",IMDB_Movies!$D275)-1),IMDB_Movies!$D275)</f>
        <v>Action</v>
      </c>
      <c r="V275" s="2"/>
      <c r="W275" s="2"/>
    </row>
    <row r="276" spans="1:23" ht="12.5" x14ac:dyDescent="0.25">
      <c r="A276" s="2" t="s">
        <v>99</v>
      </c>
      <c r="B276" s="2">
        <v>119</v>
      </c>
      <c r="C276" s="2">
        <v>180011740</v>
      </c>
      <c r="D276" s="2" t="s">
        <v>90</v>
      </c>
      <c r="E276" s="2" t="s">
        <v>610</v>
      </c>
      <c r="F276" s="2" t="s">
        <v>14</v>
      </c>
      <c r="G276" s="2" t="s">
        <v>15</v>
      </c>
      <c r="H276" s="2">
        <v>100000000</v>
      </c>
      <c r="I276" s="2">
        <v>5.7</v>
      </c>
      <c r="J276" s="2">
        <f t="shared" si="2"/>
        <v>80011740</v>
      </c>
      <c r="K276" s="2">
        <f t="shared" si="3"/>
        <v>2.4583009528759397E-2</v>
      </c>
      <c r="L276" s="2" t="str">
        <f>IF(ISNUMBER(SEARCH("|",IMDB_Movies!$D276)),LEFT(IMDB_Movies!$D276,SEARCH("|",IMDB_Movies!$D276)-1),IMDB_Movies!$D276)</f>
        <v>Action</v>
      </c>
      <c r="V276" s="2"/>
      <c r="W276" s="2"/>
    </row>
    <row r="277" spans="1:23" ht="12.5" x14ac:dyDescent="0.25">
      <c r="A277" s="2" t="s">
        <v>11</v>
      </c>
      <c r="B277" s="2">
        <v>153</v>
      </c>
      <c r="C277" s="2">
        <v>204843350</v>
      </c>
      <c r="D277" s="2" t="s">
        <v>246</v>
      </c>
      <c r="E277" s="2" t="s">
        <v>611</v>
      </c>
      <c r="F277" s="2" t="s">
        <v>14</v>
      </c>
      <c r="G277" s="2" t="s">
        <v>15</v>
      </c>
      <c r="H277" s="2">
        <v>102000000</v>
      </c>
      <c r="I277" s="2">
        <v>8.5</v>
      </c>
      <c r="J277" s="2">
        <f t="shared" si="2"/>
        <v>102843350</v>
      </c>
      <c r="K277" s="2">
        <f t="shared" si="3"/>
        <v>2.4394639250984767E-2</v>
      </c>
      <c r="L277" s="2" t="str">
        <f>IF(ISNUMBER(SEARCH("|",IMDB_Movies!$D277)),LEFT(IMDB_Movies!$D277,SEARCH("|",IMDB_Movies!$D277)-1),IMDB_Movies!$D277)</f>
        <v>Action</v>
      </c>
      <c r="V277" s="2"/>
      <c r="W277" s="2"/>
    </row>
    <row r="278" spans="1:23" ht="12.5" x14ac:dyDescent="0.25">
      <c r="A278" s="2" t="s">
        <v>584</v>
      </c>
      <c r="B278" s="2">
        <v>140</v>
      </c>
      <c r="C278" s="2">
        <v>97030725</v>
      </c>
      <c r="D278" s="2" t="s">
        <v>612</v>
      </c>
      <c r="E278" s="2" t="s">
        <v>613</v>
      </c>
      <c r="F278" s="2" t="s">
        <v>14</v>
      </c>
      <c r="G278" s="2" t="s">
        <v>15</v>
      </c>
      <c r="H278" s="2">
        <v>100000000</v>
      </c>
      <c r="I278" s="2">
        <v>7</v>
      </c>
      <c r="J278" s="2">
        <f t="shared" si="2"/>
        <v>-2969275</v>
      </c>
      <c r="K278" s="2">
        <f t="shared" si="3"/>
        <v>2.4169644225935656E-2</v>
      </c>
      <c r="L278" s="2" t="str">
        <f>IF(ISNUMBER(SEARCH("|",IMDB_Movies!$D278)),LEFT(IMDB_Movies!$D278,SEARCH("|",IMDB_Movies!$D278)-1),IMDB_Movies!$D278)</f>
        <v>Biography</v>
      </c>
      <c r="V278" s="2"/>
      <c r="W278" s="2"/>
    </row>
    <row r="279" spans="1:23" ht="12.5" x14ac:dyDescent="0.25">
      <c r="A279" s="2" t="s">
        <v>76</v>
      </c>
      <c r="B279" s="2">
        <v>176</v>
      </c>
      <c r="C279" s="2">
        <v>130127620</v>
      </c>
      <c r="D279" s="2" t="s">
        <v>614</v>
      </c>
      <c r="E279" s="2" t="s">
        <v>615</v>
      </c>
      <c r="F279" s="2" t="s">
        <v>14</v>
      </c>
      <c r="G279" s="2" t="s">
        <v>15</v>
      </c>
      <c r="H279" s="2">
        <v>100000000</v>
      </c>
      <c r="I279" s="2">
        <v>7.8</v>
      </c>
      <c r="J279" s="2">
        <f t="shared" si="2"/>
        <v>30127620</v>
      </c>
      <c r="K279" s="2">
        <f t="shared" si="3"/>
        <v>2.4086511750565174E-2</v>
      </c>
      <c r="L279" s="2" t="str">
        <f>IF(ISNUMBER(SEARCH("|",IMDB_Movies!$D279)),LEFT(IMDB_Movies!$D279,SEARCH("|",IMDB_Movies!$D279)-1),IMDB_Movies!$D279)</f>
        <v>Biography</v>
      </c>
      <c r="V279" s="2"/>
      <c r="W279" s="2"/>
    </row>
    <row r="280" spans="1:23" ht="12.5" x14ac:dyDescent="0.25">
      <c r="A280" s="2" t="s">
        <v>11</v>
      </c>
      <c r="B280" s="2">
        <v>141</v>
      </c>
      <c r="C280" s="2">
        <v>146282411</v>
      </c>
      <c r="D280" s="2" t="s">
        <v>616</v>
      </c>
      <c r="E280" s="2" t="s">
        <v>617</v>
      </c>
      <c r="F280" s="2" t="s">
        <v>14</v>
      </c>
      <c r="G280" s="2" t="s">
        <v>15</v>
      </c>
      <c r="H280" s="2">
        <v>115000000</v>
      </c>
      <c r="I280" s="2">
        <v>7.2</v>
      </c>
      <c r="J280" s="2">
        <f t="shared" si="2"/>
        <v>31282411</v>
      </c>
      <c r="K280" s="2">
        <f t="shared" si="3"/>
        <v>2.3958686816267488E-2</v>
      </c>
      <c r="L280" s="2" t="str">
        <f>IF(ISNUMBER(SEARCH("|",IMDB_Movies!$D280)),LEFT(IMDB_Movies!$D280,SEARCH("|",IMDB_Movies!$D280)-1),IMDB_Movies!$D280)</f>
        <v>Action</v>
      </c>
      <c r="V280" s="2"/>
      <c r="W280" s="2"/>
    </row>
    <row r="281" spans="1:23" ht="12.5" x14ac:dyDescent="0.25">
      <c r="A281" s="2" t="s">
        <v>618</v>
      </c>
      <c r="B281" s="2">
        <v>106</v>
      </c>
      <c r="C281" s="2">
        <v>65452312</v>
      </c>
      <c r="D281" s="2" t="s">
        <v>125</v>
      </c>
      <c r="E281" s="2" t="s">
        <v>619</v>
      </c>
      <c r="F281" s="2" t="s">
        <v>14</v>
      </c>
      <c r="G281" s="2" t="s">
        <v>15</v>
      </c>
      <c r="H281" s="2">
        <v>100000000</v>
      </c>
      <c r="I281" s="2">
        <v>6.4</v>
      </c>
      <c r="J281" s="2">
        <f t="shared" si="2"/>
        <v>-34547688</v>
      </c>
      <c r="K281" s="2">
        <f t="shared" si="3"/>
        <v>2.3771488000410429E-2</v>
      </c>
      <c r="L281" s="2" t="str">
        <f>IF(ISNUMBER(SEARCH("|",IMDB_Movies!$D281)),LEFT(IMDB_Movies!$D281,SEARCH("|",IMDB_Movies!$D281)-1),IMDB_Movies!$D281)</f>
        <v>Action</v>
      </c>
      <c r="V281" s="2"/>
      <c r="W281" s="2"/>
    </row>
    <row r="282" spans="1:23" ht="12.5" x14ac:dyDescent="0.25">
      <c r="A282" s="2" t="s">
        <v>620</v>
      </c>
      <c r="B282" s="2">
        <v>98</v>
      </c>
      <c r="C282" s="2">
        <v>148383780</v>
      </c>
      <c r="D282" s="2" t="s">
        <v>600</v>
      </c>
      <c r="E282" s="2" t="s">
        <v>621</v>
      </c>
      <c r="F282" s="2" t="s">
        <v>14</v>
      </c>
      <c r="G282" s="2" t="s">
        <v>15</v>
      </c>
      <c r="H282" s="2">
        <v>100000000</v>
      </c>
      <c r="I282" s="2">
        <v>5.5</v>
      </c>
      <c r="J282" s="2">
        <f t="shared" si="2"/>
        <v>48383780</v>
      </c>
      <c r="K282" s="2">
        <f t="shared" si="3"/>
        <v>2.373335821276332E-2</v>
      </c>
      <c r="L282" s="2" t="str">
        <f>IF(ISNUMBER(SEARCH("|",IMDB_Movies!$D282)),LEFT(IMDB_Movies!$D282,SEARCH("|",IMDB_Movies!$D282)-1),IMDB_Movies!$D282)</f>
        <v>Comedy</v>
      </c>
      <c r="V282" s="2"/>
      <c r="W282" s="2"/>
    </row>
    <row r="283" spans="1:23" ht="12.5" x14ac:dyDescent="0.25">
      <c r="A283" s="2" t="s">
        <v>622</v>
      </c>
      <c r="B283" s="2">
        <v>116</v>
      </c>
      <c r="C283" s="2">
        <v>119219978</v>
      </c>
      <c r="D283" s="2" t="s">
        <v>623</v>
      </c>
      <c r="E283" s="2" t="s">
        <v>624</v>
      </c>
      <c r="F283" s="2" t="s">
        <v>14</v>
      </c>
      <c r="G283" s="2" t="s">
        <v>15</v>
      </c>
      <c r="H283" s="2">
        <v>100000000</v>
      </c>
      <c r="I283" s="2">
        <v>6.7</v>
      </c>
      <c r="J283" s="2">
        <f t="shared" si="2"/>
        <v>19219978</v>
      </c>
      <c r="K283" s="2">
        <f t="shared" si="3"/>
        <v>2.3581526367869188E-2</v>
      </c>
      <c r="L283" s="2" t="str">
        <f>IF(ISNUMBER(SEARCH("|",IMDB_Movies!$D283)),LEFT(IMDB_Movies!$D283,SEARCH("|",IMDB_Movies!$D283)-1),IMDB_Movies!$D283)</f>
        <v>Action</v>
      </c>
      <c r="V283" s="2"/>
      <c r="W283" s="2"/>
    </row>
    <row r="284" spans="1:23" ht="12.5" x14ac:dyDescent="0.25">
      <c r="A284" s="2" t="s">
        <v>625</v>
      </c>
      <c r="B284" s="2">
        <v>115</v>
      </c>
      <c r="C284" s="2">
        <v>101228120</v>
      </c>
      <c r="D284" s="2" t="s">
        <v>626</v>
      </c>
      <c r="E284" s="2" t="s">
        <v>627</v>
      </c>
      <c r="F284" s="2" t="s">
        <v>14</v>
      </c>
      <c r="G284" s="2" t="s">
        <v>15</v>
      </c>
      <c r="H284" s="2">
        <v>100000000</v>
      </c>
      <c r="I284" s="2">
        <v>6.1</v>
      </c>
      <c r="J284" s="2">
        <f t="shared" si="2"/>
        <v>1228120</v>
      </c>
      <c r="K284" s="2">
        <f t="shared" si="3"/>
        <v>2.3467444897556956E-2</v>
      </c>
      <c r="L284" s="2" t="str">
        <f>IF(ISNUMBER(SEARCH("|",IMDB_Movies!$D284)),LEFT(IMDB_Movies!$D284,SEARCH("|",IMDB_Movies!$D284)-1),IMDB_Movies!$D284)</f>
        <v>Action</v>
      </c>
      <c r="V284" s="2"/>
      <c r="W284" s="2"/>
    </row>
    <row r="285" spans="1:23" ht="12.5" x14ac:dyDescent="0.25">
      <c r="A285" s="2" t="s">
        <v>628</v>
      </c>
      <c r="B285" s="2">
        <v>165</v>
      </c>
      <c r="C285" s="2">
        <v>162804648</v>
      </c>
      <c r="D285" s="2" t="s">
        <v>629</v>
      </c>
      <c r="E285" s="2" t="s">
        <v>630</v>
      </c>
      <c r="F285" s="2" t="s">
        <v>14</v>
      </c>
      <c r="G285" s="2" t="s">
        <v>15</v>
      </c>
      <c r="H285" s="2">
        <v>100000000</v>
      </c>
      <c r="I285" s="2">
        <v>8.5</v>
      </c>
      <c r="J285" s="2">
        <f t="shared" si="2"/>
        <v>62804648</v>
      </c>
      <c r="K285" s="2">
        <f t="shared" si="3"/>
        <v>2.3377798278496089E-2</v>
      </c>
      <c r="L285" s="2" t="str">
        <f>IF(ISNUMBER(SEARCH("|",IMDB_Movies!$D285)),LEFT(IMDB_Movies!$D285,SEARCH("|",IMDB_Movies!$D285)-1),IMDB_Movies!$D285)</f>
        <v>Drama</v>
      </c>
      <c r="V285" s="2"/>
      <c r="W285" s="2"/>
    </row>
    <row r="286" spans="1:23" ht="12.5" x14ac:dyDescent="0.25">
      <c r="A286" s="2" t="s">
        <v>631</v>
      </c>
      <c r="B286" s="2">
        <v>91</v>
      </c>
      <c r="C286" s="2">
        <v>100117603</v>
      </c>
      <c r="D286" s="2" t="s">
        <v>632</v>
      </c>
      <c r="E286" s="2" t="s">
        <v>633</v>
      </c>
      <c r="F286" s="2" t="s">
        <v>14</v>
      </c>
      <c r="G286" s="2" t="s">
        <v>15</v>
      </c>
      <c r="H286" s="2">
        <v>100000000</v>
      </c>
      <c r="I286" s="2">
        <v>6.9</v>
      </c>
      <c r="J286" s="2">
        <f t="shared" si="2"/>
        <v>117603</v>
      </c>
      <c r="K286" s="2">
        <f t="shared" si="3"/>
        <v>2.3207272712200931E-2</v>
      </c>
      <c r="L286" s="2" t="str">
        <f>IF(ISNUMBER(SEARCH("|",IMDB_Movies!$D286)),LEFT(IMDB_Movies!$D286,SEARCH("|",IMDB_Movies!$D286)-1),IMDB_Movies!$D286)</f>
        <v>Animation</v>
      </c>
      <c r="V286" s="2"/>
      <c r="W286" s="2"/>
    </row>
    <row r="287" spans="1:23" ht="12.5" x14ac:dyDescent="0.25">
      <c r="A287" s="2" t="s">
        <v>634</v>
      </c>
      <c r="B287" s="2">
        <v>78</v>
      </c>
      <c r="C287" s="2">
        <v>89296573</v>
      </c>
      <c r="D287" s="2" t="s">
        <v>106</v>
      </c>
      <c r="E287" s="2" t="s">
        <v>635</v>
      </c>
      <c r="F287" s="2" t="s">
        <v>14</v>
      </c>
      <c r="G287" s="2" t="s">
        <v>15</v>
      </c>
      <c r="H287" s="2">
        <v>100000000</v>
      </c>
      <c r="I287" s="2">
        <v>7.3</v>
      </c>
      <c r="J287" s="2">
        <f t="shared" si="2"/>
        <v>-10703427</v>
      </c>
      <c r="K287" s="2">
        <f t="shared" si="3"/>
        <v>2.3118900101988346E-2</v>
      </c>
      <c r="L287" s="2" t="str">
        <f>IF(ISNUMBER(SEARCH("|",IMDB_Movies!$D287)),LEFT(IMDB_Movies!$D287,SEARCH("|",IMDB_Movies!$D287)-1),IMDB_Movies!$D287)</f>
        <v>Adventure</v>
      </c>
      <c r="V287" s="2"/>
      <c r="W287" s="2"/>
    </row>
    <row r="288" spans="1:23" ht="12.5" x14ac:dyDescent="0.25">
      <c r="A288" s="2" t="s">
        <v>636</v>
      </c>
      <c r="B288" s="2">
        <v>103</v>
      </c>
      <c r="C288" s="2">
        <v>85017401</v>
      </c>
      <c r="D288" s="2" t="s">
        <v>20</v>
      </c>
      <c r="E288" s="2" t="s">
        <v>637</v>
      </c>
      <c r="F288" s="2" t="s">
        <v>14</v>
      </c>
      <c r="G288" s="2" t="s">
        <v>15</v>
      </c>
      <c r="H288" s="2">
        <v>92000000</v>
      </c>
      <c r="I288" s="2">
        <v>6.7</v>
      </c>
      <c r="J288" s="2">
        <f t="shared" si="2"/>
        <v>-6982599</v>
      </c>
      <c r="K288" s="2">
        <f t="shared" si="3"/>
        <v>2.3045706039087541E-2</v>
      </c>
      <c r="L288" s="2" t="str">
        <f>IF(ISNUMBER(SEARCH("|",IMDB_Movies!$D288)),LEFT(IMDB_Movies!$D288,SEARCH("|",IMDB_Movies!$D288)-1),IMDB_Movies!$D288)</f>
        <v>Action</v>
      </c>
      <c r="V288" s="2"/>
      <c r="W288" s="2"/>
    </row>
    <row r="289" spans="1:23" ht="12.5" x14ac:dyDescent="0.25">
      <c r="A289" s="2" t="s">
        <v>264</v>
      </c>
      <c r="B289" s="2">
        <v>131</v>
      </c>
      <c r="C289" s="2">
        <v>173005002</v>
      </c>
      <c r="D289" s="2" t="s">
        <v>638</v>
      </c>
      <c r="E289" s="2" t="s">
        <v>639</v>
      </c>
      <c r="F289" s="2" t="s">
        <v>14</v>
      </c>
      <c r="G289" s="2" t="s">
        <v>15</v>
      </c>
      <c r="H289" s="2">
        <v>100000000</v>
      </c>
      <c r="I289" s="2">
        <v>6.9</v>
      </c>
      <c r="J289" s="2">
        <f t="shared" si="2"/>
        <v>73005002</v>
      </c>
      <c r="K289" s="2">
        <f t="shared" si="3"/>
        <v>2.2987270590075781E-2</v>
      </c>
      <c r="L289" s="2" t="str">
        <f>IF(ISNUMBER(SEARCH("|",IMDB_Movies!$D289)),LEFT(IMDB_Movies!$D289,SEARCH("|",IMDB_Movies!$D289)-1),IMDB_Movies!$D289)</f>
        <v>Action</v>
      </c>
      <c r="V289" s="2"/>
      <c r="W289" s="2"/>
    </row>
    <row r="290" spans="1:23" ht="12.5" x14ac:dyDescent="0.25">
      <c r="A290" s="2" t="s">
        <v>640</v>
      </c>
      <c r="B290" s="2">
        <v>104</v>
      </c>
      <c r="C290" s="2">
        <v>75030163</v>
      </c>
      <c r="D290" s="2" t="s">
        <v>62</v>
      </c>
      <c r="E290" s="2" t="s">
        <v>641</v>
      </c>
      <c r="F290" s="2" t="s">
        <v>14</v>
      </c>
      <c r="G290" s="2" t="s">
        <v>15</v>
      </c>
      <c r="H290" s="2">
        <v>100000000</v>
      </c>
      <c r="I290" s="2">
        <v>5.0999999999999996</v>
      </c>
      <c r="J290" s="2">
        <f t="shared" si="2"/>
        <v>-24969837</v>
      </c>
      <c r="K290" s="2">
        <f t="shared" si="3"/>
        <v>2.2803365734274571E-2</v>
      </c>
      <c r="L290" s="2" t="str">
        <f>IF(ISNUMBER(SEARCH("|",IMDB_Movies!$D290)),LEFT(IMDB_Movies!$D290,SEARCH("|",IMDB_Movies!$D290)-1),IMDB_Movies!$D290)</f>
        <v>Action</v>
      </c>
      <c r="V290" s="2"/>
      <c r="W290" s="2"/>
    </row>
    <row r="291" spans="1:23" ht="12.5" x14ac:dyDescent="0.25">
      <c r="A291" s="2" t="s">
        <v>642</v>
      </c>
      <c r="B291" s="2">
        <v>101</v>
      </c>
      <c r="C291" s="2">
        <v>77222184</v>
      </c>
      <c r="D291" s="2" t="s">
        <v>214</v>
      </c>
      <c r="E291" s="2" t="s">
        <v>643</v>
      </c>
      <c r="F291" s="2" t="s">
        <v>14</v>
      </c>
      <c r="G291" s="2" t="s">
        <v>287</v>
      </c>
      <c r="H291" s="2">
        <v>100000000</v>
      </c>
      <c r="I291" s="2">
        <v>6.8</v>
      </c>
      <c r="J291" s="2">
        <f t="shared" si="2"/>
        <v>-22777816</v>
      </c>
      <c r="K291" s="2">
        <f t="shared" si="3"/>
        <v>2.2750521871752936E-2</v>
      </c>
      <c r="L291" s="2" t="str">
        <f>IF(ISNUMBER(SEARCH("|",IMDB_Movies!$D291)),LEFT(IMDB_Movies!$D291,SEARCH("|",IMDB_Movies!$D291)-1),IMDB_Movies!$D291)</f>
        <v>Adventure</v>
      </c>
      <c r="V291" s="2"/>
      <c r="W291" s="2"/>
    </row>
    <row r="292" spans="1:23" ht="12.5" x14ac:dyDescent="0.25">
      <c r="A292" s="2" t="s">
        <v>644</v>
      </c>
      <c r="B292" s="2">
        <v>102</v>
      </c>
      <c r="C292" s="2">
        <v>107515297</v>
      </c>
      <c r="D292" s="2" t="s">
        <v>240</v>
      </c>
      <c r="E292" s="2" t="s">
        <v>645</v>
      </c>
      <c r="F292" s="2" t="s">
        <v>14</v>
      </c>
      <c r="G292" s="2" t="s">
        <v>15</v>
      </c>
      <c r="H292" s="2">
        <v>100000000</v>
      </c>
      <c r="I292" s="2">
        <v>6.7</v>
      </c>
      <c r="J292" s="2">
        <f t="shared" si="2"/>
        <v>7515297</v>
      </c>
      <c r="K292" s="2">
        <f t="shared" si="3"/>
        <v>2.2694433206166528E-2</v>
      </c>
      <c r="L292" s="2" t="str">
        <f>IF(ISNUMBER(SEARCH("|",IMDB_Movies!$D292)),LEFT(IMDB_Movies!$D292,SEARCH("|",IMDB_Movies!$D292)-1),IMDB_Movies!$D292)</f>
        <v>Adventure</v>
      </c>
      <c r="V292" s="2"/>
      <c r="W292" s="2"/>
    </row>
    <row r="293" spans="1:23" ht="12.5" x14ac:dyDescent="0.25">
      <c r="A293" s="2" t="s">
        <v>646</v>
      </c>
      <c r="B293" s="2">
        <v>103</v>
      </c>
      <c r="C293" s="2">
        <v>67631157</v>
      </c>
      <c r="D293" s="2" t="s">
        <v>647</v>
      </c>
      <c r="E293" s="2" t="s">
        <v>648</v>
      </c>
      <c r="F293" s="2" t="s">
        <v>14</v>
      </c>
      <c r="G293" s="2" t="s">
        <v>15</v>
      </c>
      <c r="H293" s="2">
        <v>100000000</v>
      </c>
      <c r="I293" s="2">
        <v>6</v>
      </c>
      <c r="J293" s="2">
        <f t="shared" si="2"/>
        <v>-32368843</v>
      </c>
      <c r="K293" s="2">
        <f t="shared" si="3"/>
        <v>2.2595197528575774E-2</v>
      </c>
      <c r="L293" s="2" t="str">
        <f>IF(ISNUMBER(SEARCH("|",IMDB_Movies!$D293)),LEFT(IMDB_Movies!$D293,SEARCH("|",IMDB_Movies!$D293)-1),IMDB_Movies!$D293)</f>
        <v>Action</v>
      </c>
      <c r="V293" s="2"/>
      <c r="W293" s="2"/>
    </row>
    <row r="294" spans="1:23" ht="12.5" x14ac:dyDescent="0.25">
      <c r="A294" s="2" t="s">
        <v>649</v>
      </c>
      <c r="B294" s="2">
        <v>121</v>
      </c>
      <c r="C294" s="2">
        <v>66862068</v>
      </c>
      <c r="D294" s="2" t="s">
        <v>650</v>
      </c>
      <c r="E294" s="2" t="s">
        <v>651</v>
      </c>
      <c r="F294" s="2" t="s">
        <v>14</v>
      </c>
      <c r="G294" s="2" t="s">
        <v>15</v>
      </c>
      <c r="H294" s="2">
        <v>83000000</v>
      </c>
      <c r="I294" s="2">
        <v>5.7</v>
      </c>
      <c r="J294" s="2">
        <f t="shared" si="2"/>
        <v>-16137932</v>
      </c>
      <c r="K294" s="2">
        <f t="shared" si="3"/>
        <v>2.2553134365934015E-2</v>
      </c>
      <c r="L294" s="2" t="str">
        <f>IF(ISNUMBER(SEARCH("|",IMDB_Movies!$D294)),LEFT(IMDB_Movies!$D294,SEARCH("|",IMDB_Movies!$D294)-1),IMDB_Movies!$D294)</f>
        <v>Action</v>
      </c>
      <c r="V294" s="2"/>
      <c r="W294" s="2"/>
    </row>
    <row r="295" spans="1:23" ht="12.5" x14ac:dyDescent="0.25">
      <c r="A295" s="2" t="s">
        <v>377</v>
      </c>
      <c r="B295" s="2">
        <v>143</v>
      </c>
      <c r="C295" s="2">
        <v>57366262</v>
      </c>
      <c r="D295" s="2" t="s">
        <v>652</v>
      </c>
      <c r="E295" s="2" t="s">
        <v>653</v>
      </c>
      <c r="F295" s="2" t="s">
        <v>14</v>
      </c>
      <c r="G295" s="2" t="s">
        <v>287</v>
      </c>
      <c r="H295" s="2">
        <v>100000000</v>
      </c>
      <c r="I295" s="2">
        <v>8</v>
      </c>
      <c r="J295" s="2">
        <f t="shared" si="2"/>
        <v>-42633738</v>
      </c>
      <c r="K295" s="2">
        <f t="shared" si="3"/>
        <v>2.2523252700745462E-2</v>
      </c>
      <c r="L295" s="2" t="str">
        <f>IF(ISNUMBER(SEARCH("|",IMDB_Movies!$D295)),LEFT(IMDB_Movies!$D295,SEARCH("|",IMDB_Movies!$D295)-1),IMDB_Movies!$D295)</f>
        <v>Adventure</v>
      </c>
      <c r="V295" s="2"/>
      <c r="W295" s="2"/>
    </row>
    <row r="296" spans="1:23" ht="12.5" x14ac:dyDescent="0.25">
      <c r="A296" s="2" t="s">
        <v>191</v>
      </c>
      <c r="B296" s="2">
        <v>240</v>
      </c>
      <c r="C296" s="2">
        <v>116866727</v>
      </c>
      <c r="D296" s="2" t="s">
        <v>654</v>
      </c>
      <c r="E296" s="2" t="s">
        <v>655</v>
      </c>
      <c r="F296" s="2" t="s">
        <v>14</v>
      </c>
      <c r="G296" s="2" t="s">
        <v>15</v>
      </c>
      <c r="H296" s="2">
        <v>100000000</v>
      </c>
      <c r="I296" s="2">
        <v>8.1999999999999993</v>
      </c>
      <c r="J296" s="2">
        <f t="shared" si="2"/>
        <v>16866727</v>
      </c>
      <c r="K296" s="2">
        <f t="shared" si="3"/>
        <v>2.2496530514127932E-2</v>
      </c>
      <c r="L296" s="2" t="str">
        <f>IF(ISNUMBER(SEARCH("|",IMDB_Movies!$D296)),LEFT(IMDB_Movies!$D296,SEARCH("|",IMDB_Movies!$D296)-1),IMDB_Movies!$D296)</f>
        <v>Biography</v>
      </c>
      <c r="V296" s="2"/>
      <c r="W296" s="2"/>
    </row>
    <row r="297" spans="1:23" ht="12.5" x14ac:dyDescent="0.25">
      <c r="A297" s="2" t="s">
        <v>482</v>
      </c>
      <c r="B297" s="2">
        <v>121</v>
      </c>
      <c r="C297" s="2">
        <v>184031112</v>
      </c>
      <c r="D297" s="2" t="s">
        <v>17</v>
      </c>
      <c r="E297" s="2" t="s">
        <v>656</v>
      </c>
      <c r="F297" s="2" t="s">
        <v>14</v>
      </c>
      <c r="G297" s="2" t="s">
        <v>15</v>
      </c>
      <c r="H297" s="2">
        <v>100000000</v>
      </c>
      <c r="I297" s="2">
        <v>5.4</v>
      </c>
      <c r="J297" s="2">
        <f t="shared" si="2"/>
        <v>84031112</v>
      </c>
      <c r="K297" s="2">
        <f t="shared" si="3"/>
        <v>2.2384158154353243E-2</v>
      </c>
      <c r="L297" s="2" t="str">
        <f>IF(ISNUMBER(SEARCH("|",IMDB_Movies!$D297)),LEFT(IMDB_Movies!$D297,SEARCH("|",IMDB_Movies!$D297)-1),IMDB_Movies!$D297)</f>
        <v>Action</v>
      </c>
      <c r="V297" s="2"/>
      <c r="W297" s="2"/>
    </row>
    <row r="298" spans="1:23" ht="12.5" x14ac:dyDescent="0.25">
      <c r="A298" s="2" t="s">
        <v>475</v>
      </c>
      <c r="B298" s="2">
        <v>129</v>
      </c>
      <c r="C298" s="2">
        <v>54700065</v>
      </c>
      <c r="D298" s="2" t="s">
        <v>657</v>
      </c>
      <c r="E298" s="2" t="s">
        <v>658</v>
      </c>
      <c r="F298" s="2" t="s">
        <v>14</v>
      </c>
      <c r="G298" s="2" t="s">
        <v>15</v>
      </c>
      <c r="H298" s="2">
        <v>105000000</v>
      </c>
      <c r="I298" s="2">
        <v>7.2</v>
      </c>
      <c r="J298" s="2">
        <f t="shared" si="2"/>
        <v>-50299935</v>
      </c>
      <c r="K298" s="2">
        <f t="shared" si="3"/>
        <v>2.2185318601621155E-2</v>
      </c>
      <c r="L298" s="2" t="str">
        <f>IF(ISNUMBER(SEARCH("|",IMDB_Movies!$D298)),LEFT(IMDB_Movies!$D298,SEARCH("|",IMDB_Movies!$D298)-1),IMDB_Movies!$D298)</f>
        <v>Action</v>
      </c>
      <c r="V298" s="2"/>
      <c r="W298" s="2"/>
    </row>
    <row r="299" spans="1:23" ht="12.5" x14ac:dyDescent="0.25">
      <c r="A299" s="2" t="s">
        <v>659</v>
      </c>
      <c r="B299" s="2">
        <v>172</v>
      </c>
      <c r="C299" s="2">
        <v>27098580</v>
      </c>
      <c r="D299" s="2" t="s">
        <v>660</v>
      </c>
      <c r="E299" s="2" t="s">
        <v>661</v>
      </c>
      <c r="F299" s="2" t="s">
        <v>14</v>
      </c>
      <c r="G299" s="2" t="s">
        <v>287</v>
      </c>
      <c r="H299" s="2">
        <v>102000000</v>
      </c>
      <c r="I299" s="2">
        <v>7.5</v>
      </c>
      <c r="J299" s="2">
        <f t="shared" si="2"/>
        <v>-74901420</v>
      </c>
      <c r="K299" s="2">
        <f t="shared" si="3"/>
        <v>2.2160687823297422E-2</v>
      </c>
      <c r="L299" s="2" t="str">
        <f>IF(ISNUMBER(SEARCH("|",IMDB_Movies!$D299)),LEFT(IMDB_Movies!$D299,SEARCH("|",IMDB_Movies!$D299)-1),IMDB_Movies!$D299)</f>
        <v>Drama</v>
      </c>
      <c r="V299" s="2"/>
      <c r="W299" s="2"/>
    </row>
    <row r="300" spans="1:23" ht="12.5" x14ac:dyDescent="0.25">
      <c r="A300" s="2" t="s">
        <v>50</v>
      </c>
      <c r="B300" s="2">
        <v>101</v>
      </c>
      <c r="C300" s="2">
        <v>55673333</v>
      </c>
      <c r="D300" s="2" t="s">
        <v>662</v>
      </c>
      <c r="E300" s="2" t="s">
        <v>663</v>
      </c>
      <c r="F300" s="2" t="s">
        <v>14</v>
      </c>
      <c r="G300" s="2" t="s">
        <v>15</v>
      </c>
      <c r="H300" s="2">
        <v>80000000</v>
      </c>
      <c r="I300" s="2">
        <v>7</v>
      </c>
      <c r="J300" s="2">
        <f t="shared" si="2"/>
        <v>-24326667</v>
      </c>
      <c r="K300" s="2">
        <f t="shared" si="3"/>
        <v>2.2181447407849029E-2</v>
      </c>
      <c r="L300" s="2" t="str">
        <f>IF(ISNUMBER(SEARCH("|",IMDB_Movies!$D300)),LEFT(IMDB_Movies!$D300,SEARCH("|",IMDB_Movies!$D300)-1),IMDB_Movies!$D300)</f>
        <v>Action</v>
      </c>
      <c r="V300" s="2"/>
      <c r="W300" s="2"/>
    </row>
    <row r="301" spans="1:23" ht="12.5" x14ac:dyDescent="0.25">
      <c r="A301" s="2" t="s">
        <v>664</v>
      </c>
      <c r="B301" s="2">
        <v>87</v>
      </c>
      <c r="C301" s="2">
        <v>40198710</v>
      </c>
      <c r="D301" s="2" t="s">
        <v>665</v>
      </c>
      <c r="E301" s="2" t="s">
        <v>666</v>
      </c>
      <c r="F301" s="2" t="s">
        <v>14</v>
      </c>
      <c r="G301" s="2" t="s">
        <v>15</v>
      </c>
      <c r="H301" s="2">
        <v>100000000</v>
      </c>
      <c r="I301" s="2">
        <v>3.3</v>
      </c>
      <c r="J301" s="2">
        <f t="shared" si="2"/>
        <v>-59801290</v>
      </c>
      <c r="K301" s="2">
        <f t="shared" si="3"/>
        <v>2.2164738754485158E-2</v>
      </c>
      <c r="L301" s="2" t="str">
        <f>IF(ISNUMBER(SEARCH("|",IMDB_Movies!$D301)),LEFT(IMDB_Movies!$D301,SEARCH("|",IMDB_Movies!$D301)-1),IMDB_Movies!$D301)</f>
        <v>Action</v>
      </c>
      <c r="V301" s="2"/>
      <c r="W301" s="2"/>
    </row>
    <row r="302" spans="1:23" ht="12.5" x14ac:dyDescent="0.25">
      <c r="A302" s="2" t="s">
        <v>101</v>
      </c>
      <c r="B302" s="2">
        <v>101</v>
      </c>
      <c r="C302" s="2">
        <v>72660029</v>
      </c>
      <c r="D302" s="2" t="s">
        <v>55</v>
      </c>
      <c r="E302" s="2" t="s">
        <v>667</v>
      </c>
      <c r="F302" s="2" t="s">
        <v>14</v>
      </c>
      <c r="G302" s="2" t="s">
        <v>15</v>
      </c>
      <c r="H302" s="2">
        <v>100000000</v>
      </c>
      <c r="I302" s="2">
        <v>6</v>
      </c>
      <c r="J302" s="2">
        <f t="shared" si="2"/>
        <v>-27339971</v>
      </c>
      <c r="K302" s="2">
        <f t="shared" si="3"/>
        <v>2.2164228151213546E-2</v>
      </c>
      <c r="L302" s="2" t="str">
        <f>IF(ISNUMBER(SEARCH("|",IMDB_Movies!$D302)),LEFT(IMDB_Movies!$D302,SEARCH("|",IMDB_Movies!$D302)-1),IMDB_Movies!$D302)</f>
        <v>Action</v>
      </c>
      <c r="V302" s="2"/>
      <c r="W302" s="2"/>
    </row>
    <row r="303" spans="1:23" ht="12.5" x14ac:dyDescent="0.25">
      <c r="A303" s="2" t="s">
        <v>593</v>
      </c>
      <c r="B303" s="2">
        <v>95</v>
      </c>
      <c r="C303" s="2">
        <v>38120554</v>
      </c>
      <c r="D303" s="2" t="s">
        <v>148</v>
      </c>
      <c r="E303" s="2" t="s">
        <v>668</v>
      </c>
      <c r="F303" s="2" t="s">
        <v>14</v>
      </c>
      <c r="G303" s="2" t="s">
        <v>15</v>
      </c>
      <c r="H303" s="2">
        <v>140000000</v>
      </c>
      <c r="I303" s="2">
        <v>7.1</v>
      </c>
      <c r="J303" s="2">
        <f t="shared" si="2"/>
        <v>-101879446</v>
      </c>
      <c r="K303" s="2">
        <f t="shared" si="3"/>
        <v>2.2114354221991043E-2</v>
      </c>
      <c r="L303" s="2" t="str">
        <f>IF(ISNUMBER(SEARCH("|",IMDB_Movies!$D303)),LEFT(IMDB_Movies!$D303,SEARCH("|",IMDB_Movies!$D303)-1),IMDB_Movies!$D303)</f>
        <v>Adventure</v>
      </c>
      <c r="V303" s="2"/>
      <c r="W303" s="2"/>
    </row>
    <row r="304" spans="1:23" ht="12.5" x14ac:dyDescent="0.25">
      <c r="A304" s="2" t="s">
        <v>669</v>
      </c>
      <c r="B304" s="2">
        <v>102</v>
      </c>
      <c r="C304" s="2">
        <v>49392095</v>
      </c>
      <c r="D304" s="2" t="s">
        <v>670</v>
      </c>
      <c r="E304" s="2" t="s">
        <v>671</v>
      </c>
      <c r="F304" s="2" t="s">
        <v>14</v>
      </c>
      <c r="G304" s="2" t="s">
        <v>15</v>
      </c>
      <c r="H304" s="2">
        <v>100000000</v>
      </c>
      <c r="I304" s="2">
        <v>5.4</v>
      </c>
      <c r="J304" s="2">
        <f t="shared" si="2"/>
        <v>-50607905</v>
      </c>
      <c r="K304" s="2">
        <f t="shared" si="3"/>
        <v>2.2119017923138171E-2</v>
      </c>
      <c r="L304" s="2" t="str">
        <f>IF(ISNUMBER(SEARCH("|",IMDB_Movies!$D304)),LEFT(IMDB_Movies!$D304,SEARCH("|",IMDB_Movies!$D304)-1),IMDB_Movies!$D304)</f>
        <v>Adventure</v>
      </c>
      <c r="V304" s="2"/>
      <c r="W304" s="2"/>
    </row>
    <row r="305" spans="1:23" ht="12.5" x14ac:dyDescent="0.25">
      <c r="A305" s="2" t="s">
        <v>672</v>
      </c>
      <c r="B305" s="2">
        <v>131</v>
      </c>
      <c r="C305" s="2">
        <v>39292022</v>
      </c>
      <c r="D305" s="2" t="s">
        <v>20</v>
      </c>
      <c r="E305" s="2" t="s">
        <v>673</v>
      </c>
      <c r="F305" s="2" t="s">
        <v>14</v>
      </c>
      <c r="G305" s="2" t="s">
        <v>15</v>
      </c>
      <c r="H305" s="2">
        <v>90000000</v>
      </c>
      <c r="I305" s="2">
        <v>6.1</v>
      </c>
      <c r="J305" s="2">
        <f t="shared" si="2"/>
        <v>-50707978</v>
      </c>
      <c r="K305" s="2">
        <f t="shared" si="3"/>
        <v>2.210423677637776E-2</v>
      </c>
      <c r="L305" s="2" t="str">
        <f>IF(ISNUMBER(SEARCH("|",IMDB_Movies!$D305)),LEFT(IMDB_Movies!$D305,SEARCH("|",IMDB_Movies!$D305)-1),IMDB_Movies!$D305)</f>
        <v>Action</v>
      </c>
      <c r="V305" s="2"/>
      <c r="W305" s="2"/>
    </row>
    <row r="306" spans="1:23" ht="12.5" x14ac:dyDescent="0.25">
      <c r="A306" s="2" t="s">
        <v>674</v>
      </c>
      <c r="B306" s="2">
        <v>114</v>
      </c>
      <c r="C306" s="2">
        <v>28772222</v>
      </c>
      <c r="D306" s="2" t="s">
        <v>675</v>
      </c>
      <c r="E306" s="2" t="s">
        <v>676</v>
      </c>
      <c r="F306" s="2" t="s">
        <v>14</v>
      </c>
      <c r="G306" s="2" t="s">
        <v>15</v>
      </c>
      <c r="H306" s="2">
        <v>105000000</v>
      </c>
      <c r="I306" s="2">
        <v>5.3</v>
      </c>
      <c r="J306" s="2">
        <f t="shared" si="2"/>
        <v>-76227778</v>
      </c>
      <c r="K306" s="2">
        <f t="shared" si="3"/>
        <v>2.2104954079076769E-2</v>
      </c>
      <c r="L306" s="2" t="str">
        <f>IF(ISNUMBER(SEARCH("|",IMDB_Movies!$D306)),LEFT(IMDB_Movies!$D306,SEARCH("|",IMDB_Movies!$D306)-1),IMDB_Movies!$D306)</f>
        <v>Action</v>
      </c>
      <c r="V306" s="2"/>
      <c r="W306" s="2"/>
    </row>
    <row r="307" spans="1:23" ht="12.5" x14ac:dyDescent="0.25">
      <c r="A307" s="2" t="s">
        <v>677</v>
      </c>
      <c r="B307" s="2">
        <v>94</v>
      </c>
      <c r="C307" s="2">
        <v>17010646</v>
      </c>
      <c r="D307" s="2" t="s">
        <v>204</v>
      </c>
      <c r="E307" s="2" t="s">
        <v>678</v>
      </c>
      <c r="F307" s="2" t="s">
        <v>14</v>
      </c>
      <c r="G307" s="2" t="s">
        <v>15</v>
      </c>
      <c r="H307" s="2">
        <v>84000000</v>
      </c>
      <c r="I307" s="2">
        <v>2.2000000000000002</v>
      </c>
      <c r="J307" s="2">
        <f t="shared" si="2"/>
        <v>-66989354</v>
      </c>
      <c r="K307" s="2">
        <f t="shared" si="3"/>
        <v>2.2123811511545809E-2</v>
      </c>
      <c r="L307" s="2" t="str">
        <f>IF(ISNUMBER(SEARCH("|",IMDB_Movies!$D307)),LEFT(IMDB_Movies!$D307,SEARCH("|",IMDB_Movies!$D307)-1),IMDB_Movies!$D307)</f>
        <v>Comedy</v>
      </c>
      <c r="V307" s="2"/>
      <c r="W307" s="2"/>
    </row>
    <row r="308" spans="1:23" ht="12.5" x14ac:dyDescent="0.25">
      <c r="A308" s="2" t="s">
        <v>314</v>
      </c>
      <c r="B308" s="2">
        <v>122</v>
      </c>
      <c r="C308" s="2">
        <v>24985612</v>
      </c>
      <c r="D308" s="2" t="s">
        <v>679</v>
      </c>
      <c r="E308" s="2" t="s">
        <v>680</v>
      </c>
      <c r="F308" s="2" t="s">
        <v>14</v>
      </c>
      <c r="G308" s="2" t="s">
        <v>15</v>
      </c>
      <c r="H308" s="2">
        <v>100000000</v>
      </c>
      <c r="I308" s="2">
        <v>7</v>
      </c>
      <c r="J308" s="2">
        <f t="shared" si="2"/>
        <v>-75014388</v>
      </c>
      <c r="K308" s="2">
        <f t="shared" si="3"/>
        <v>2.2151253789874769E-2</v>
      </c>
      <c r="L308" s="2" t="str">
        <f>IF(ISNUMBER(SEARCH("|",IMDB_Movies!$D308)),LEFT(IMDB_Movies!$D308,SEARCH("|",IMDB_Movies!$D308)-1),IMDB_Movies!$D308)</f>
        <v>Action</v>
      </c>
      <c r="V308" s="2"/>
      <c r="W308" s="2"/>
    </row>
    <row r="309" spans="1:23" ht="12.5" x14ac:dyDescent="0.25">
      <c r="A309" s="2" t="s">
        <v>681</v>
      </c>
      <c r="B309" s="2">
        <v>95</v>
      </c>
      <c r="C309" s="2">
        <v>4411102</v>
      </c>
      <c r="D309" s="2" t="s">
        <v>682</v>
      </c>
      <c r="E309" s="2" t="s">
        <v>683</v>
      </c>
      <c r="F309" s="2" t="s">
        <v>14</v>
      </c>
      <c r="G309" s="2" t="s">
        <v>15</v>
      </c>
      <c r="H309" s="2">
        <v>100000000</v>
      </c>
      <c r="I309" s="2">
        <v>3.8</v>
      </c>
      <c r="J309" s="2">
        <f t="shared" si="2"/>
        <v>-95588898</v>
      </c>
      <c r="K309" s="2">
        <f t="shared" si="3"/>
        <v>2.2174813563195266E-2</v>
      </c>
      <c r="L309" s="2" t="str">
        <f>IF(ISNUMBER(SEARCH("|",IMDB_Movies!$D309)),LEFT(IMDB_Movies!$D309,SEARCH("|",IMDB_Movies!$D309)-1),IMDB_Movies!$D309)</f>
        <v>Action</v>
      </c>
      <c r="V309" s="2"/>
      <c r="W309" s="2"/>
    </row>
    <row r="310" spans="1:23" ht="12.5" x14ac:dyDescent="0.25">
      <c r="A310" s="2" t="s">
        <v>424</v>
      </c>
      <c r="B310" s="2">
        <v>115</v>
      </c>
      <c r="C310" s="2">
        <v>35024475</v>
      </c>
      <c r="D310" s="2" t="s">
        <v>684</v>
      </c>
      <c r="E310" s="2" t="s">
        <v>685</v>
      </c>
      <c r="F310" s="2" t="s">
        <v>14</v>
      </c>
      <c r="G310" s="2" t="s">
        <v>686</v>
      </c>
      <c r="H310" s="2">
        <v>100000000</v>
      </c>
      <c r="I310" s="2">
        <v>6.9</v>
      </c>
      <c r="J310" s="2">
        <f t="shared" si="2"/>
        <v>-64975525</v>
      </c>
      <c r="K310" s="2">
        <f t="shared" si="3"/>
        <v>2.2231869483973789E-2</v>
      </c>
      <c r="L310" s="2" t="str">
        <f>IF(ISNUMBER(SEARCH("|",IMDB_Movies!$D310)),LEFT(IMDB_Movies!$D310,SEARCH("|",IMDB_Movies!$D310)-1),IMDB_Movies!$D310)</f>
        <v>Action</v>
      </c>
      <c r="V310" s="2"/>
      <c r="W310" s="2"/>
    </row>
    <row r="311" spans="1:23" ht="12.5" x14ac:dyDescent="0.25">
      <c r="A311" s="2" t="s">
        <v>687</v>
      </c>
      <c r="B311" s="2">
        <v>88</v>
      </c>
      <c r="C311" s="2">
        <v>130174897</v>
      </c>
      <c r="D311" s="2" t="s">
        <v>181</v>
      </c>
      <c r="E311" s="2" t="s">
        <v>688</v>
      </c>
      <c r="F311" s="2" t="s">
        <v>14</v>
      </c>
      <c r="G311" s="2" t="s">
        <v>15</v>
      </c>
      <c r="H311" s="2">
        <v>99000000</v>
      </c>
      <c r="I311" s="2">
        <v>7.2</v>
      </c>
      <c r="J311" s="2">
        <f t="shared" si="2"/>
        <v>31174897</v>
      </c>
      <c r="K311" s="2">
        <f t="shared" si="3"/>
        <v>2.2239507724882843E-2</v>
      </c>
      <c r="L311" s="2" t="str">
        <f>IF(ISNUMBER(SEARCH("|",IMDB_Movies!$D311)),LEFT(IMDB_Movies!$D311,SEARCH("|",IMDB_Movies!$D311)-1),IMDB_Movies!$D311)</f>
        <v>Adventure</v>
      </c>
      <c r="V311" s="2"/>
      <c r="W311" s="2"/>
    </row>
    <row r="312" spans="1:23" ht="12.5" x14ac:dyDescent="0.25">
      <c r="A312" s="2" t="s">
        <v>689</v>
      </c>
      <c r="B312" s="2">
        <v>110</v>
      </c>
      <c r="C312" s="2">
        <v>10200000</v>
      </c>
      <c r="D312" s="2" t="s">
        <v>690</v>
      </c>
      <c r="E312" s="2" t="s">
        <v>691</v>
      </c>
      <c r="F312" s="2" t="s">
        <v>14</v>
      </c>
      <c r="G312" s="2" t="s">
        <v>15</v>
      </c>
      <c r="H312" s="2">
        <v>10000000</v>
      </c>
      <c r="I312" s="2">
        <v>7.3</v>
      </c>
      <c r="J312" s="2">
        <f t="shared" si="2"/>
        <v>200000</v>
      </c>
      <c r="K312" s="2">
        <f t="shared" si="3"/>
        <v>2.2110339512163176E-2</v>
      </c>
      <c r="L312" s="2" t="str">
        <f>IF(ISNUMBER(SEARCH("|",IMDB_Movies!$D312)),LEFT(IMDB_Movies!$D312,SEARCH("|",IMDB_Movies!$D312)-1),IMDB_Movies!$D312)</f>
        <v>Drama</v>
      </c>
      <c r="V312" s="2"/>
      <c r="W312" s="2"/>
    </row>
    <row r="313" spans="1:23" ht="12.5" x14ac:dyDescent="0.25">
      <c r="A313" s="2" t="s">
        <v>210</v>
      </c>
      <c r="B313" s="2">
        <v>130</v>
      </c>
      <c r="C313" s="2">
        <v>202007640</v>
      </c>
      <c r="D313" s="2" t="s">
        <v>692</v>
      </c>
      <c r="E313" s="2" t="s">
        <v>693</v>
      </c>
      <c r="F313" s="2" t="s">
        <v>14</v>
      </c>
      <c r="G313" s="2" t="s">
        <v>15</v>
      </c>
      <c r="H313" s="2">
        <v>98000000</v>
      </c>
      <c r="I313" s="2">
        <v>6.3</v>
      </c>
      <c r="J313" s="2">
        <f t="shared" si="2"/>
        <v>104007640</v>
      </c>
      <c r="K313" s="2">
        <f t="shared" si="3"/>
        <v>2.2093028052097969E-2</v>
      </c>
      <c r="L313" s="2" t="str">
        <f>IF(ISNUMBER(SEARCH("|",IMDB_Movies!$D313)),LEFT(IMDB_Movies!$D313,SEARCH("|",IMDB_Movies!$D313)-1),IMDB_Movies!$D313)</f>
        <v>Action</v>
      </c>
      <c r="V313" s="2"/>
      <c r="W313" s="2"/>
    </row>
    <row r="314" spans="1:23" ht="12.5" x14ac:dyDescent="0.25">
      <c r="A314" s="2" t="s">
        <v>191</v>
      </c>
      <c r="B314" s="2">
        <v>216</v>
      </c>
      <c r="C314" s="2">
        <v>77679638</v>
      </c>
      <c r="D314" s="2" t="s">
        <v>694</v>
      </c>
      <c r="E314" s="2" t="s">
        <v>695</v>
      </c>
      <c r="F314" s="2" t="s">
        <v>14</v>
      </c>
      <c r="G314" s="2" t="s">
        <v>15</v>
      </c>
      <c r="H314" s="2">
        <v>100000000</v>
      </c>
      <c r="I314" s="2">
        <v>7.5</v>
      </c>
      <c r="J314" s="2">
        <f t="shared" si="2"/>
        <v>-22320362</v>
      </c>
      <c r="K314" s="2">
        <f t="shared" si="3"/>
        <v>2.1878894518567612E-2</v>
      </c>
      <c r="L314" s="2" t="str">
        <f>IF(ISNUMBER(SEARCH("|",IMDB_Movies!$D314)),LEFT(IMDB_Movies!$D314,SEARCH("|",IMDB_Movies!$D314)-1),IMDB_Movies!$D314)</f>
        <v>Crime</v>
      </c>
      <c r="V314" s="2"/>
      <c r="W314" s="2"/>
    </row>
    <row r="315" spans="1:23" ht="12.5" x14ac:dyDescent="0.25">
      <c r="A315" s="2" t="s">
        <v>696</v>
      </c>
      <c r="B315" s="2">
        <v>146</v>
      </c>
      <c r="C315" s="2">
        <v>9213</v>
      </c>
      <c r="D315" s="2" t="s">
        <v>697</v>
      </c>
      <c r="E315" s="2" t="s">
        <v>698</v>
      </c>
      <c r="F315" s="2" t="s">
        <v>699</v>
      </c>
      <c r="G315" s="2" t="s">
        <v>331</v>
      </c>
      <c r="H315" s="2">
        <v>94000000</v>
      </c>
      <c r="I315" s="2">
        <v>7.6</v>
      </c>
      <c r="J315" s="2">
        <f t="shared" si="2"/>
        <v>-93990787</v>
      </c>
      <c r="K315" s="2">
        <f t="shared" si="3"/>
        <v>2.1821205191148788E-2</v>
      </c>
      <c r="L315" s="2" t="str">
        <f>IF(ISNUMBER(SEARCH("|",IMDB_Movies!$D315)),LEFT(IMDB_Movies!$D315,SEARCH("|",IMDB_Movies!$D315)-1),IMDB_Movies!$D315)</f>
        <v>Drama</v>
      </c>
      <c r="V315" s="2"/>
      <c r="W315" s="2"/>
    </row>
    <row r="316" spans="1:23" ht="12.5" x14ac:dyDescent="0.25">
      <c r="A316" s="2" t="s">
        <v>700</v>
      </c>
      <c r="B316" s="2">
        <v>85</v>
      </c>
      <c r="C316" s="2">
        <v>58867694</v>
      </c>
      <c r="D316" s="2" t="s">
        <v>701</v>
      </c>
      <c r="E316" s="2" t="s">
        <v>702</v>
      </c>
      <c r="F316" s="2" t="s">
        <v>14</v>
      </c>
      <c r="G316" s="2" t="s">
        <v>15</v>
      </c>
      <c r="H316" s="2">
        <v>100000000</v>
      </c>
      <c r="I316" s="2">
        <v>6.8</v>
      </c>
      <c r="J316" s="2">
        <f t="shared" si="2"/>
        <v>-41132306</v>
      </c>
      <c r="K316" s="2">
        <f t="shared" si="3"/>
        <v>2.1879799841489928E-2</v>
      </c>
      <c r="L316" s="2" t="str">
        <f>IF(ISNUMBER(SEARCH("|",IMDB_Movies!$D316)),LEFT(IMDB_Movies!$D316,SEARCH("|",IMDB_Movies!$D316)-1),IMDB_Movies!$D316)</f>
        <v>Animation</v>
      </c>
      <c r="V316" s="2"/>
      <c r="W316" s="2"/>
    </row>
    <row r="317" spans="1:23" ht="12.5" x14ac:dyDescent="0.25">
      <c r="A317" s="2" t="s">
        <v>703</v>
      </c>
      <c r="B317" s="2">
        <v>93</v>
      </c>
      <c r="C317" s="2">
        <v>59475623</v>
      </c>
      <c r="D317" s="2" t="s">
        <v>704</v>
      </c>
      <c r="E317" s="2" t="s">
        <v>705</v>
      </c>
      <c r="F317" s="2" t="s">
        <v>14</v>
      </c>
      <c r="G317" s="2" t="s">
        <v>15</v>
      </c>
      <c r="H317" s="2">
        <v>90000000</v>
      </c>
      <c r="I317" s="2">
        <v>5.2</v>
      </c>
      <c r="J317" s="2">
        <f t="shared" si="2"/>
        <v>-30524377</v>
      </c>
      <c r="K317" s="2">
        <f t="shared" si="3"/>
        <v>2.1850317377211291E-2</v>
      </c>
      <c r="L317" s="2" t="str">
        <f>IF(ISNUMBER(SEARCH("|",IMDB_Movies!$D317)),LEFT(IMDB_Movies!$D317,SEARCH("|",IMDB_Movies!$D317)-1),IMDB_Movies!$D317)</f>
        <v>Comedy</v>
      </c>
      <c r="V317" s="2"/>
      <c r="W317" s="2"/>
    </row>
    <row r="318" spans="1:23" ht="12.5" x14ac:dyDescent="0.25">
      <c r="A318" s="2" t="s">
        <v>76</v>
      </c>
      <c r="B318" s="2">
        <v>152</v>
      </c>
      <c r="C318" s="2">
        <v>108638745</v>
      </c>
      <c r="D318" s="2" t="s">
        <v>706</v>
      </c>
      <c r="E318" s="2" t="s">
        <v>707</v>
      </c>
      <c r="F318" s="2" t="s">
        <v>14</v>
      </c>
      <c r="G318" s="2" t="s">
        <v>15</v>
      </c>
      <c r="H318" s="2">
        <v>92000000</v>
      </c>
      <c r="I318" s="2">
        <v>7.7</v>
      </c>
      <c r="J318" s="2">
        <f t="shared" si="2"/>
        <v>16638745</v>
      </c>
      <c r="K318" s="2">
        <f t="shared" si="3"/>
        <v>2.1824654998742504E-2</v>
      </c>
      <c r="L318" s="2" t="str">
        <f>IF(ISNUMBER(SEARCH("|",IMDB_Movies!$D318)),LEFT(IMDB_Movies!$D318,SEARCH("|",IMDB_Movies!$D318)-1),IMDB_Movies!$D318)</f>
        <v>Drama</v>
      </c>
      <c r="V318" s="2"/>
      <c r="W318" s="2"/>
    </row>
    <row r="319" spans="1:23" ht="12.5" x14ac:dyDescent="0.25">
      <c r="A319" s="2" t="s">
        <v>708</v>
      </c>
      <c r="B319" s="2">
        <v>85</v>
      </c>
      <c r="C319" s="2">
        <v>86897182</v>
      </c>
      <c r="D319" s="2" t="s">
        <v>709</v>
      </c>
      <c r="E319" s="2" t="s">
        <v>710</v>
      </c>
      <c r="F319" s="2" t="s">
        <v>14</v>
      </c>
      <c r="G319" s="2" t="s">
        <v>15</v>
      </c>
      <c r="H319" s="2">
        <v>95000000</v>
      </c>
      <c r="I319" s="2">
        <v>6.2</v>
      </c>
      <c r="J319" s="2">
        <f t="shared" si="2"/>
        <v>-8102818</v>
      </c>
      <c r="K319" s="2">
        <f t="shared" si="3"/>
        <v>2.1735620425301062E-2</v>
      </c>
      <c r="L319" s="2" t="str">
        <f>IF(ISNUMBER(SEARCH("|",IMDB_Movies!$D319)),LEFT(IMDB_Movies!$D319,SEARCH("|",IMDB_Movies!$D319)-1),IMDB_Movies!$D319)</f>
        <v>Comedy</v>
      </c>
      <c r="V319" s="2"/>
      <c r="W319" s="2"/>
    </row>
    <row r="320" spans="1:23" ht="12.5" x14ac:dyDescent="0.25">
      <c r="A320" s="2" t="s">
        <v>711</v>
      </c>
      <c r="B320" s="2">
        <v>126</v>
      </c>
      <c r="C320" s="2">
        <v>63540020</v>
      </c>
      <c r="D320" s="2" t="s">
        <v>28</v>
      </c>
      <c r="E320" s="2" t="s">
        <v>712</v>
      </c>
      <c r="F320" s="2" t="s">
        <v>14</v>
      </c>
      <c r="G320" s="2" t="s">
        <v>686</v>
      </c>
      <c r="H320" s="2">
        <v>93000000</v>
      </c>
      <c r="I320" s="2">
        <v>7.7</v>
      </c>
      <c r="J320" s="2">
        <f t="shared" si="2"/>
        <v>-29459980</v>
      </c>
      <c r="K320" s="2">
        <f t="shared" si="3"/>
        <v>2.1669947042745875E-2</v>
      </c>
      <c r="L320" s="2" t="str">
        <f>IF(ISNUMBER(SEARCH("|",IMDB_Movies!$D320)),LEFT(IMDB_Movies!$D320,SEARCH("|",IMDB_Movies!$D320)-1),IMDB_Movies!$D320)</f>
        <v>Action</v>
      </c>
      <c r="V320" s="2"/>
      <c r="W320" s="2"/>
    </row>
    <row r="321" spans="1:23" ht="12.5" x14ac:dyDescent="0.25">
      <c r="A321" s="2" t="s">
        <v>713</v>
      </c>
      <c r="B321" s="2">
        <v>146</v>
      </c>
      <c r="C321" s="2">
        <v>95328937</v>
      </c>
      <c r="D321" s="2" t="s">
        <v>514</v>
      </c>
      <c r="E321" s="2" t="s">
        <v>714</v>
      </c>
      <c r="F321" s="2" t="s">
        <v>14</v>
      </c>
      <c r="G321" s="2" t="s">
        <v>15</v>
      </c>
      <c r="H321" s="2">
        <v>100000000</v>
      </c>
      <c r="I321" s="2">
        <v>4.3</v>
      </c>
      <c r="J321" s="2">
        <f t="shared" si="2"/>
        <v>-4671063</v>
      </c>
      <c r="K321" s="2">
        <f t="shared" si="3"/>
        <v>2.1637272923303703E-2</v>
      </c>
      <c r="L321" s="2" t="str">
        <f>IF(ISNUMBER(SEARCH("|",IMDB_Movies!$D321)),LEFT(IMDB_Movies!$D321,SEARCH("|",IMDB_Movies!$D321)-1),IMDB_Movies!$D321)</f>
        <v>Comedy</v>
      </c>
      <c r="V321" s="2"/>
      <c r="W321" s="2"/>
    </row>
    <row r="322" spans="1:23" ht="12.5" x14ac:dyDescent="0.25">
      <c r="A322" s="2" t="s">
        <v>715</v>
      </c>
      <c r="B322" s="2">
        <v>89</v>
      </c>
      <c r="C322" s="2">
        <v>50802661</v>
      </c>
      <c r="D322" s="2" t="s">
        <v>716</v>
      </c>
      <c r="E322" s="2" t="s">
        <v>717</v>
      </c>
      <c r="F322" s="2" t="s">
        <v>14</v>
      </c>
      <c r="G322" s="2" t="s">
        <v>15</v>
      </c>
      <c r="H322" s="2">
        <v>95000000</v>
      </c>
      <c r="I322" s="2">
        <v>6.9</v>
      </c>
      <c r="J322" s="2">
        <f t="shared" si="2"/>
        <v>-44197339</v>
      </c>
      <c r="K322" s="2">
        <f t="shared" si="3"/>
        <v>2.1553544861649537E-2</v>
      </c>
      <c r="L322" s="2" t="str">
        <f>IF(ISNUMBER(SEARCH("|",IMDB_Movies!$D322)),LEFT(IMDB_Movies!$D322,SEARCH("|",IMDB_Movies!$D322)-1),IMDB_Movies!$D322)</f>
        <v>Adventure</v>
      </c>
      <c r="V322" s="2"/>
      <c r="W322" s="2"/>
    </row>
    <row r="323" spans="1:23" ht="12.5" x14ac:dyDescent="0.25">
      <c r="A323" s="2" t="s">
        <v>687</v>
      </c>
      <c r="B323" s="2">
        <v>88</v>
      </c>
      <c r="C323" s="2">
        <v>161317423</v>
      </c>
      <c r="D323" s="2" t="s">
        <v>181</v>
      </c>
      <c r="E323" s="2" t="s">
        <v>718</v>
      </c>
      <c r="F323" s="2" t="s">
        <v>14</v>
      </c>
      <c r="G323" s="2" t="s">
        <v>15</v>
      </c>
      <c r="H323" s="2">
        <v>95000000</v>
      </c>
      <c r="I323" s="2">
        <v>6.6</v>
      </c>
      <c r="J323" s="2">
        <f t="shared" si="2"/>
        <v>66317423</v>
      </c>
      <c r="K323" s="2">
        <f t="shared" si="3"/>
        <v>2.1537619606973039E-2</v>
      </c>
      <c r="L323" s="2" t="str">
        <f>IF(ISNUMBER(SEARCH("|",IMDB_Movies!$D323)),LEFT(IMDB_Movies!$D323,SEARCH("|",IMDB_Movies!$D323)-1),IMDB_Movies!$D323)</f>
        <v>Adventure</v>
      </c>
      <c r="V323" s="2"/>
      <c r="W323" s="2"/>
    </row>
    <row r="324" spans="1:23" ht="12.5" x14ac:dyDescent="0.25">
      <c r="A324" s="2" t="s">
        <v>317</v>
      </c>
      <c r="B324" s="2">
        <v>105</v>
      </c>
      <c r="C324" s="2">
        <v>201148159</v>
      </c>
      <c r="D324" s="2" t="s">
        <v>719</v>
      </c>
      <c r="E324" s="2" t="s">
        <v>720</v>
      </c>
      <c r="F324" s="2" t="s">
        <v>14</v>
      </c>
      <c r="G324" s="2" t="s">
        <v>15</v>
      </c>
      <c r="H324" s="2">
        <v>95000000</v>
      </c>
      <c r="I324" s="2">
        <v>7</v>
      </c>
      <c r="J324" s="2">
        <f t="shared" si="2"/>
        <v>106148159</v>
      </c>
      <c r="K324" s="2">
        <f t="shared" si="3"/>
        <v>2.1378646929197415E-2</v>
      </c>
      <c r="L324" s="2" t="str">
        <f>IF(ISNUMBER(SEARCH("|",IMDB_Movies!$D324)),LEFT(IMDB_Movies!$D324,SEARCH("|",IMDB_Movies!$D324)-1),IMDB_Movies!$D324)</f>
        <v>Drama</v>
      </c>
      <c r="V324" s="2"/>
      <c r="W324" s="2"/>
    </row>
    <row r="325" spans="1:23" ht="12.5" x14ac:dyDescent="0.25">
      <c r="A325" s="2" t="s">
        <v>70</v>
      </c>
      <c r="B325" s="2">
        <v>135</v>
      </c>
      <c r="C325" s="2">
        <v>43982842</v>
      </c>
      <c r="D325" s="2" t="s">
        <v>721</v>
      </c>
      <c r="E325" s="2" t="s">
        <v>722</v>
      </c>
      <c r="F325" s="2" t="s">
        <v>14</v>
      </c>
      <c r="G325" s="2" t="s">
        <v>15</v>
      </c>
      <c r="H325" s="2">
        <v>65000000</v>
      </c>
      <c r="I325" s="2">
        <v>6.7</v>
      </c>
      <c r="J325" s="2">
        <f t="shared" si="2"/>
        <v>-21017158</v>
      </c>
      <c r="K325" s="2">
        <f t="shared" si="3"/>
        <v>2.1174750126531534E-2</v>
      </c>
      <c r="L325" s="2" t="str">
        <f>IF(ISNUMBER(SEARCH("|",IMDB_Movies!$D325)),LEFT(IMDB_Movies!$D325,SEARCH("|",IMDB_Movies!$D325)-1),IMDB_Movies!$D325)</f>
        <v>Drama</v>
      </c>
      <c r="V325" s="2"/>
      <c r="W325" s="2"/>
    </row>
    <row r="326" spans="1:23" ht="12.5" x14ac:dyDescent="0.25">
      <c r="A326" s="2" t="s">
        <v>27</v>
      </c>
      <c r="B326" s="2">
        <v>100</v>
      </c>
      <c r="C326" s="2">
        <v>380838870</v>
      </c>
      <c r="D326" s="2" t="s">
        <v>181</v>
      </c>
      <c r="E326" s="2" t="s">
        <v>723</v>
      </c>
      <c r="F326" s="2" t="s">
        <v>14</v>
      </c>
      <c r="G326" s="2" t="s">
        <v>15</v>
      </c>
      <c r="H326" s="2">
        <v>94000000</v>
      </c>
      <c r="I326" s="2">
        <v>8.1999999999999993</v>
      </c>
      <c r="J326" s="2">
        <f t="shared" si="2"/>
        <v>286838870</v>
      </c>
      <c r="K326" s="2">
        <f t="shared" si="3"/>
        <v>2.1171589444179365E-2</v>
      </c>
      <c r="L326" s="2" t="str">
        <f>IF(ISNUMBER(SEARCH("|",IMDB_Movies!$D326)),LEFT(IMDB_Movies!$D326,SEARCH("|",IMDB_Movies!$D326)-1),IMDB_Movies!$D326)</f>
        <v>Adventure</v>
      </c>
      <c r="V326" s="2"/>
      <c r="W326" s="2"/>
    </row>
    <row r="327" spans="1:23" ht="12.5" x14ac:dyDescent="0.25">
      <c r="A327" s="2" t="s">
        <v>70</v>
      </c>
      <c r="B327" s="2">
        <v>192</v>
      </c>
      <c r="C327" s="2">
        <v>377019252</v>
      </c>
      <c r="D327" s="2" t="s">
        <v>218</v>
      </c>
      <c r="E327" s="2" t="s">
        <v>724</v>
      </c>
      <c r="F327" s="2" t="s">
        <v>14</v>
      </c>
      <c r="G327" s="2" t="s">
        <v>15</v>
      </c>
      <c r="H327" s="2">
        <v>94000000</v>
      </c>
      <c r="I327" s="2">
        <v>8.9</v>
      </c>
      <c r="J327" s="2">
        <f t="shared" si="2"/>
        <v>283019252</v>
      </c>
      <c r="K327" s="2">
        <f t="shared" si="3"/>
        <v>2.0819375223857909E-2</v>
      </c>
      <c r="L327" s="2" t="str">
        <f>IF(ISNUMBER(SEARCH("|",IMDB_Movies!$D327)),LEFT(IMDB_Movies!$D327,SEARCH("|",IMDB_Movies!$D327)-1),IMDB_Movies!$D327)</f>
        <v>Action</v>
      </c>
      <c r="V327" s="2"/>
      <c r="W327" s="2"/>
    </row>
    <row r="328" spans="1:23" ht="12.5" x14ac:dyDescent="0.25">
      <c r="A328" s="2" t="s">
        <v>70</v>
      </c>
      <c r="B328" s="2">
        <v>172</v>
      </c>
      <c r="C328" s="2">
        <v>340478898</v>
      </c>
      <c r="D328" s="2" t="s">
        <v>218</v>
      </c>
      <c r="E328" s="2" t="s">
        <v>725</v>
      </c>
      <c r="F328" s="2" t="s">
        <v>14</v>
      </c>
      <c r="G328" s="2" t="s">
        <v>15</v>
      </c>
      <c r="H328" s="2">
        <v>94000000</v>
      </c>
      <c r="I328" s="2">
        <v>8.6999999999999993</v>
      </c>
      <c r="J328" s="2">
        <f t="shared" si="2"/>
        <v>246478898</v>
      </c>
      <c r="K328" s="2">
        <f t="shared" si="3"/>
        <v>2.046564611255091E-2</v>
      </c>
      <c r="L328" s="2" t="str">
        <f>IF(ISNUMBER(SEARCH("|",IMDB_Movies!$D328)),LEFT(IMDB_Movies!$D328,SEARCH("|",IMDB_Movies!$D328)-1),IMDB_Movies!$D328)</f>
        <v>Action</v>
      </c>
      <c r="V328" s="2"/>
      <c r="W328" s="2"/>
    </row>
    <row r="329" spans="1:23" ht="12.5" x14ac:dyDescent="0.25">
      <c r="A329" s="2" t="s">
        <v>726</v>
      </c>
      <c r="B329" s="2">
        <v>102</v>
      </c>
      <c r="C329" s="2">
        <v>17176900</v>
      </c>
      <c r="D329" s="2" t="s">
        <v>17</v>
      </c>
      <c r="E329" s="2" t="s">
        <v>727</v>
      </c>
      <c r="F329" s="2" t="s">
        <v>14</v>
      </c>
      <c r="G329" s="2" t="s">
        <v>15</v>
      </c>
      <c r="H329" s="2">
        <v>95000000</v>
      </c>
      <c r="I329" s="2">
        <v>5.5</v>
      </c>
      <c r="J329" s="2">
        <f t="shared" si="2"/>
        <v>-77823100</v>
      </c>
      <c r="K329" s="2">
        <f t="shared" si="3"/>
        <v>2.0133883543361583E-2</v>
      </c>
      <c r="L329" s="2" t="str">
        <f>IF(ISNUMBER(SEARCH("|",IMDB_Movies!$D329)),LEFT(IMDB_Movies!$D329,SEARCH("|",IMDB_Movies!$D329)-1),IMDB_Movies!$D329)</f>
        <v>Action</v>
      </c>
      <c r="V329" s="2"/>
      <c r="W329" s="2"/>
    </row>
    <row r="330" spans="1:23" ht="12.5" x14ac:dyDescent="0.25">
      <c r="A330" s="2" t="s">
        <v>636</v>
      </c>
      <c r="B330" s="2">
        <v>100</v>
      </c>
      <c r="C330" s="2">
        <v>131144183</v>
      </c>
      <c r="D330" s="2" t="s">
        <v>692</v>
      </c>
      <c r="E330" s="2" t="s">
        <v>728</v>
      </c>
      <c r="F330" s="2" t="s">
        <v>14</v>
      </c>
      <c r="G330" s="2" t="s">
        <v>15</v>
      </c>
      <c r="H330" s="2">
        <v>115000000</v>
      </c>
      <c r="I330" s="2">
        <v>5.7</v>
      </c>
      <c r="J330" s="2">
        <f t="shared" si="2"/>
        <v>16144183</v>
      </c>
      <c r="K330" s="2">
        <f t="shared" si="3"/>
        <v>2.0167419419349495E-2</v>
      </c>
      <c r="L330" s="2" t="str">
        <f>IF(ISNUMBER(SEARCH("|",IMDB_Movies!$D330)),LEFT(IMDB_Movies!$D330,SEARCH("|",IMDB_Movies!$D330)-1),IMDB_Movies!$D330)</f>
        <v>Action</v>
      </c>
      <c r="V330" s="2"/>
      <c r="W330" s="2"/>
    </row>
    <row r="331" spans="1:23" ht="12.5" x14ac:dyDescent="0.25">
      <c r="A331" s="2" t="s">
        <v>729</v>
      </c>
      <c r="B331" s="2">
        <v>119</v>
      </c>
      <c r="C331" s="2">
        <v>23014504</v>
      </c>
      <c r="D331" s="2" t="s">
        <v>730</v>
      </c>
      <c r="E331" s="2" t="s">
        <v>731</v>
      </c>
      <c r="F331" s="2" t="s">
        <v>14</v>
      </c>
      <c r="G331" s="2" t="s">
        <v>22</v>
      </c>
      <c r="H331" s="2">
        <v>100000000</v>
      </c>
      <c r="I331" s="2">
        <v>6.3</v>
      </c>
      <c r="J331" s="2">
        <f t="shared" si="2"/>
        <v>-76985496</v>
      </c>
      <c r="K331" s="2">
        <f t="shared" si="3"/>
        <v>1.9995153084062672E-2</v>
      </c>
      <c r="L331" s="2" t="str">
        <f>IF(ISNUMBER(SEARCH("|",IMDB_Movies!$D331)),LEFT(IMDB_Movies!$D331,SEARCH("|",IMDB_Movies!$D331)-1),IMDB_Movies!$D331)</f>
        <v>Drama</v>
      </c>
      <c r="V331" s="2"/>
      <c r="W331" s="2"/>
    </row>
    <row r="332" spans="1:23" ht="12.5" x14ac:dyDescent="0.25">
      <c r="A332" s="2" t="s">
        <v>332</v>
      </c>
      <c r="B332" s="2">
        <v>92</v>
      </c>
      <c r="C332" s="2">
        <v>181166115</v>
      </c>
      <c r="D332" s="2" t="s">
        <v>90</v>
      </c>
      <c r="E332" s="2" t="s">
        <v>732</v>
      </c>
      <c r="F332" s="2" t="s">
        <v>14</v>
      </c>
      <c r="G332" s="2" t="s">
        <v>15</v>
      </c>
      <c r="H332" s="2">
        <v>93000000</v>
      </c>
      <c r="I332" s="2">
        <v>5.9</v>
      </c>
      <c r="J332" s="2">
        <f t="shared" si="2"/>
        <v>88166115</v>
      </c>
      <c r="K332" s="2">
        <f t="shared" si="3"/>
        <v>2.0021798505529865E-2</v>
      </c>
      <c r="L332" s="2" t="str">
        <f>IF(ISNUMBER(SEARCH("|",IMDB_Movies!$D332)),LEFT(IMDB_Movies!$D332,SEARCH("|",IMDB_Movies!$D332)-1),IMDB_Movies!$D332)</f>
        <v>Action</v>
      </c>
      <c r="V332" s="2"/>
      <c r="W332" s="2"/>
    </row>
    <row r="333" spans="1:23" ht="12.5" x14ac:dyDescent="0.25">
      <c r="A333" s="2" t="s">
        <v>733</v>
      </c>
      <c r="B333" s="2">
        <v>105</v>
      </c>
      <c r="C333" s="2">
        <v>176740650</v>
      </c>
      <c r="D333" s="2" t="s">
        <v>504</v>
      </c>
      <c r="E333" s="2" t="s">
        <v>734</v>
      </c>
      <c r="F333" s="2" t="s">
        <v>14</v>
      </c>
      <c r="G333" s="2" t="s">
        <v>15</v>
      </c>
      <c r="H333" s="2">
        <v>93000000</v>
      </c>
      <c r="I333" s="2">
        <v>7.6</v>
      </c>
      <c r="J333" s="2">
        <f t="shared" si="2"/>
        <v>83740650</v>
      </c>
      <c r="K333" s="2">
        <f t="shared" si="3"/>
        <v>1.9841118139253242E-2</v>
      </c>
      <c r="L333" s="2" t="str">
        <f>IF(ISNUMBER(SEARCH("|",IMDB_Movies!$D333)),LEFT(IMDB_Movies!$D333,SEARCH("|",IMDB_Movies!$D333)-1),IMDB_Movies!$D333)</f>
        <v>Action</v>
      </c>
      <c r="V333" s="2"/>
      <c r="W333" s="2"/>
    </row>
    <row r="334" spans="1:23" ht="12.5" x14ac:dyDescent="0.25">
      <c r="A334" s="2" t="s">
        <v>735</v>
      </c>
      <c r="B334" s="2">
        <v>107</v>
      </c>
      <c r="C334" s="2">
        <v>71148699</v>
      </c>
      <c r="D334" s="2" t="s">
        <v>81</v>
      </c>
      <c r="E334" s="2" t="s">
        <v>736</v>
      </c>
      <c r="F334" s="2" t="s">
        <v>14</v>
      </c>
      <c r="G334" s="2" t="s">
        <v>15</v>
      </c>
      <c r="H334" s="2">
        <v>90000000</v>
      </c>
      <c r="I334" s="2">
        <v>6.6</v>
      </c>
      <c r="J334" s="2">
        <f t="shared" si="2"/>
        <v>-18851301</v>
      </c>
      <c r="K334" s="2">
        <f t="shared" si="3"/>
        <v>1.9664886202221971E-2</v>
      </c>
      <c r="L334" s="2" t="str">
        <f>IF(ISNUMBER(SEARCH("|",IMDB_Movies!$D334)),LEFT(IMDB_Movies!$D334,SEARCH("|",IMDB_Movies!$D334)-1),IMDB_Movies!$D334)</f>
        <v>Adventure</v>
      </c>
      <c r="V334" s="2"/>
      <c r="W334" s="2"/>
    </row>
    <row r="335" spans="1:23" ht="12.5" x14ac:dyDescent="0.25">
      <c r="A335" s="2" t="s">
        <v>737</v>
      </c>
      <c r="B335" s="2">
        <v>101</v>
      </c>
      <c r="C335" s="2">
        <v>67344392</v>
      </c>
      <c r="D335" s="2" t="s">
        <v>25</v>
      </c>
      <c r="E335" s="2" t="s">
        <v>738</v>
      </c>
      <c r="F335" s="2" t="s">
        <v>14</v>
      </c>
      <c r="G335" s="2" t="s">
        <v>15</v>
      </c>
      <c r="H335" s="2">
        <v>92000000</v>
      </c>
      <c r="I335" s="2">
        <v>5.3</v>
      </c>
      <c r="J335" s="2">
        <f t="shared" si="2"/>
        <v>-24655608</v>
      </c>
      <c r="K335" s="2">
        <f t="shared" si="3"/>
        <v>1.9622430573376412E-2</v>
      </c>
      <c r="L335" s="2" t="str">
        <f>IF(ISNUMBER(SEARCH("|",IMDB_Movies!$D335)),LEFT(IMDB_Movies!$D335,SEARCH("|",IMDB_Movies!$D335)-1),IMDB_Movies!$D335)</f>
        <v>Action</v>
      </c>
      <c r="V335" s="2"/>
      <c r="W335" s="2"/>
    </row>
    <row r="336" spans="1:23" ht="12.5" x14ac:dyDescent="0.25">
      <c r="A336" s="2" t="s">
        <v>739</v>
      </c>
      <c r="B336" s="2">
        <v>137</v>
      </c>
      <c r="C336" s="2">
        <v>22406362</v>
      </c>
      <c r="D336" s="2" t="s">
        <v>740</v>
      </c>
      <c r="E336" s="2" t="s">
        <v>741</v>
      </c>
      <c r="F336" s="2" t="s">
        <v>14</v>
      </c>
      <c r="G336" s="2" t="s">
        <v>15</v>
      </c>
      <c r="H336" s="2">
        <v>107000000</v>
      </c>
      <c r="I336" s="2">
        <v>6</v>
      </c>
      <c r="J336" s="2">
        <f t="shared" si="2"/>
        <v>-84593638</v>
      </c>
      <c r="K336" s="2">
        <f t="shared" si="3"/>
        <v>1.958348739967904E-2</v>
      </c>
      <c r="L336" s="2" t="str">
        <f>IF(ISNUMBER(SEARCH("|",IMDB_Movies!$D336)),LEFT(IMDB_Movies!$D336,SEARCH("|",IMDB_Movies!$D336)-1),IMDB_Movies!$D336)</f>
        <v>Drama</v>
      </c>
      <c r="V336" s="2"/>
      <c r="W336" s="2"/>
    </row>
    <row r="337" spans="1:23" ht="12.5" x14ac:dyDescent="0.25">
      <c r="A337" s="2" t="s">
        <v>231</v>
      </c>
      <c r="B337" s="2">
        <v>115</v>
      </c>
      <c r="C337" s="2">
        <v>261437578</v>
      </c>
      <c r="D337" s="2" t="s">
        <v>742</v>
      </c>
      <c r="E337" s="2" t="s">
        <v>743</v>
      </c>
      <c r="F337" s="2" t="s">
        <v>14</v>
      </c>
      <c r="G337" s="2" t="s">
        <v>15</v>
      </c>
      <c r="H337" s="2">
        <v>92000000</v>
      </c>
      <c r="I337" s="2">
        <v>8</v>
      </c>
      <c r="J337" s="2">
        <f t="shared" si="2"/>
        <v>169437578</v>
      </c>
      <c r="K337" s="2">
        <f t="shared" si="3"/>
        <v>1.9614048738474329E-2</v>
      </c>
      <c r="L337" s="2" t="str">
        <f>IF(ISNUMBER(SEARCH("|",IMDB_Movies!$D337)),LEFT(IMDB_Movies!$D337,SEARCH("|",IMDB_Movies!$D337)-1),IMDB_Movies!$D337)</f>
        <v>Action</v>
      </c>
      <c r="V337" s="2"/>
      <c r="W337" s="2"/>
    </row>
    <row r="338" spans="1:23" ht="12.5" x14ac:dyDescent="0.25">
      <c r="A338" s="2" t="s">
        <v>744</v>
      </c>
      <c r="B338" s="2">
        <v>124</v>
      </c>
      <c r="C338" s="2">
        <v>11000000</v>
      </c>
      <c r="D338" s="2" t="s">
        <v>582</v>
      </c>
      <c r="E338" s="2" t="s">
        <v>745</v>
      </c>
      <c r="F338" s="2" t="s">
        <v>14</v>
      </c>
      <c r="G338" s="2" t="s">
        <v>15</v>
      </c>
      <c r="H338" s="2">
        <v>98000000</v>
      </c>
      <c r="I338" s="2">
        <v>5.6</v>
      </c>
      <c r="J338" s="2">
        <f t="shared" si="2"/>
        <v>-87000000</v>
      </c>
      <c r="K338" s="2">
        <f t="shared" si="3"/>
        <v>1.9354888284791236E-2</v>
      </c>
      <c r="L338" s="2" t="str">
        <f>IF(ISNUMBER(SEARCH("|",IMDB_Movies!$D338)),LEFT(IMDB_Movies!$D338,SEARCH("|",IMDB_Movies!$D338)-1),IMDB_Movies!$D338)</f>
        <v>Action</v>
      </c>
      <c r="V338" s="2"/>
      <c r="W338" s="2"/>
    </row>
    <row r="339" spans="1:23" ht="12.5" x14ac:dyDescent="0.25">
      <c r="A339" s="2" t="s">
        <v>458</v>
      </c>
      <c r="B339" s="2">
        <v>118</v>
      </c>
      <c r="C339" s="2">
        <v>88761720</v>
      </c>
      <c r="D339" s="2" t="s">
        <v>81</v>
      </c>
      <c r="E339" s="2" t="s">
        <v>746</v>
      </c>
      <c r="F339" s="2" t="s">
        <v>14</v>
      </c>
      <c r="G339" s="2" t="s">
        <v>22</v>
      </c>
      <c r="H339" s="2">
        <v>95000000</v>
      </c>
      <c r="I339" s="2">
        <v>5.9</v>
      </c>
      <c r="J339" s="2">
        <f t="shared" si="2"/>
        <v>-6238280</v>
      </c>
      <c r="K339" s="2">
        <f t="shared" si="3"/>
        <v>1.9400161533594699E-2</v>
      </c>
      <c r="L339" s="2" t="str">
        <f>IF(ISNUMBER(SEARCH("|",IMDB_Movies!$D339)),LEFT(IMDB_Movies!$D339,SEARCH("|",IMDB_Movies!$D339)-1),IMDB_Movies!$D339)</f>
        <v>Adventure</v>
      </c>
      <c r="V339" s="2"/>
      <c r="W339" s="2"/>
    </row>
    <row r="340" spans="1:23" ht="12.5" x14ac:dyDescent="0.25">
      <c r="A340" s="2" t="s">
        <v>67</v>
      </c>
      <c r="B340" s="2">
        <v>98</v>
      </c>
      <c r="C340" s="2">
        <v>250147615</v>
      </c>
      <c r="D340" s="2" t="s">
        <v>747</v>
      </c>
      <c r="E340" s="2" t="s">
        <v>748</v>
      </c>
      <c r="F340" s="2" t="s">
        <v>14</v>
      </c>
      <c r="G340" s="2" t="s">
        <v>15</v>
      </c>
      <c r="H340" s="2">
        <v>90000000</v>
      </c>
      <c r="I340" s="2">
        <v>7.3</v>
      </c>
      <c r="J340" s="2">
        <f t="shared" si="2"/>
        <v>160147615</v>
      </c>
      <c r="K340" s="2">
        <f t="shared" si="3"/>
        <v>1.9328632895148776E-2</v>
      </c>
      <c r="L340" s="2" t="str">
        <f>IF(ISNUMBER(SEARCH("|",IMDB_Movies!$D340)),LEFT(IMDB_Movies!$D340,SEARCH("|",IMDB_Movies!$D340)-1),IMDB_Movies!$D340)</f>
        <v>Adventure</v>
      </c>
      <c r="V340" s="2"/>
      <c r="W340" s="2"/>
    </row>
    <row r="341" spans="1:23" ht="12.5" x14ac:dyDescent="0.25">
      <c r="A341" s="2" t="s">
        <v>115</v>
      </c>
      <c r="B341" s="2">
        <v>82</v>
      </c>
      <c r="C341" s="2">
        <v>245823397</v>
      </c>
      <c r="D341" s="2" t="s">
        <v>106</v>
      </c>
      <c r="E341" s="2" t="s">
        <v>749</v>
      </c>
      <c r="F341" s="2" t="s">
        <v>14</v>
      </c>
      <c r="G341" s="2" t="s">
        <v>15</v>
      </c>
      <c r="H341" s="2">
        <v>90000000</v>
      </c>
      <c r="I341" s="2">
        <v>7.9</v>
      </c>
      <c r="J341" s="2">
        <f t="shared" si="2"/>
        <v>155823397</v>
      </c>
      <c r="K341" s="2">
        <f t="shared" si="3"/>
        <v>1.9088833976933405E-2</v>
      </c>
      <c r="L341" s="2" t="str">
        <f>IF(ISNUMBER(SEARCH("|",IMDB_Movies!$D341)),LEFT(IMDB_Movies!$D341,SEARCH("|",IMDB_Movies!$D341)-1),IMDB_Movies!$D341)</f>
        <v>Adventure</v>
      </c>
      <c r="V341" s="2"/>
      <c r="W341" s="2"/>
    </row>
    <row r="342" spans="1:23" ht="12.5" x14ac:dyDescent="0.25">
      <c r="A342" s="2" t="s">
        <v>618</v>
      </c>
      <c r="B342" s="2">
        <v>98</v>
      </c>
      <c r="C342" s="2">
        <v>81557479</v>
      </c>
      <c r="D342" s="2" t="s">
        <v>25</v>
      </c>
      <c r="E342" s="2" t="s">
        <v>750</v>
      </c>
      <c r="F342" s="2" t="s">
        <v>14</v>
      </c>
      <c r="G342" s="2" t="s">
        <v>15</v>
      </c>
      <c r="H342" s="2">
        <v>100000000</v>
      </c>
      <c r="I342" s="2">
        <v>6.8</v>
      </c>
      <c r="J342" s="2">
        <f t="shared" si="2"/>
        <v>-18442521</v>
      </c>
      <c r="K342" s="2">
        <f t="shared" si="3"/>
        <v>1.8851697707521611E-2</v>
      </c>
      <c r="L342" s="2" t="str">
        <f>IF(ISNUMBER(SEARCH("|",IMDB_Movies!$D342)),LEFT(IMDB_Movies!$D342,SEARCH("|",IMDB_Movies!$D342)-1),IMDB_Movies!$D342)</f>
        <v>Action</v>
      </c>
      <c r="V342" s="2"/>
      <c r="W342" s="2"/>
    </row>
    <row r="343" spans="1:23" ht="12.5" x14ac:dyDescent="0.25">
      <c r="A343" s="2" t="s">
        <v>101</v>
      </c>
      <c r="B343" s="2">
        <v>90</v>
      </c>
      <c r="C343" s="2">
        <v>226138454</v>
      </c>
      <c r="D343" s="2" t="s">
        <v>150</v>
      </c>
      <c r="E343" s="2" t="s">
        <v>751</v>
      </c>
      <c r="F343" s="2" t="s">
        <v>14</v>
      </c>
      <c r="G343" s="2" t="s">
        <v>15</v>
      </c>
      <c r="H343" s="2">
        <v>90000000</v>
      </c>
      <c r="I343" s="2">
        <v>6.6</v>
      </c>
      <c r="J343" s="2">
        <f t="shared" si="2"/>
        <v>136138454</v>
      </c>
      <c r="K343" s="2">
        <f t="shared" si="3"/>
        <v>1.8784244402530188E-2</v>
      </c>
      <c r="L343" s="2" t="str">
        <f>IF(ISNUMBER(SEARCH("|",IMDB_Movies!$D343)),LEFT(IMDB_Movies!$D343,SEARCH("|",IMDB_Movies!$D343)-1),IMDB_Movies!$D343)</f>
        <v>Action</v>
      </c>
      <c r="V343" s="2"/>
      <c r="W343" s="2"/>
    </row>
    <row r="344" spans="1:23" ht="12.5" x14ac:dyDescent="0.25">
      <c r="A344" s="2" t="s">
        <v>160</v>
      </c>
      <c r="B344" s="2">
        <v>130</v>
      </c>
      <c r="C344" s="2">
        <v>155370362</v>
      </c>
      <c r="D344" s="2" t="s">
        <v>752</v>
      </c>
      <c r="E344" s="2" t="s">
        <v>753</v>
      </c>
      <c r="F344" s="2" t="s">
        <v>14</v>
      </c>
      <c r="G344" s="2" t="s">
        <v>15</v>
      </c>
      <c r="H344" s="2">
        <v>100000000</v>
      </c>
      <c r="I344" s="2">
        <v>6.6</v>
      </c>
      <c r="J344" s="2">
        <f t="shared" si="2"/>
        <v>55370362</v>
      </c>
      <c r="K344" s="2">
        <f t="shared" si="3"/>
        <v>1.856423491694947E-2</v>
      </c>
      <c r="L344" s="2" t="str">
        <f>IF(ISNUMBER(SEARCH("|",IMDB_Movies!$D344)),LEFT(IMDB_Movies!$D344,SEARCH("|",IMDB_Movies!$D344)-1),IMDB_Movies!$D344)</f>
        <v>Drama</v>
      </c>
      <c r="V344" s="2"/>
      <c r="W344" s="2"/>
    </row>
    <row r="345" spans="1:23" ht="12.5" x14ac:dyDescent="0.25">
      <c r="A345" s="2" t="s">
        <v>754</v>
      </c>
      <c r="B345" s="2">
        <v>90</v>
      </c>
      <c r="C345" s="2">
        <v>124870275</v>
      </c>
      <c r="D345" s="2" t="s">
        <v>755</v>
      </c>
      <c r="E345" s="2" t="s">
        <v>756</v>
      </c>
      <c r="F345" s="2" t="s">
        <v>14</v>
      </c>
      <c r="G345" s="2" t="s">
        <v>15</v>
      </c>
      <c r="H345" s="2">
        <v>100000000</v>
      </c>
      <c r="I345" s="2">
        <v>7</v>
      </c>
      <c r="J345" s="2">
        <f t="shared" si="2"/>
        <v>24870275</v>
      </c>
      <c r="K345" s="2">
        <f t="shared" si="3"/>
        <v>1.8388384404583104E-2</v>
      </c>
      <c r="L345" s="2" t="str">
        <f>IF(ISNUMBER(SEARCH("|",IMDB_Movies!$D345)),LEFT(IMDB_Movies!$D345,SEARCH("|",IMDB_Movies!$D345)-1),IMDB_Movies!$D345)</f>
        <v>Animation</v>
      </c>
      <c r="V345" s="2"/>
      <c r="W345" s="2"/>
    </row>
    <row r="346" spans="1:23" ht="12.5" x14ac:dyDescent="0.25">
      <c r="A346" s="2" t="s">
        <v>466</v>
      </c>
      <c r="B346" s="2">
        <v>94</v>
      </c>
      <c r="C346" s="2">
        <v>196573705</v>
      </c>
      <c r="D346" s="2" t="s">
        <v>300</v>
      </c>
      <c r="E346" s="2" t="s">
        <v>757</v>
      </c>
      <c r="F346" s="2" t="s">
        <v>14</v>
      </c>
      <c r="G346" s="2" t="s">
        <v>15</v>
      </c>
      <c r="H346" s="2">
        <v>90000000</v>
      </c>
      <c r="I346" s="2">
        <v>7</v>
      </c>
      <c r="J346" s="2">
        <f t="shared" si="2"/>
        <v>106573705</v>
      </c>
      <c r="K346" s="2">
        <f t="shared" si="3"/>
        <v>1.8255475253699038E-2</v>
      </c>
      <c r="L346" s="2" t="str">
        <f>IF(ISNUMBER(SEARCH("|",IMDB_Movies!$D346)),LEFT(IMDB_Movies!$D346,SEARCH("|",IMDB_Movies!$D346)-1),IMDB_Movies!$D346)</f>
        <v>Action</v>
      </c>
      <c r="V346" s="2"/>
      <c r="W346" s="2"/>
    </row>
    <row r="347" spans="1:23" ht="12.5" x14ac:dyDescent="0.25">
      <c r="A347" s="2" t="s">
        <v>758</v>
      </c>
      <c r="B347" s="2">
        <v>114</v>
      </c>
      <c r="C347" s="2">
        <v>58229120</v>
      </c>
      <c r="D347" s="2" t="s">
        <v>759</v>
      </c>
      <c r="E347" s="2" t="s">
        <v>760</v>
      </c>
      <c r="F347" s="2" t="s">
        <v>14</v>
      </c>
      <c r="G347" s="2" t="s">
        <v>15</v>
      </c>
      <c r="H347" s="2">
        <v>90000000</v>
      </c>
      <c r="I347" s="2">
        <v>7.3</v>
      </c>
      <c r="J347" s="2">
        <f t="shared" si="2"/>
        <v>-31770880</v>
      </c>
      <c r="K347" s="2">
        <f t="shared" si="3"/>
        <v>1.8063415201694927E-2</v>
      </c>
      <c r="L347" s="2" t="str">
        <f>IF(ISNUMBER(SEARCH("|",IMDB_Movies!$D347)),LEFT(IMDB_Movies!$D347,SEARCH("|",IMDB_Movies!$D347)-1),IMDB_Movies!$D347)</f>
        <v>Adventure</v>
      </c>
      <c r="V347" s="2"/>
      <c r="W347" s="2"/>
    </row>
    <row r="348" spans="1:23" ht="12.5" x14ac:dyDescent="0.25">
      <c r="A348" s="2" t="s">
        <v>122</v>
      </c>
      <c r="B348" s="2">
        <v>94</v>
      </c>
      <c r="C348" s="2">
        <v>125305545</v>
      </c>
      <c r="D348" s="2" t="s">
        <v>761</v>
      </c>
      <c r="E348" s="2" t="s">
        <v>762</v>
      </c>
      <c r="F348" s="2" t="s">
        <v>14</v>
      </c>
      <c r="G348" s="2" t="s">
        <v>15</v>
      </c>
      <c r="H348" s="2">
        <v>92000000</v>
      </c>
      <c r="I348" s="2">
        <v>5.5</v>
      </c>
      <c r="J348" s="2">
        <f t="shared" si="2"/>
        <v>33305545</v>
      </c>
      <c r="K348" s="2">
        <f t="shared" si="3"/>
        <v>1.8036864176549955E-2</v>
      </c>
      <c r="L348" s="2" t="str">
        <f>IF(ISNUMBER(SEARCH("|",IMDB_Movies!$D348)),LEFT(IMDB_Movies!$D348,SEARCH("|",IMDB_Movies!$D348)-1),IMDB_Movies!$D348)</f>
        <v>Action</v>
      </c>
      <c r="V348" s="2"/>
      <c r="W348" s="2"/>
    </row>
    <row r="349" spans="1:23" ht="12.5" x14ac:dyDescent="0.25">
      <c r="A349" s="2" t="s">
        <v>191</v>
      </c>
      <c r="B349" s="2">
        <v>151</v>
      </c>
      <c r="C349" s="2">
        <v>132373442</v>
      </c>
      <c r="D349" s="2" t="s">
        <v>763</v>
      </c>
      <c r="E349" s="2" t="s">
        <v>764</v>
      </c>
      <c r="F349" s="2" t="s">
        <v>14</v>
      </c>
      <c r="G349" s="2" t="s">
        <v>15</v>
      </c>
      <c r="H349" s="2">
        <v>90000000</v>
      </c>
      <c r="I349" s="2">
        <v>8.5</v>
      </c>
      <c r="J349" s="2">
        <f t="shared" si="2"/>
        <v>42373442</v>
      </c>
      <c r="K349" s="2">
        <f t="shared" si="3"/>
        <v>1.7920193560965789E-2</v>
      </c>
      <c r="L349" s="2" t="str">
        <f>IF(ISNUMBER(SEARCH("|",IMDB_Movies!$D349)),LEFT(IMDB_Movies!$D349,SEARCH("|",IMDB_Movies!$D349)-1),IMDB_Movies!$D349)</f>
        <v>Crime</v>
      </c>
      <c r="V349" s="2"/>
      <c r="W349" s="2"/>
    </row>
    <row r="350" spans="1:23" ht="12.5" x14ac:dyDescent="0.25">
      <c r="A350" s="2" t="s">
        <v>765</v>
      </c>
      <c r="B350" s="2">
        <v>88</v>
      </c>
      <c r="C350" s="2">
        <v>120618403</v>
      </c>
      <c r="D350" s="2" t="s">
        <v>766</v>
      </c>
      <c r="E350" s="2" t="s">
        <v>767</v>
      </c>
      <c r="F350" s="2" t="s">
        <v>14</v>
      </c>
      <c r="G350" s="2" t="s">
        <v>15</v>
      </c>
      <c r="H350" s="2">
        <v>90000000</v>
      </c>
      <c r="I350" s="2">
        <v>7.5</v>
      </c>
      <c r="J350" s="2">
        <f t="shared" si="2"/>
        <v>30618403</v>
      </c>
      <c r="K350" s="2">
        <f t="shared" si="3"/>
        <v>1.7799246570920191E-2</v>
      </c>
      <c r="L350" s="2" t="str">
        <f>IF(ISNUMBER(SEARCH("|",IMDB_Movies!$D350)),LEFT(IMDB_Movies!$D350,SEARCH("|",IMDB_Movies!$D350)-1),IMDB_Movies!$D350)</f>
        <v>Adventure</v>
      </c>
      <c r="V350" s="2"/>
      <c r="W350" s="2"/>
    </row>
    <row r="351" spans="1:23" ht="12.5" x14ac:dyDescent="0.25">
      <c r="A351" s="2" t="s">
        <v>758</v>
      </c>
      <c r="B351" s="2">
        <v>121</v>
      </c>
      <c r="C351" s="2">
        <v>110416702</v>
      </c>
      <c r="D351" s="2" t="s">
        <v>768</v>
      </c>
      <c r="E351" s="2" t="s">
        <v>769</v>
      </c>
      <c r="F351" s="2" t="s">
        <v>14</v>
      </c>
      <c r="G351" s="2" t="s">
        <v>15</v>
      </c>
      <c r="H351" s="2">
        <v>92000000</v>
      </c>
      <c r="I351" s="2">
        <v>7</v>
      </c>
      <c r="J351" s="2">
        <f t="shared" si="2"/>
        <v>18416702</v>
      </c>
      <c r="K351" s="2">
        <f t="shared" si="3"/>
        <v>1.7692300824321102E-2</v>
      </c>
      <c r="L351" s="2" t="str">
        <f>IF(ISNUMBER(SEARCH("|",IMDB_Movies!$D351)),LEFT(IMDB_Movies!$D351,SEARCH("|",IMDB_Movies!$D351)-1),IMDB_Movies!$D351)</f>
        <v>Action</v>
      </c>
      <c r="V351" s="2"/>
      <c r="W351" s="2"/>
    </row>
    <row r="352" spans="1:23" ht="12.5" x14ac:dyDescent="0.25">
      <c r="A352" s="2" t="s">
        <v>255</v>
      </c>
      <c r="B352" s="2">
        <v>158</v>
      </c>
      <c r="C352" s="2">
        <v>102515793</v>
      </c>
      <c r="D352" s="2" t="s">
        <v>770</v>
      </c>
      <c r="E352" s="2" t="s">
        <v>771</v>
      </c>
      <c r="F352" s="2" t="s">
        <v>14</v>
      </c>
      <c r="G352" s="2" t="s">
        <v>15</v>
      </c>
      <c r="H352" s="2">
        <v>90000000</v>
      </c>
      <c r="I352" s="2">
        <v>7.8</v>
      </c>
      <c r="J352" s="2">
        <f t="shared" si="2"/>
        <v>12515793</v>
      </c>
      <c r="K352" s="2">
        <f t="shared" si="3"/>
        <v>1.7594151763282474E-2</v>
      </c>
      <c r="L352" s="2" t="str">
        <f>IF(ISNUMBER(SEARCH("|",IMDB_Movies!$D352)),LEFT(IMDB_Movies!$D352,SEARCH("|",IMDB_Movies!$D352)-1),IMDB_Movies!$D352)</f>
        <v>Crime</v>
      </c>
      <c r="V352" s="2"/>
      <c r="W352" s="2"/>
    </row>
    <row r="353" spans="1:23" ht="12.5" x14ac:dyDescent="0.25">
      <c r="A353" s="2" t="s">
        <v>477</v>
      </c>
      <c r="B353" s="2">
        <v>128</v>
      </c>
      <c r="C353" s="2">
        <v>100012500</v>
      </c>
      <c r="D353" s="2" t="s">
        <v>20</v>
      </c>
      <c r="E353" s="2" t="s">
        <v>772</v>
      </c>
      <c r="F353" s="2" t="s">
        <v>14</v>
      </c>
      <c r="G353" s="2" t="s">
        <v>15</v>
      </c>
      <c r="H353" s="2">
        <v>90000000</v>
      </c>
      <c r="I353" s="2">
        <v>7.6</v>
      </c>
      <c r="J353" s="2">
        <f t="shared" si="2"/>
        <v>10012500</v>
      </c>
      <c r="K353" s="2">
        <f t="shared" si="3"/>
        <v>1.7509420894127714E-2</v>
      </c>
      <c r="L353" s="2" t="str">
        <f>IF(ISNUMBER(SEARCH("|",IMDB_Movies!$D353)),LEFT(IMDB_Movies!$D353,SEARCH("|",IMDB_Movies!$D353)-1),IMDB_Movies!$D353)</f>
        <v>Action</v>
      </c>
      <c r="V353" s="2"/>
      <c r="W353" s="2"/>
    </row>
    <row r="354" spans="1:23" ht="12.5" x14ac:dyDescent="0.25">
      <c r="A354" s="2" t="s">
        <v>471</v>
      </c>
      <c r="B354" s="2">
        <v>128</v>
      </c>
      <c r="C354" s="2">
        <v>209019489</v>
      </c>
      <c r="D354" s="2" t="s">
        <v>472</v>
      </c>
      <c r="E354" s="2" t="s">
        <v>773</v>
      </c>
      <c r="F354" s="2" t="s">
        <v>14</v>
      </c>
      <c r="G354" s="2" t="s">
        <v>15</v>
      </c>
      <c r="H354" s="2">
        <v>90000000</v>
      </c>
      <c r="I354" s="2">
        <v>7.6</v>
      </c>
      <c r="J354" s="2">
        <f t="shared" si="2"/>
        <v>119019489</v>
      </c>
      <c r="K354" s="2">
        <f t="shared" si="3"/>
        <v>1.7427766608828863E-2</v>
      </c>
      <c r="L354" s="2" t="str">
        <f>IF(ISNUMBER(SEARCH("|",IMDB_Movies!$D354)),LEFT(IMDB_Movies!$D354,SEARCH("|",IMDB_Movies!$D354)-1),IMDB_Movies!$D354)</f>
        <v>Action</v>
      </c>
      <c r="V354" s="2"/>
      <c r="W354" s="2"/>
    </row>
    <row r="355" spans="1:23" ht="12.5" x14ac:dyDescent="0.25">
      <c r="A355" s="2" t="s">
        <v>631</v>
      </c>
      <c r="B355" s="2">
        <v>95</v>
      </c>
      <c r="C355" s="2">
        <v>84037039</v>
      </c>
      <c r="D355" s="2" t="s">
        <v>774</v>
      </c>
      <c r="E355" s="2" t="s">
        <v>775</v>
      </c>
      <c r="F355" s="2" t="s">
        <v>14</v>
      </c>
      <c r="G355" s="2" t="s">
        <v>15</v>
      </c>
      <c r="H355" s="2">
        <v>120000000</v>
      </c>
      <c r="I355" s="2">
        <v>6.8</v>
      </c>
      <c r="J355" s="2">
        <f t="shared" si="2"/>
        <v>-35962961</v>
      </c>
      <c r="K355" s="2">
        <f t="shared" si="3"/>
        <v>1.7219954212756908E-2</v>
      </c>
      <c r="L355" s="2" t="str">
        <f>IF(ISNUMBER(SEARCH("|",IMDB_Movies!$D355)),LEFT(IMDB_Movies!$D355,SEARCH("|",IMDB_Movies!$D355)-1),IMDB_Movies!$D355)</f>
        <v>Action</v>
      </c>
      <c r="V355" s="2"/>
      <c r="W355" s="2"/>
    </row>
    <row r="356" spans="1:23" ht="12.5" x14ac:dyDescent="0.25">
      <c r="A356" s="2" t="s">
        <v>776</v>
      </c>
      <c r="B356" s="2">
        <v>92</v>
      </c>
      <c r="C356" s="2">
        <v>85884815</v>
      </c>
      <c r="D356" s="2" t="s">
        <v>777</v>
      </c>
      <c r="E356" s="2" t="s">
        <v>778</v>
      </c>
      <c r="F356" s="2" t="s">
        <v>14</v>
      </c>
      <c r="G356" s="2" t="s">
        <v>15</v>
      </c>
      <c r="H356" s="2">
        <v>90000000</v>
      </c>
      <c r="I356" s="2">
        <v>5</v>
      </c>
      <c r="J356" s="2">
        <f t="shared" si="2"/>
        <v>-4115185</v>
      </c>
      <c r="K356" s="2">
        <f t="shared" si="3"/>
        <v>1.7124029711274694E-2</v>
      </c>
      <c r="L356" s="2" t="str">
        <f>IF(ISNUMBER(SEARCH("|",IMDB_Movies!$D356)),LEFT(IMDB_Movies!$D356,SEARCH("|",IMDB_Movies!$D356)-1),IMDB_Movies!$D356)</f>
        <v>Adventure</v>
      </c>
      <c r="V356" s="2"/>
      <c r="W356" s="2"/>
    </row>
    <row r="357" spans="1:23" ht="12.5" x14ac:dyDescent="0.25">
      <c r="A357" s="2" t="s">
        <v>52</v>
      </c>
      <c r="B357" s="2">
        <v>121</v>
      </c>
      <c r="C357" s="2">
        <v>83077470</v>
      </c>
      <c r="D357" s="2" t="s">
        <v>779</v>
      </c>
      <c r="E357" s="2" t="s">
        <v>780</v>
      </c>
      <c r="F357" s="2" t="s">
        <v>14</v>
      </c>
      <c r="G357" s="2" t="s">
        <v>15</v>
      </c>
      <c r="H357" s="2">
        <v>75000000</v>
      </c>
      <c r="I357" s="2">
        <v>7.1</v>
      </c>
      <c r="J357" s="2">
        <f t="shared" si="2"/>
        <v>8077470</v>
      </c>
      <c r="K357" s="2">
        <f t="shared" si="3"/>
        <v>1.7060140387420656E-2</v>
      </c>
      <c r="L357" s="2" t="str">
        <f>IF(ISNUMBER(SEARCH("|",IMDB_Movies!$D357)),LEFT(IMDB_Movies!$D357,SEARCH("|",IMDB_Movies!$D357)-1),IMDB_Movies!$D357)</f>
        <v>Drama</v>
      </c>
      <c r="V357" s="2"/>
      <c r="W357" s="2"/>
    </row>
    <row r="358" spans="1:23" ht="12.5" x14ac:dyDescent="0.25">
      <c r="A358" s="2" t="s">
        <v>781</v>
      </c>
      <c r="B358" s="2">
        <v>113</v>
      </c>
      <c r="C358" s="2">
        <v>100018837</v>
      </c>
      <c r="D358" s="2" t="s">
        <v>768</v>
      </c>
      <c r="E358" s="2" t="s">
        <v>782</v>
      </c>
      <c r="F358" s="2" t="s">
        <v>14</v>
      </c>
      <c r="G358" s="2" t="s">
        <v>15</v>
      </c>
      <c r="H358" s="2">
        <v>90000000</v>
      </c>
      <c r="I358" s="2">
        <v>5.5</v>
      </c>
      <c r="J358" s="2">
        <f t="shared" si="2"/>
        <v>10018837</v>
      </c>
      <c r="K358" s="2">
        <f t="shared" si="3"/>
        <v>1.7016804533569532E-2</v>
      </c>
      <c r="L358" s="2" t="str">
        <f>IF(ISNUMBER(SEARCH("|",IMDB_Movies!$D358)),LEFT(IMDB_Movies!$D358,SEARCH("|",IMDB_Movies!$D358)-1),IMDB_Movies!$D358)</f>
        <v>Action</v>
      </c>
      <c r="V358" s="2"/>
      <c r="W358" s="2"/>
    </row>
    <row r="359" spans="1:23" ht="12.5" x14ac:dyDescent="0.25">
      <c r="A359" s="2" t="s">
        <v>458</v>
      </c>
      <c r="B359" s="2">
        <v>106</v>
      </c>
      <c r="C359" s="2">
        <v>78747585</v>
      </c>
      <c r="D359" s="2" t="s">
        <v>783</v>
      </c>
      <c r="E359" s="2" t="s">
        <v>784</v>
      </c>
      <c r="F359" s="2" t="s">
        <v>14</v>
      </c>
      <c r="G359" s="2" t="s">
        <v>15</v>
      </c>
      <c r="H359" s="2">
        <v>88000000</v>
      </c>
      <c r="I359" s="2">
        <v>5.6</v>
      </c>
      <c r="J359" s="2">
        <f t="shared" si="2"/>
        <v>-9252415</v>
      </c>
      <c r="K359" s="2">
        <f t="shared" si="3"/>
        <v>1.6934567415152455E-2</v>
      </c>
      <c r="L359" s="2" t="str">
        <f>IF(ISNUMBER(SEARCH("|",IMDB_Movies!$D359)),LEFT(IMDB_Movies!$D359,SEARCH("|",IMDB_Movies!$D359)-1),IMDB_Movies!$D359)</f>
        <v>Action</v>
      </c>
      <c r="V359" s="2"/>
      <c r="W359" s="2"/>
    </row>
    <row r="360" spans="1:23" ht="12.5" x14ac:dyDescent="0.25">
      <c r="A360" s="2" t="s">
        <v>141</v>
      </c>
      <c r="B360" s="2">
        <v>146</v>
      </c>
      <c r="C360" s="2">
        <v>78616689</v>
      </c>
      <c r="D360" s="2" t="s">
        <v>250</v>
      </c>
      <c r="E360" s="2" t="s">
        <v>785</v>
      </c>
      <c r="F360" s="2" t="s">
        <v>14</v>
      </c>
      <c r="G360" s="2" t="s">
        <v>15</v>
      </c>
      <c r="H360" s="2">
        <v>100000000</v>
      </c>
      <c r="I360" s="2">
        <v>7.1</v>
      </c>
      <c r="J360" s="2">
        <f t="shared" si="2"/>
        <v>-21383311</v>
      </c>
      <c r="K360" s="2">
        <f t="shared" si="3"/>
        <v>1.6881924997635928E-2</v>
      </c>
      <c r="L360" s="2" t="str">
        <f>IF(ISNUMBER(SEARCH("|",IMDB_Movies!$D360)),LEFT(IMDB_Movies!$D360,SEARCH("|",IMDB_Movies!$D360)-1),IMDB_Movies!$D360)</f>
        <v>Adventure</v>
      </c>
      <c r="V360" s="2"/>
      <c r="W360" s="2"/>
    </row>
    <row r="361" spans="1:23" ht="12.5" x14ac:dyDescent="0.25">
      <c r="A361" s="2" t="s">
        <v>350</v>
      </c>
      <c r="B361" s="2">
        <v>88</v>
      </c>
      <c r="C361" s="2">
        <v>75817994</v>
      </c>
      <c r="D361" s="2" t="s">
        <v>786</v>
      </c>
      <c r="E361" s="2" t="s">
        <v>787</v>
      </c>
      <c r="F361" s="2" t="s">
        <v>14</v>
      </c>
      <c r="G361" s="2" t="s">
        <v>15</v>
      </c>
      <c r="H361" s="2">
        <v>90000000</v>
      </c>
      <c r="I361" s="2">
        <v>4.9000000000000004</v>
      </c>
      <c r="J361" s="2">
        <f t="shared" si="2"/>
        <v>-14182006</v>
      </c>
      <c r="K361" s="2">
        <f t="shared" si="3"/>
        <v>1.6817212672612505E-2</v>
      </c>
      <c r="L361" s="2" t="str">
        <f>IF(ISNUMBER(SEARCH("|",IMDB_Movies!$D361)),LEFT(IMDB_Movies!$D361,SEARCH("|",IMDB_Movies!$D361)-1),IMDB_Movies!$D361)</f>
        <v>Comedy</v>
      </c>
      <c r="V361" s="2"/>
      <c r="W361" s="2"/>
    </row>
    <row r="362" spans="1:23" ht="12.5" x14ac:dyDescent="0.25">
      <c r="A362" s="2" t="s">
        <v>160</v>
      </c>
      <c r="B362" s="2">
        <v>150</v>
      </c>
      <c r="C362" s="2">
        <v>100853835</v>
      </c>
      <c r="D362" s="2" t="s">
        <v>788</v>
      </c>
      <c r="E362" s="2" t="s">
        <v>789</v>
      </c>
      <c r="F362" s="2" t="s">
        <v>14</v>
      </c>
      <c r="G362" s="2" t="s">
        <v>15</v>
      </c>
      <c r="H362" s="2">
        <v>90000000</v>
      </c>
      <c r="I362" s="2">
        <v>7.4</v>
      </c>
      <c r="J362" s="2">
        <f t="shared" si="2"/>
        <v>10853835</v>
      </c>
      <c r="K362" s="2">
        <f t="shared" si="3"/>
        <v>1.6766324987928041E-2</v>
      </c>
      <c r="L362" s="2" t="str">
        <f>IF(ISNUMBER(SEARCH("|",IMDB_Movies!$D362)),LEFT(IMDB_Movies!$D362,SEARCH("|",IMDB_Movies!$D362)-1),IMDB_Movies!$D362)</f>
        <v>Drama</v>
      </c>
      <c r="V362" s="2"/>
      <c r="W362" s="2"/>
    </row>
    <row r="363" spans="1:23" ht="12.5" x14ac:dyDescent="0.25">
      <c r="A363" s="2" t="s">
        <v>475</v>
      </c>
      <c r="B363" s="2">
        <v>119</v>
      </c>
      <c r="C363" s="2">
        <v>73209340</v>
      </c>
      <c r="D363" s="2" t="s">
        <v>790</v>
      </c>
      <c r="E363" s="2" t="s">
        <v>791</v>
      </c>
      <c r="F363" s="2" t="s">
        <v>14</v>
      </c>
      <c r="G363" s="2" t="s">
        <v>15</v>
      </c>
      <c r="H363" s="2">
        <v>95000000</v>
      </c>
      <c r="I363" s="2">
        <v>5.7</v>
      </c>
      <c r="J363" s="2">
        <f t="shared" si="2"/>
        <v>-21790660</v>
      </c>
      <c r="K363" s="2">
        <f t="shared" si="3"/>
        <v>1.668274526899291E-2</v>
      </c>
      <c r="L363" s="2" t="str">
        <f>IF(ISNUMBER(SEARCH("|",IMDB_Movies!$D363)),LEFT(IMDB_Movies!$D363,SEARCH("|",IMDB_Movies!$D363)-1),IMDB_Movies!$D363)</f>
        <v>Action</v>
      </c>
      <c r="V363" s="2"/>
      <c r="W363" s="2"/>
    </row>
    <row r="364" spans="1:23" ht="12.5" x14ac:dyDescent="0.25">
      <c r="A364" s="2" t="s">
        <v>792</v>
      </c>
      <c r="B364" s="2">
        <v>128</v>
      </c>
      <c r="C364" s="2">
        <v>72515360</v>
      </c>
      <c r="D364" s="2" t="s">
        <v>793</v>
      </c>
      <c r="E364" s="2" t="s">
        <v>794</v>
      </c>
      <c r="F364" s="2" t="s">
        <v>795</v>
      </c>
      <c r="G364" s="2" t="s">
        <v>22</v>
      </c>
      <c r="H364" s="2">
        <v>80000000</v>
      </c>
      <c r="I364" s="2">
        <v>6.4</v>
      </c>
      <c r="J364" s="2">
        <f t="shared" si="2"/>
        <v>-7484640</v>
      </c>
      <c r="K364" s="2">
        <f t="shared" si="3"/>
        <v>1.6630836296269279E-2</v>
      </c>
      <c r="L364" s="2" t="str">
        <f>IF(ISNUMBER(SEARCH("|",IMDB_Movies!$D364)),LEFT(IMDB_Movies!$D364,SEARCH("|",IMDB_Movies!$D364)-1),IMDB_Movies!$D364)</f>
        <v>Crime</v>
      </c>
      <c r="V364" s="2"/>
      <c r="W364" s="2"/>
    </row>
    <row r="365" spans="1:23" ht="12.5" x14ac:dyDescent="0.25">
      <c r="A365" s="2" t="s">
        <v>796</v>
      </c>
      <c r="B365" s="2">
        <v>106</v>
      </c>
      <c r="C365" s="2">
        <v>68558662</v>
      </c>
      <c r="D365" s="2" t="s">
        <v>81</v>
      </c>
      <c r="E365" s="2" t="s">
        <v>797</v>
      </c>
      <c r="F365" s="2" t="s">
        <v>14</v>
      </c>
      <c r="G365" s="2" t="s">
        <v>15</v>
      </c>
      <c r="H365" s="2">
        <v>90000000</v>
      </c>
      <c r="I365" s="2">
        <v>5.9</v>
      </c>
      <c r="J365" s="2">
        <f t="shared" si="2"/>
        <v>-21441338</v>
      </c>
      <c r="K365" s="2">
        <f t="shared" si="3"/>
        <v>1.6592853409848809E-2</v>
      </c>
      <c r="L365" s="2" t="str">
        <f>IF(ISNUMBER(SEARCH("|",IMDB_Movies!$D365)),LEFT(IMDB_Movies!$D365,SEARCH("|",IMDB_Movies!$D365)-1),IMDB_Movies!$D365)</f>
        <v>Adventure</v>
      </c>
      <c r="V365" s="2"/>
      <c r="W365" s="2"/>
    </row>
    <row r="366" spans="1:23" ht="12.5" x14ac:dyDescent="0.25">
      <c r="A366" s="2" t="s">
        <v>574</v>
      </c>
      <c r="B366" s="2">
        <v>117</v>
      </c>
      <c r="C366" s="2">
        <v>65653758</v>
      </c>
      <c r="D366" s="2" t="s">
        <v>17</v>
      </c>
      <c r="E366" s="2" t="s">
        <v>798</v>
      </c>
      <c r="F366" s="2" t="s">
        <v>14</v>
      </c>
      <c r="G366" s="2" t="s">
        <v>15</v>
      </c>
      <c r="H366" s="2">
        <v>95000000</v>
      </c>
      <c r="I366" s="2">
        <v>5.5</v>
      </c>
      <c r="J366" s="2">
        <f t="shared" si="2"/>
        <v>-29346242</v>
      </c>
      <c r="K366" s="2">
        <f t="shared" si="3"/>
        <v>1.6551516744744345E-2</v>
      </c>
      <c r="L366" s="2" t="str">
        <f>IF(ISNUMBER(SEARCH("|",IMDB_Movies!$D366)),LEFT(IMDB_Movies!$D366,SEARCH("|",IMDB_Movies!$D366)-1),IMDB_Movies!$D366)</f>
        <v>Action</v>
      </c>
      <c r="V366" s="2"/>
      <c r="W366" s="2"/>
    </row>
    <row r="367" spans="1:23" ht="12.5" x14ac:dyDescent="0.25">
      <c r="A367" s="2" t="s">
        <v>395</v>
      </c>
      <c r="B367" s="2">
        <v>129</v>
      </c>
      <c r="C367" s="2">
        <v>64685359</v>
      </c>
      <c r="D367" s="2" t="s">
        <v>799</v>
      </c>
      <c r="E367" s="2" t="s">
        <v>800</v>
      </c>
      <c r="F367" s="2" t="s">
        <v>14</v>
      </c>
      <c r="G367" s="2" t="s">
        <v>15</v>
      </c>
      <c r="H367" s="2">
        <v>90000000</v>
      </c>
      <c r="I367" s="2">
        <v>6.9</v>
      </c>
      <c r="J367" s="2">
        <f t="shared" si="2"/>
        <v>-25314641</v>
      </c>
      <c r="K367" s="2">
        <f t="shared" si="3"/>
        <v>1.6510629546453104E-2</v>
      </c>
      <c r="L367" s="2" t="str">
        <f>IF(ISNUMBER(SEARCH("|",IMDB_Movies!$D367)),LEFT(IMDB_Movies!$D367,SEARCH("|",IMDB_Movies!$D367)-1),IMDB_Movies!$D367)</f>
        <v>Action</v>
      </c>
      <c r="V367" s="2"/>
      <c r="W367" s="2"/>
    </row>
    <row r="368" spans="1:23" ht="12.5" x14ac:dyDescent="0.25">
      <c r="A368" s="2" t="s">
        <v>439</v>
      </c>
      <c r="B368" s="2">
        <v>116</v>
      </c>
      <c r="C368" s="2">
        <v>61355436</v>
      </c>
      <c r="D368" s="2" t="s">
        <v>597</v>
      </c>
      <c r="E368" s="2" t="s">
        <v>801</v>
      </c>
      <c r="F368" s="2" t="s">
        <v>14</v>
      </c>
      <c r="G368" s="2" t="s">
        <v>15</v>
      </c>
      <c r="H368" s="2">
        <v>68000000</v>
      </c>
      <c r="I368" s="2">
        <v>6.2</v>
      </c>
      <c r="J368" s="2">
        <f t="shared" si="2"/>
        <v>-6644564</v>
      </c>
      <c r="K368" s="2">
        <f t="shared" si="3"/>
        <v>1.6474469841491399E-2</v>
      </c>
      <c r="L368" s="2" t="str">
        <f>IF(ISNUMBER(SEARCH("|",IMDB_Movies!$D368)),LEFT(IMDB_Movies!$D368,SEARCH("|",IMDB_Movies!$D368)-1),IMDB_Movies!$D368)</f>
        <v>Action</v>
      </c>
      <c r="V368" s="2"/>
      <c r="W368" s="2"/>
    </row>
    <row r="369" spans="1:23" ht="12.5" x14ac:dyDescent="0.25">
      <c r="A369" s="2" t="s">
        <v>618</v>
      </c>
      <c r="B369" s="2">
        <v>114</v>
      </c>
      <c r="C369" s="2">
        <v>26871</v>
      </c>
      <c r="D369" s="2" t="s">
        <v>125</v>
      </c>
      <c r="E369" s="2" t="s">
        <v>802</v>
      </c>
      <c r="F369" s="2" t="s">
        <v>14</v>
      </c>
      <c r="G369" s="2" t="s">
        <v>287</v>
      </c>
      <c r="H369" s="2">
        <v>92000000</v>
      </c>
      <c r="I369" s="2">
        <v>7</v>
      </c>
      <c r="J369" s="2">
        <f t="shared" si="2"/>
        <v>-91973129</v>
      </c>
      <c r="K369" s="2">
        <f t="shared" si="3"/>
        <v>1.6455587791475098E-2</v>
      </c>
      <c r="L369" s="2" t="str">
        <f>IF(ISNUMBER(SEARCH("|",IMDB_Movies!$D369)),LEFT(IMDB_Movies!$D369,SEARCH("|",IMDB_Movies!$D369)-1),IMDB_Movies!$D369)</f>
        <v>Action</v>
      </c>
      <c r="V369" s="2"/>
      <c r="W369" s="2"/>
    </row>
    <row r="370" spans="1:23" ht="12.5" x14ac:dyDescent="0.25">
      <c r="A370" s="2" t="s">
        <v>803</v>
      </c>
      <c r="B370" s="2">
        <v>114</v>
      </c>
      <c r="C370" s="2">
        <v>60874615</v>
      </c>
      <c r="D370" s="2" t="s">
        <v>431</v>
      </c>
      <c r="E370" s="2" t="s">
        <v>804</v>
      </c>
      <c r="F370" s="2" t="s">
        <v>14</v>
      </c>
      <c r="G370" s="2" t="s">
        <v>15</v>
      </c>
      <c r="H370" s="2">
        <v>90000000</v>
      </c>
      <c r="I370" s="2">
        <v>5.6</v>
      </c>
      <c r="J370" s="2">
        <f t="shared" si="2"/>
        <v>-29125385</v>
      </c>
      <c r="K370" s="2">
        <f t="shared" si="3"/>
        <v>1.6513242475320631E-2</v>
      </c>
      <c r="L370" s="2" t="str">
        <f>IF(ISNUMBER(SEARCH("|",IMDB_Movies!$D370)),LEFT(IMDB_Movies!$D370,SEARCH("|",IMDB_Movies!$D370)-1),IMDB_Movies!$D370)</f>
        <v>Adventure</v>
      </c>
      <c r="V370" s="2"/>
      <c r="W370" s="2"/>
    </row>
    <row r="371" spans="1:23" ht="12.5" x14ac:dyDescent="0.25">
      <c r="A371" s="2" t="s">
        <v>466</v>
      </c>
      <c r="B371" s="2">
        <v>96</v>
      </c>
      <c r="C371" s="2">
        <v>143618384</v>
      </c>
      <c r="D371" s="2" t="s">
        <v>467</v>
      </c>
      <c r="E371" s="2" t="s">
        <v>805</v>
      </c>
      <c r="F371" s="2" t="s">
        <v>14</v>
      </c>
      <c r="G371" s="2" t="s">
        <v>15</v>
      </c>
      <c r="H371" s="2">
        <v>90000000</v>
      </c>
      <c r="I371" s="2">
        <v>7</v>
      </c>
      <c r="J371" s="2">
        <f t="shared" si="2"/>
        <v>53618384</v>
      </c>
      <c r="K371" s="2">
        <f t="shared" si="3"/>
        <v>1.6482228743680955E-2</v>
      </c>
      <c r="L371" s="2" t="str">
        <f>IF(ISNUMBER(SEARCH("|",IMDB_Movies!$D371)),LEFT(IMDB_Movies!$D371,SEARCH("|",IMDB_Movies!$D371)-1),IMDB_Movies!$D371)</f>
        <v>Adventure</v>
      </c>
      <c r="V371" s="2"/>
      <c r="W371" s="2"/>
    </row>
    <row r="372" spans="1:23" ht="12.5" x14ac:dyDescent="0.25">
      <c r="A372" s="2" t="s">
        <v>458</v>
      </c>
      <c r="B372" s="2">
        <v>132</v>
      </c>
      <c r="C372" s="2">
        <v>58220776</v>
      </c>
      <c r="D372" s="2" t="s">
        <v>806</v>
      </c>
      <c r="E372" s="2" t="s">
        <v>807</v>
      </c>
      <c r="F372" s="2" t="s">
        <v>14</v>
      </c>
      <c r="G372" s="2" t="s">
        <v>15</v>
      </c>
      <c r="H372" s="2">
        <v>100000000</v>
      </c>
      <c r="I372" s="2">
        <v>6.8</v>
      </c>
      <c r="J372" s="2">
        <f t="shared" si="2"/>
        <v>-41779224</v>
      </c>
      <c r="K372" s="2">
        <f t="shared" si="3"/>
        <v>1.6345048084700473E-2</v>
      </c>
      <c r="L372" s="2" t="str">
        <f>IF(ISNUMBER(SEARCH("|",IMDB_Movies!$D372)),LEFT(IMDB_Movies!$D372,SEARCH("|",IMDB_Movies!$D372)-1),IMDB_Movies!$D372)</f>
        <v>Comedy</v>
      </c>
      <c r="V372" s="2"/>
      <c r="W372" s="2"/>
    </row>
    <row r="373" spans="1:23" ht="12.5" x14ac:dyDescent="0.25">
      <c r="A373" s="2" t="s">
        <v>808</v>
      </c>
      <c r="B373" s="2">
        <v>104</v>
      </c>
      <c r="C373" s="2">
        <v>47474112</v>
      </c>
      <c r="D373" s="2" t="s">
        <v>504</v>
      </c>
      <c r="E373" s="2" t="s">
        <v>809</v>
      </c>
      <c r="F373" s="2" t="s">
        <v>14</v>
      </c>
      <c r="G373" s="2" t="s">
        <v>15</v>
      </c>
      <c r="H373" s="2">
        <v>90000000</v>
      </c>
      <c r="I373" s="2">
        <v>5.4</v>
      </c>
      <c r="J373" s="2">
        <f t="shared" si="2"/>
        <v>-42525888</v>
      </c>
      <c r="K373" s="2">
        <f t="shared" si="3"/>
        <v>1.6312562522720873E-2</v>
      </c>
      <c r="L373" s="2" t="str">
        <f>IF(ISNUMBER(SEARCH("|",IMDB_Movies!$D373)),LEFT(IMDB_Movies!$D373,SEARCH("|",IMDB_Movies!$D373)-1),IMDB_Movies!$D373)</f>
        <v>Action</v>
      </c>
      <c r="V373" s="2"/>
      <c r="W373" s="2"/>
    </row>
    <row r="374" spans="1:23" ht="12.5" x14ac:dyDescent="0.25">
      <c r="A374" s="2" t="s">
        <v>810</v>
      </c>
      <c r="B374" s="2">
        <v>111</v>
      </c>
      <c r="C374" s="2">
        <v>42877165</v>
      </c>
      <c r="D374" s="2" t="s">
        <v>177</v>
      </c>
      <c r="E374" s="2" t="s">
        <v>811</v>
      </c>
      <c r="F374" s="2" t="s">
        <v>14</v>
      </c>
      <c r="G374" s="2" t="s">
        <v>15</v>
      </c>
      <c r="H374" s="2">
        <v>86000000</v>
      </c>
      <c r="I374" s="2">
        <v>6.1</v>
      </c>
      <c r="J374" s="2">
        <f t="shared" si="2"/>
        <v>-43122835</v>
      </c>
      <c r="K374" s="2">
        <f t="shared" si="3"/>
        <v>1.6299928958423554E-2</v>
      </c>
      <c r="L374" s="2" t="str">
        <f>IF(ISNUMBER(SEARCH("|",IMDB_Movies!$D374)),LEFT(IMDB_Movies!$D374,SEARCH("|",IMDB_Movies!$D374)-1),IMDB_Movies!$D374)</f>
        <v>Action</v>
      </c>
      <c r="V374" s="2"/>
      <c r="W374" s="2"/>
    </row>
    <row r="375" spans="1:23" ht="12.5" x14ac:dyDescent="0.25">
      <c r="A375" s="2" t="s">
        <v>812</v>
      </c>
      <c r="B375" s="2">
        <v>138</v>
      </c>
      <c r="C375" s="2">
        <v>35168677</v>
      </c>
      <c r="D375" s="2" t="s">
        <v>779</v>
      </c>
      <c r="E375" s="2" t="s">
        <v>813</v>
      </c>
      <c r="F375" s="2" t="s">
        <v>14</v>
      </c>
      <c r="G375" s="2" t="s">
        <v>22</v>
      </c>
      <c r="H375" s="2">
        <v>100000000</v>
      </c>
      <c r="I375" s="2">
        <v>6.7</v>
      </c>
      <c r="J375" s="2">
        <f t="shared" si="2"/>
        <v>-64831323</v>
      </c>
      <c r="K375" s="2">
        <f t="shared" si="3"/>
        <v>1.629415903691632E-2</v>
      </c>
      <c r="L375" s="2" t="str">
        <f>IF(ISNUMBER(SEARCH("|",IMDB_Movies!$D375)),LEFT(IMDB_Movies!$D375,SEARCH("|",IMDB_Movies!$D375)-1),IMDB_Movies!$D375)</f>
        <v>Drama</v>
      </c>
      <c r="V375" s="2"/>
      <c r="W375" s="2"/>
    </row>
    <row r="376" spans="1:23" ht="12.5" x14ac:dyDescent="0.25">
      <c r="A376" s="2" t="s">
        <v>814</v>
      </c>
      <c r="B376" s="2">
        <v>129</v>
      </c>
      <c r="C376" s="2">
        <v>37567440</v>
      </c>
      <c r="D376" s="2" t="s">
        <v>71</v>
      </c>
      <c r="E376" s="2" t="s">
        <v>815</v>
      </c>
      <c r="F376" s="2" t="s">
        <v>14</v>
      </c>
      <c r="G376" s="2" t="s">
        <v>15</v>
      </c>
      <c r="H376" s="2">
        <v>20000000</v>
      </c>
      <c r="I376" s="2">
        <v>6.9</v>
      </c>
      <c r="J376" s="2">
        <f t="shared" si="2"/>
        <v>17567440</v>
      </c>
      <c r="K376" s="2">
        <f t="shared" si="3"/>
        <v>1.6299693054997427E-2</v>
      </c>
      <c r="L376" s="2" t="str">
        <f>IF(ISNUMBER(SEARCH("|",IMDB_Movies!$D376)),LEFT(IMDB_Movies!$D376,SEARCH("|",IMDB_Movies!$D376)-1),IMDB_Movies!$D376)</f>
        <v>Adventure</v>
      </c>
      <c r="V376" s="2"/>
      <c r="W376" s="2"/>
    </row>
    <row r="377" spans="1:23" ht="12.5" x14ac:dyDescent="0.25">
      <c r="A377" s="2" t="s">
        <v>314</v>
      </c>
      <c r="B377" s="2">
        <v>144</v>
      </c>
      <c r="C377" s="2">
        <v>61644321</v>
      </c>
      <c r="D377" s="2" t="s">
        <v>585</v>
      </c>
      <c r="E377" s="2" t="s">
        <v>816</v>
      </c>
      <c r="F377" s="2" t="s">
        <v>14</v>
      </c>
      <c r="G377" s="2" t="s">
        <v>15</v>
      </c>
      <c r="H377" s="2">
        <v>88000000</v>
      </c>
      <c r="I377" s="2">
        <v>8</v>
      </c>
      <c r="J377" s="2">
        <f t="shared" si="2"/>
        <v>-26355679</v>
      </c>
      <c r="K377" s="2">
        <f t="shared" si="3"/>
        <v>1.6299404263496721E-2</v>
      </c>
      <c r="L377" s="2" t="str">
        <f>IF(ISNUMBER(SEARCH("|",IMDB_Movies!$D377)),LEFT(IMDB_Movies!$D377,SEARCH("|",IMDB_Movies!$D377)-1),IMDB_Movies!$D377)</f>
        <v>Biography</v>
      </c>
      <c r="V377" s="2"/>
      <c r="W377" s="2"/>
    </row>
    <row r="378" spans="1:23" ht="12.5" x14ac:dyDescent="0.25">
      <c r="A378" s="2" t="s">
        <v>817</v>
      </c>
      <c r="B378" s="2">
        <v>110</v>
      </c>
      <c r="C378" s="2">
        <v>190562</v>
      </c>
      <c r="D378" s="2" t="s">
        <v>818</v>
      </c>
      <c r="E378" s="2" t="s">
        <v>819</v>
      </c>
      <c r="F378" s="2" t="s">
        <v>14</v>
      </c>
      <c r="G378" s="2" t="s">
        <v>22</v>
      </c>
      <c r="H378" s="2">
        <v>90000000</v>
      </c>
      <c r="I378" s="2">
        <v>4.4000000000000004</v>
      </c>
      <c r="J378" s="2">
        <f t="shared" si="2"/>
        <v>-89809438</v>
      </c>
      <c r="K378" s="2">
        <f t="shared" si="3"/>
        <v>1.6268364408825089E-2</v>
      </c>
      <c r="L378" s="2" t="str">
        <f>IF(ISNUMBER(SEARCH("|",IMDB_Movies!$D378)),LEFT(IMDB_Movies!$D378,SEARCH("|",IMDB_Movies!$D378)-1),IMDB_Movies!$D378)</f>
        <v>Action</v>
      </c>
      <c r="V378" s="2"/>
      <c r="W378" s="2"/>
    </row>
    <row r="379" spans="1:23" ht="12.5" x14ac:dyDescent="0.25">
      <c r="A379" s="2" t="s">
        <v>820</v>
      </c>
      <c r="B379" s="2">
        <v>140</v>
      </c>
      <c r="C379" s="2">
        <v>120147445</v>
      </c>
      <c r="D379" s="2" t="s">
        <v>821</v>
      </c>
      <c r="E379" s="2" t="s">
        <v>822</v>
      </c>
      <c r="F379" s="2" t="s">
        <v>14</v>
      </c>
      <c r="G379" s="2" t="s">
        <v>15</v>
      </c>
      <c r="H379" s="2">
        <v>87000000</v>
      </c>
      <c r="I379" s="2">
        <v>7.3</v>
      </c>
      <c r="J379" s="2">
        <f t="shared" si="2"/>
        <v>33147445</v>
      </c>
      <c r="K379" s="2">
        <f t="shared" si="3"/>
        <v>1.632390995616096E-2</v>
      </c>
      <c r="L379" s="2" t="str">
        <f>IF(ISNUMBER(SEARCH("|",IMDB_Movies!$D379)),LEFT(IMDB_Movies!$D379,SEARCH("|",IMDB_Movies!$D379)-1),IMDB_Movies!$D379)</f>
        <v>Drama</v>
      </c>
      <c r="V379" s="2"/>
      <c r="W379" s="2"/>
    </row>
    <row r="380" spans="1:23" ht="12.5" x14ac:dyDescent="0.25">
      <c r="A380" s="2" t="s">
        <v>574</v>
      </c>
      <c r="B380" s="2">
        <v>113</v>
      </c>
      <c r="C380" s="2">
        <v>241688385</v>
      </c>
      <c r="D380" s="2" t="s">
        <v>267</v>
      </c>
      <c r="E380" s="2" t="s">
        <v>823</v>
      </c>
      <c r="F380" s="2" t="s">
        <v>14</v>
      </c>
      <c r="G380" s="2" t="s">
        <v>15</v>
      </c>
      <c r="H380" s="2">
        <v>92000000</v>
      </c>
      <c r="I380" s="2">
        <v>6.3</v>
      </c>
      <c r="J380" s="2">
        <f t="shared" si="2"/>
        <v>149688385</v>
      </c>
      <c r="K380" s="2">
        <f t="shared" si="3"/>
        <v>1.6221270830485218E-2</v>
      </c>
      <c r="L380" s="2" t="str">
        <f>IF(ISNUMBER(SEARCH("|",IMDB_Movies!$D380)),LEFT(IMDB_Movies!$D380,SEARCH("|",IMDB_Movies!$D380)-1),IMDB_Movies!$D380)</f>
        <v>Action</v>
      </c>
      <c r="V380" s="2"/>
      <c r="W380" s="2"/>
    </row>
    <row r="381" spans="1:23" ht="12.5" x14ac:dyDescent="0.25">
      <c r="A381" s="2" t="s">
        <v>160</v>
      </c>
      <c r="B381" s="2">
        <v>143</v>
      </c>
      <c r="C381" s="2">
        <v>233630478</v>
      </c>
      <c r="D381" s="2" t="s">
        <v>824</v>
      </c>
      <c r="E381" s="2" t="s">
        <v>825</v>
      </c>
      <c r="F381" s="2" t="s">
        <v>14</v>
      </c>
      <c r="G381" s="2" t="s">
        <v>15</v>
      </c>
      <c r="H381" s="2">
        <v>90000000</v>
      </c>
      <c r="I381" s="2">
        <v>7.7</v>
      </c>
      <c r="J381" s="2">
        <f t="shared" si="2"/>
        <v>143630478</v>
      </c>
      <c r="K381" s="2">
        <f t="shared" si="3"/>
        <v>1.5963655723951687E-2</v>
      </c>
      <c r="L381" s="2" t="str">
        <f>IF(ISNUMBER(SEARCH("|",IMDB_Movies!$D381)),LEFT(IMDB_Movies!$D381,SEARCH("|",IMDB_Movies!$D381)-1),IMDB_Movies!$D381)</f>
        <v>Adventure</v>
      </c>
      <c r="V381" s="2"/>
      <c r="W381" s="2"/>
    </row>
    <row r="382" spans="1:23" ht="12.5" x14ac:dyDescent="0.25">
      <c r="A382" s="2" t="s">
        <v>312</v>
      </c>
      <c r="B382" s="2">
        <v>108</v>
      </c>
      <c r="C382" s="2">
        <v>197992827</v>
      </c>
      <c r="D382" s="2" t="s">
        <v>826</v>
      </c>
      <c r="E382" s="2" t="s">
        <v>827</v>
      </c>
      <c r="F382" s="2" t="s">
        <v>14</v>
      </c>
      <c r="G382" s="2" t="s">
        <v>15</v>
      </c>
      <c r="H382" s="2">
        <v>100000000</v>
      </c>
      <c r="I382" s="2">
        <v>6.5</v>
      </c>
      <c r="J382" s="2">
        <f t="shared" si="2"/>
        <v>97992827</v>
      </c>
      <c r="K382" s="2">
        <f t="shared" si="3"/>
        <v>1.5723446356340088E-2</v>
      </c>
      <c r="L382" s="2" t="str">
        <f>IF(ISNUMBER(SEARCH("|",IMDB_Movies!$D382)),LEFT(IMDB_Movies!$D382,SEARCH("|",IMDB_Movies!$D382)-1),IMDB_Movies!$D382)</f>
        <v>Animation</v>
      </c>
      <c r="V382" s="2"/>
      <c r="W382" s="2"/>
    </row>
    <row r="383" spans="1:23" ht="12.5" x14ac:dyDescent="0.25">
      <c r="A383" s="2" t="s">
        <v>424</v>
      </c>
      <c r="B383" s="2">
        <v>108</v>
      </c>
      <c r="C383" s="2">
        <v>176049130</v>
      </c>
      <c r="D383" s="2" t="s">
        <v>425</v>
      </c>
      <c r="E383" s="2" t="s">
        <v>828</v>
      </c>
      <c r="F383" s="2" t="s">
        <v>14</v>
      </c>
      <c r="G383" s="2" t="s">
        <v>15</v>
      </c>
      <c r="H383" s="2">
        <v>75000000</v>
      </c>
      <c r="I383" s="2">
        <v>7.8</v>
      </c>
      <c r="J383" s="2">
        <f t="shared" si="2"/>
        <v>101049130</v>
      </c>
      <c r="K383" s="2">
        <f t="shared" si="3"/>
        <v>1.5479724382761755E-2</v>
      </c>
      <c r="L383" s="2" t="str">
        <f>IF(ISNUMBER(SEARCH("|",IMDB_Movies!$D383)),LEFT(IMDB_Movies!$D383,SEARCH("|",IMDB_Movies!$D383)-1),IMDB_Movies!$D383)</f>
        <v>Action</v>
      </c>
      <c r="V383" s="2"/>
      <c r="W383" s="2"/>
    </row>
    <row r="384" spans="1:23" ht="12.5" x14ac:dyDescent="0.25">
      <c r="A384" s="2" t="s">
        <v>266</v>
      </c>
      <c r="B384" s="2">
        <v>124</v>
      </c>
      <c r="C384" s="2">
        <v>172620724</v>
      </c>
      <c r="D384" s="2" t="s">
        <v>267</v>
      </c>
      <c r="E384" s="2" t="s">
        <v>829</v>
      </c>
      <c r="F384" s="2" t="s">
        <v>14</v>
      </c>
      <c r="G384" s="2" t="s">
        <v>15</v>
      </c>
      <c r="H384" s="2">
        <v>85000000</v>
      </c>
      <c r="I384" s="2">
        <v>6.4</v>
      </c>
      <c r="J384" s="2">
        <f t="shared" si="2"/>
        <v>87620724</v>
      </c>
      <c r="K384" s="2">
        <f t="shared" si="3"/>
        <v>1.5354424595116921E-2</v>
      </c>
      <c r="L384" s="2" t="str">
        <f>IF(ISNUMBER(SEARCH("|",IMDB_Movies!$D384)),LEFT(IMDB_Movies!$D384,SEARCH("|",IMDB_Movies!$D384)-1),IMDB_Movies!$D384)</f>
        <v>Action</v>
      </c>
      <c r="V384" s="2"/>
      <c r="W384" s="2"/>
    </row>
    <row r="385" spans="1:23" ht="12.5" x14ac:dyDescent="0.25">
      <c r="A385" s="2" t="s">
        <v>549</v>
      </c>
      <c r="B385" s="2">
        <v>116</v>
      </c>
      <c r="C385" s="2">
        <v>183405771</v>
      </c>
      <c r="D385" s="2" t="s">
        <v>550</v>
      </c>
      <c r="E385" s="2" t="s">
        <v>830</v>
      </c>
      <c r="F385" s="2" t="s">
        <v>14</v>
      </c>
      <c r="G385" s="2" t="s">
        <v>15</v>
      </c>
      <c r="H385" s="2">
        <v>85000000</v>
      </c>
      <c r="I385" s="2">
        <v>7.8</v>
      </c>
      <c r="J385" s="2">
        <f t="shared" si="2"/>
        <v>98405771</v>
      </c>
      <c r="K385" s="2">
        <f t="shared" si="3"/>
        <v>1.5196888008918379E-2</v>
      </c>
      <c r="L385" s="2" t="str">
        <f>IF(ISNUMBER(SEARCH("|",IMDB_Movies!$D385)),LEFT(IMDB_Movies!$D385,SEARCH("|",IMDB_Movies!$D385)-1),IMDB_Movies!$D385)</f>
        <v>Crime</v>
      </c>
      <c r="V385" s="2"/>
      <c r="W385" s="2"/>
    </row>
    <row r="386" spans="1:23" ht="12.5" x14ac:dyDescent="0.25">
      <c r="A386" s="2" t="s">
        <v>831</v>
      </c>
      <c r="B386" s="2">
        <v>110</v>
      </c>
      <c r="C386" s="2">
        <v>20315324</v>
      </c>
      <c r="D386" s="2" t="s">
        <v>40</v>
      </c>
      <c r="E386" s="2" t="s">
        <v>832</v>
      </c>
      <c r="F386" s="2" t="s">
        <v>14</v>
      </c>
      <c r="G386" s="2" t="s">
        <v>287</v>
      </c>
      <c r="H386" s="2">
        <v>75000000</v>
      </c>
      <c r="I386" s="2">
        <v>5.8</v>
      </c>
      <c r="J386" s="2">
        <f t="shared" si="2"/>
        <v>-54684676</v>
      </c>
      <c r="K386" s="2">
        <f t="shared" si="3"/>
        <v>1.5027699789663925E-2</v>
      </c>
      <c r="L386" s="2" t="str">
        <f>IF(ISNUMBER(SEARCH("|",IMDB_Movies!$D386)),LEFT(IMDB_Movies!$D386,SEARCH("|",IMDB_Movies!$D386)-1),IMDB_Movies!$D386)</f>
        <v>Action</v>
      </c>
      <c r="V386" s="2"/>
      <c r="W386" s="2"/>
    </row>
    <row r="387" spans="1:23" ht="12.5" x14ac:dyDescent="0.25">
      <c r="A387" s="2" t="s">
        <v>833</v>
      </c>
      <c r="B387" s="2">
        <v>91</v>
      </c>
      <c r="C387" s="2">
        <v>148313048</v>
      </c>
      <c r="D387" s="2" t="s">
        <v>296</v>
      </c>
      <c r="E387" s="2" t="s">
        <v>834</v>
      </c>
      <c r="F387" s="2" t="s">
        <v>14</v>
      </c>
      <c r="G387" s="2" t="s">
        <v>15</v>
      </c>
      <c r="H387" s="2">
        <v>85000000</v>
      </c>
      <c r="I387" s="2">
        <v>7.1</v>
      </c>
      <c r="J387" s="2">
        <f t="shared" si="2"/>
        <v>63313048</v>
      </c>
      <c r="K387" s="2">
        <f t="shared" si="3"/>
        <v>1.5046613634681743E-2</v>
      </c>
      <c r="L387" s="2" t="str">
        <f>IF(ISNUMBER(SEARCH("|",IMDB_Movies!$D387)),LEFT(IMDB_Movies!$D387,SEARCH("|",IMDB_Movies!$D387)-1),IMDB_Movies!$D387)</f>
        <v>Animation</v>
      </c>
      <c r="V387" s="2"/>
      <c r="W387" s="2"/>
    </row>
    <row r="388" spans="1:23" ht="12.5" x14ac:dyDescent="0.25">
      <c r="A388" s="2" t="s">
        <v>835</v>
      </c>
      <c r="B388" s="2">
        <v>107</v>
      </c>
      <c r="C388" s="2">
        <v>127706877</v>
      </c>
      <c r="D388" s="2" t="s">
        <v>836</v>
      </c>
      <c r="E388" s="2" t="s">
        <v>837</v>
      </c>
      <c r="F388" s="2" t="s">
        <v>14</v>
      </c>
      <c r="G388" s="2" t="s">
        <v>15</v>
      </c>
      <c r="H388" s="2">
        <v>85000000</v>
      </c>
      <c r="I388" s="2">
        <v>7.1</v>
      </c>
      <c r="J388" s="2">
        <f t="shared" si="2"/>
        <v>42706877</v>
      </c>
      <c r="K388" s="2">
        <f t="shared" si="3"/>
        <v>1.491432830679593E-2</v>
      </c>
      <c r="L388" s="2" t="str">
        <f>IF(ISNUMBER(SEARCH("|",IMDB_Movies!$D388)),LEFT(IMDB_Movies!$D388,SEARCH("|",IMDB_Movies!$D388)-1),IMDB_Movies!$D388)</f>
        <v>Animation</v>
      </c>
      <c r="V388" s="2"/>
      <c r="W388" s="2"/>
    </row>
    <row r="389" spans="1:23" ht="12.5" x14ac:dyDescent="0.25">
      <c r="A389" s="2" t="s">
        <v>838</v>
      </c>
      <c r="B389" s="2">
        <v>115</v>
      </c>
      <c r="C389" s="2">
        <v>126149655</v>
      </c>
      <c r="D389" s="2" t="s">
        <v>440</v>
      </c>
      <c r="E389" s="2" t="s">
        <v>839</v>
      </c>
      <c r="F389" s="2" t="s">
        <v>14</v>
      </c>
      <c r="G389" s="2" t="s">
        <v>15</v>
      </c>
      <c r="H389" s="2">
        <v>85000000</v>
      </c>
      <c r="I389" s="2">
        <v>6.8</v>
      </c>
      <c r="J389" s="2">
        <f t="shared" si="2"/>
        <v>41149655</v>
      </c>
      <c r="K389" s="2">
        <f t="shared" si="3"/>
        <v>1.4804864658792667E-2</v>
      </c>
      <c r="L389" s="2" t="str">
        <f>IF(ISNUMBER(SEARCH("|",IMDB_Movies!$D389)),LEFT(IMDB_Movies!$D389,SEARCH("|",IMDB_Movies!$D389)-1),IMDB_Movies!$D389)</f>
        <v>Action</v>
      </c>
      <c r="V389" s="2"/>
      <c r="W389" s="2"/>
    </row>
    <row r="390" spans="1:23" ht="12.5" x14ac:dyDescent="0.25">
      <c r="A390" s="2" t="s">
        <v>835</v>
      </c>
      <c r="B390" s="2">
        <v>100</v>
      </c>
      <c r="C390" s="2">
        <v>66941559</v>
      </c>
      <c r="D390" s="2" t="s">
        <v>840</v>
      </c>
      <c r="E390" s="2" t="s">
        <v>841</v>
      </c>
      <c r="F390" s="2" t="s">
        <v>14</v>
      </c>
      <c r="G390" s="2" t="s">
        <v>15</v>
      </c>
      <c r="H390" s="2">
        <v>85000000</v>
      </c>
      <c r="I390" s="2">
        <v>4.8</v>
      </c>
      <c r="J390" s="2">
        <f t="shared" si="2"/>
        <v>-18058441</v>
      </c>
      <c r="K390" s="2">
        <f t="shared" si="3"/>
        <v>1.4697008497226249E-2</v>
      </c>
      <c r="L390" s="2" t="str">
        <f>IF(ISNUMBER(SEARCH("|",IMDB_Movies!$D390)),LEFT(IMDB_Movies!$D390,SEARCH("|",IMDB_Movies!$D390)-1),IMDB_Movies!$D390)</f>
        <v>Adventure</v>
      </c>
      <c r="V390" s="2"/>
      <c r="W390" s="2"/>
    </row>
    <row r="391" spans="1:23" ht="12.5" x14ac:dyDescent="0.25">
      <c r="A391" s="2" t="s">
        <v>101</v>
      </c>
      <c r="B391" s="2">
        <v>104</v>
      </c>
      <c r="C391" s="2">
        <v>78009155</v>
      </c>
      <c r="D391" s="2" t="s">
        <v>623</v>
      </c>
      <c r="E391" s="2" t="s">
        <v>842</v>
      </c>
      <c r="F391" s="2" t="s">
        <v>14</v>
      </c>
      <c r="G391" s="2" t="s">
        <v>15</v>
      </c>
      <c r="H391" s="2">
        <v>75000000</v>
      </c>
      <c r="I391" s="2">
        <v>6.2</v>
      </c>
      <c r="J391" s="2">
        <f t="shared" si="2"/>
        <v>3009155</v>
      </c>
      <c r="K391" s="2">
        <f t="shared" si="3"/>
        <v>1.4660035928367314E-2</v>
      </c>
      <c r="L391" s="2" t="str">
        <f>IF(ISNUMBER(SEARCH("|",IMDB_Movies!$D391)),LEFT(IMDB_Movies!$D391,SEARCH("|",IMDB_Movies!$D391)-1),IMDB_Movies!$D391)</f>
        <v>Action</v>
      </c>
      <c r="V391" s="2"/>
      <c r="W391" s="2"/>
    </row>
    <row r="392" spans="1:23" ht="12.5" x14ac:dyDescent="0.25">
      <c r="A392" s="2" t="s">
        <v>843</v>
      </c>
      <c r="B392" s="2">
        <v>138</v>
      </c>
      <c r="C392" s="2">
        <v>63224849</v>
      </c>
      <c r="D392" s="2" t="s">
        <v>600</v>
      </c>
      <c r="E392" s="2" t="s">
        <v>844</v>
      </c>
      <c r="F392" s="2" t="s">
        <v>14</v>
      </c>
      <c r="G392" s="2" t="s">
        <v>15</v>
      </c>
      <c r="H392" s="2">
        <v>85000000</v>
      </c>
      <c r="I392" s="2">
        <v>6.9</v>
      </c>
      <c r="J392" s="2">
        <f t="shared" si="2"/>
        <v>-21775151</v>
      </c>
      <c r="K392" s="2">
        <f t="shared" si="3"/>
        <v>1.4619569310555924E-2</v>
      </c>
      <c r="L392" s="2" t="str">
        <f>IF(ISNUMBER(SEARCH("|",IMDB_Movies!$D392)),LEFT(IMDB_Movies!$D392,SEARCH("|",IMDB_Movies!$D392)-1),IMDB_Movies!$D392)</f>
        <v>Comedy</v>
      </c>
      <c r="V392" s="2"/>
      <c r="W392" s="2"/>
    </row>
    <row r="393" spans="1:23" ht="12.5" x14ac:dyDescent="0.25">
      <c r="A393" s="2" t="s">
        <v>618</v>
      </c>
      <c r="B393" s="2">
        <v>140</v>
      </c>
      <c r="C393" s="2">
        <v>111544445</v>
      </c>
      <c r="D393" s="2" t="s">
        <v>845</v>
      </c>
      <c r="E393" s="2" t="s">
        <v>846</v>
      </c>
      <c r="F393" s="2" t="s">
        <v>14</v>
      </c>
      <c r="G393" s="2" t="s">
        <v>15</v>
      </c>
      <c r="H393" s="2">
        <v>90000000</v>
      </c>
      <c r="I393" s="2">
        <v>7.3</v>
      </c>
      <c r="J393" s="2">
        <f t="shared" si="2"/>
        <v>21544445</v>
      </c>
      <c r="K393" s="2">
        <f t="shared" si="3"/>
        <v>1.4587217482895471E-2</v>
      </c>
      <c r="L393" s="2" t="str">
        <f>IF(ISNUMBER(SEARCH("|",IMDB_Movies!$D393)),LEFT(IMDB_Movies!$D393,SEARCH("|",IMDB_Movies!$D393)-1),IMDB_Movies!$D393)</f>
        <v>Action</v>
      </c>
      <c r="V393" s="2"/>
      <c r="W393" s="2"/>
    </row>
    <row r="394" spans="1:23" ht="12.5" x14ac:dyDescent="0.25">
      <c r="A394" s="2" t="s">
        <v>843</v>
      </c>
      <c r="B394" s="2">
        <v>120</v>
      </c>
      <c r="C394" s="2">
        <v>112703470</v>
      </c>
      <c r="D394" s="2" t="s">
        <v>514</v>
      </c>
      <c r="E394" s="2" t="s">
        <v>847</v>
      </c>
      <c r="F394" s="2" t="s">
        <v>14</v>
      </c>
      <c r="G394" s="2" t="s">
        <v>15</v>
      </c>
      <c r="H394" s="2">
        <v>85000000</v>
      </c>
      <c r="I394" s="2">
        <v>6.6</v>
      </c>
      <c r="J394" s="2">
        <f t="shared" si="2"/>
        <v>27703470</v>
      </c>
      <c r="K394" s="2">
        <f t="shared" si="3"/>
        <v>1.4486477179006495E-2</v>
      </c>
      <c r="L394" s="2" t="str">
        <f>IF(ISNUMBER(SEARCH("|",IMDB_Movies!$D394)),LEFT(IMDB_Movies!$D394,SEARCH("|",IMDB_Movies!$D394)-1),IMDB_Movies!$D394)</f>
        <v>Comedy</v>
      </c>
      <c r="V394" s="2"/>
      <c r="W394" s="2"/>
    </row>
    <row r="395" spans="1:23" ht="12.5" x14ac:dyDescent="0.25">
      <c r="A395" s="2" t="s">
        <v>549</v>
      </c>
      <c r="B395" s="2">
        <v>122</v>
      </c>
      <c r="C395" s="2">
        <v>117144465</v>
      </c>
      <c r="D395" s="2" t="s">
        <v>550</v>
      </c>
      <c r="E395" s="2" t="s">
        <v>848</v>
      </c>
      <c r="F395" s="2" t="s">
        <v>14</v>
      </c>
      <c r="G395" s="2" t="s">
        <v>15</v>
      </c>
      <c r="H395" s="2">
        <v>85000000</v>
      </c>
      <c r="I395" s="2">
        <v>6.9</v>
      </c>
      <c r="J395" s="2">
        <f t="shared" si="2"/>
        <v>32144465</v>
      </c>
      <c r="K395" s="2">
        <f t="shared" si="3"/>
        <v>1.4393738361660536E-2</v>
      </c>
      <c r="L395" s="2" t="str">
        <f>IF(ISNUMBER(SEARCH("|",IMDB_Movies!$D395)),LEFT(IMDB_Movies!$D395,SEARCH("|",IMDB_Movies!$D395)-1),IMDB_Movies!$D395)</f>
        <v>Crime</v>
      </c>
      <c r="V395" s="2"/>
      <c r="W395" s="2"/>
    </row>
    <row r="396" spans="1:23" ht="12.5" x14ac:dyDescent="0.25">
      <c r="A396" s="2" t="s">
        <v>849</v>
      </c>
      <c r="B396" s="2">
        <v>83</v>
      </c>
      <c r="C396" s="2">
        <v>84303558</v>
      </c>
      <c r="D396" s="2" t="s">
        <v>181</v>
      </c>
      <c r="E396" s="2" t="s">
        <v>850</v>
      </c>
      <c r="F396" s="2" t="s">
        <v>14</v>
      </c>
      <c r="G396" s="2" t="s">
        <v>15</v>
      </c>
      <c r="H396" s="2">
        <v>85000000</v>
      </c>
      <c r="I396" s="2">
        <v>6.2</v>
      </c>
      <c r="J396" s="2">
        <f t="shared" si="2"/>
        <v>-696442</v>
      </c>
      <c r="K396" s="2">
        <f t="shared" si="3"/>
        <v>1.4295673923137121E-2</v>
      </c>
      <c r="L396" s="2" t="str">
        <f>IF(ISNUMBER(SEARCH("|",IMDB_Movies!$D396)),LEFT(IMDB_Movies!$D396,SEARCH("|",IMDB_Movies!$D396)-1),IMDB_Movies!$D396)</f>
        <v>Adventure</v>
      </c>
      <c r="V396" s="2"/>
      <c r="W396" s="2"/>
    </row>
    <row r="397" spans="1:23" ht="12.5" x14ac:dyDescent="0.25">
      <c r="A397" s="2" t="s">
        <v>851</v>
      </c>
      <c r="B397" s="2">
        <v>139</v>
      </c>
      <c r="C397" s="2">
        <v>150832203</v>
      </c>
      <c r="D397" s="2" t="s">
        <v>500</v>
      </c>
      <c r="E397" s="2" t="s">
        <v>852</v>
      </c>
      <c r="F397" s="2" t="s">
        <v>14</v>
      </c>
      <c r="G397" s="2" t="s">
        <v>15</v>
      </c>
      <c r="H397" s="2">
        <v>85000000</v>
      </c>
      <c r="I397" s="2">
        <v>6.7</v>
      </c>
      <c r="J397" s="2">
        <f t="shared" si="2"/>
        <v>65832203</v>
      </c>
      <c r="K397" s="2">
        <f t="shared" si="3"/>
        <v>1.423685456544853E-2</v>
      </c>
      <c r="L397" s="2" t="str">
        <f>IF(ISNUMBER(SEARCH("|",IMDB_Movies!$D397)),LEFT(IMDB_Movies!$D397,SEARCH("|",IMDB_Movies!$D397)-1),IMDB_Movies!$D397)</f>
        <v>Adventure</v>
      </c>
      <c r="V397" s="2"/>
      <c r="W397" s="2"/>
    </row>
    <row r="398" spans="1:23" ht="12.5" x14ac:dyDescent="0.25">
      <c r="A398" s="2" t="s">
        <v>853</v>
      </c>
      <c r="B398" s="2">
        <v>131</v>
      </c>
      <c r="C398" s="2">
        <v>51396781</v>
      </c>
      <c r="D398" s="2" t="s">
        <v>706</v>
      </c>
      <c r="E398" s="2" t="s">
        <v>854</v>
      </c>
      <c r="F398" s="2" t="s">
        <v>14</v>
      </c>
      <c r="G398" s="2" t="s">
        <v>15</v>
      </c>
      <c r="H398" s="2">
        <v>68000000</v>
      </c>
      <c r="I398" s="2">
        <v>7.6</v>
      </c>
      <c r="J398" s="2">
        <f t="shared" si="2"/>
        <v>-16603219</v>
      </c>
      <c r="K398" s="2">
        <f t="shared" si="3"/>
        <v>1.4100108820415107E-2</v>
      </c>
      <c r="L398" s="2" t="str">
        <f>IF(ISNUMBER(SEARCH("|",IMDB_Movies!$D398)),LEFT(IMDB_Movies!$D398,SEARCH("|",IMDB_Movies!$D398)-1),IMDB_Movies!$D398)</f>
        <v>Drama</v>
      </c>
      <c r="V398" s="2"/>
      <c r="W398" s="2"/>
    </row>
    <row r="399" spans="1:23" ht="12.5" x14ac:dyDescent="0.25">
      <c r="A399" s="2" t="s">
        <v>89</v>
      </c>
      <c r="B399" s="2">
        <v>104</v>
      </c>
      <c r="C399" s="2">
        <v>47592825</v>
      </c>
      <c r="D399" s="2" t="s">
        <v>398</v>
      </c>
      <c r="E399" s="2" t="s">
        <v>855</v>
      </c>
      <c r="F399" s="2" t="s">
        <v>14</v>
      </c>
      <c r="G399" s="2" t="s">
        <v>15</v>
      </c>
      <c r="H399" s="2">
        <v>85000000</v>
      </c>
      <c r="I399" s="2">
        <v>6.7</v>
      </c>
      <c r="J399" s="2">
        <f t="shared" si="2"/>
        <v>-37407175</v>
      </c>
      <c r="K399" s="2">
        <f t="shared" si="3"/>
        <v>1.4088483453520262E-2</v>
      </c>
      <c r="L399" s="2" t="str">
        <f>IF(ISNUMBER(SEARCH("|",IMDB_Movies!$D399)),LEFT(IMDB_Movies!$D399,SEARCH("|",IMDB_Movies!$D399)-1),IMDB_Movies!$D399)</f>
        <v>Action</v>
      </c>
      <c r="V399" s="2"/>
      <c r="W399" s="2"/>
    </row>
    <row r="400" spans="1:23" ht="12.5" x14ac:dyDescent="0.25">
      <c r="A400" s="2" t="s">
        <v>477</v>
      </c>
      <c r="B400" s="2">
        <v>130</v>
      </c>
      <c r="C400" s="2">
        <v>50016394</v>
      </c>
      <c r="D400" s="2" t="s">
        <v>856</v>
      </c>
      <c r="E400" s="2" t="s">
        <v>857</v>
      </c>
      <c r="F400" s="2" t="s">
        <v>14</v>
      </c>
      <c r="G400" s="2" t="s">
        <v>15</v>
      </c>
      <c r="H400" s="2">
        <v>70000000</v>
      </c>
      <c r="I400" s="2">
        <v>6.2</v>
      </c>
      <c r="J400" s="2">
        <f t="shared" si="2"/>
        <v>-19983606</v>
      </c>
      <c r="K400" s="2">
        <f t="shared" si="3"/>
        <v>1.4075856199592977E-2</v>
      </c>
      <c r="L400" s="2" t="str">
        <f>IF(ISNUMBER(SEARCH("|",IMDB_Movies!$D400)),LEFT(IMDB_Movies!$D400,SEARCH("|",IMDB_Movies!$D400)-1),IMDB_Movies!$D400)</f>
        <v>Action</v>
      </c>
      <c r="V400" s="2"/>
      <c r="W400" s="2"/>
    </row>
    <row r="401" spans="1:23" ht="12.5" x14ac:dyDescent="0.25">
      <c r="A401" s="2" t="s">
        <v>65</v>
      </c>
      <c r="B401" s="2">
        <v>145</v>
      </c>
      <c r="C401" s="2">
        <v>57010853</v>
      </c>
      <c r="D401" s="2" t="s">
        <v>85</v>
      </c>
      <c r="E401" s="2" t="s">
        <v>858</v>
      </c>
      <c r="F401" s="2" t="s">
        <v>14</v>
      </c>
      <c r="G401" s="2" t="s">
        <v>15</v>
      </c>
      <c r="H401" s="2">
        <v>85000000</v>
      </c>
      <c r="I401" s="2">
        <v>7.3</v>
      </c>
      <c r="J401" s="2">
        <f t="shared" si="2"/>
        <v>-27989147</v>
      </c>
      <c r="K401" s="2">
        <f t="shared" si="3"/>
        <v>1.4064764785113747E-2</v>
      </c>
      <c r="L401" s="2" t="str">
        <f>IF(ISNUMBER(SEARCH("|",IMDB_Movies!$D401)),LEFT(IMDB_Movies!$D401,SEARCH("|",IMDB_Movies!$D401)-1),IMDB_Movies!$D401)</f>
        <v>Drama</v>
      </c>
      <c r="V401" s="2"/>
      <c r="W401" s="2"/>
    </row>
    <row r="402" spans="1:23" ht="12.5" x14ac:dyDescent="0.25">
      <c r="A402" s="2" t="s">
        <v>145</v>
      </c>
      <c r="B402" s="2">
        <v>104</v>
      </c>
      <c r="C402" s="2">
        <v>62494975</v>
      </c>
      <c r="D402" s="2" t="s">
        <v>125</v>
      </c>
      <c r="E402" s="2" t="s">
        <v>859</v>
      </c>
      <c r="F402" s="2" t="s">
        <v>14</v>
      </c>
      <c r="G402" s="2" t="s">
        <v>15</v>
      </c>
      <c r="H402" s="2">
        <v>85000000</v>
      </c>
      <c r="I402" s="2">
        <v>6</v>
      </c>
      <c r="J402" s="2">
        <f t="shared" si="2"/>
        <v>-22505025</v>
      </c>
      <c r="K402" s="2">
        <f t="shared" si="3"/>
        <v>1.4039988850369013E-2</v>
      </c>
      <c r="L402" s="2" t="str">
        <f>IF(ISNUMBER(SEARCH("|",IMDB_Movies!$D402)),LEFT(IMDB_Movies!$D402,SEARCH("|",IMDB_Movies!$D402)-1),IMDB_Movies!$D402)</f>
        <v>Action</v>
      </c>
      <c r="V402" s="2"/>
      <c r="W402" s="2"/>
    </row>
    <row r="403" spans="1:23" ht="12.5" x14ac:dyDescent="0.25">
      <c r="A403" s="2" t="s">
        <v>860</v>
      </c>
      <c r="B403" s="2">
        <v>97</v>
      </c>
      <c r="C403" s="2">
        <v>46440491</v>
      </c>
      <c r="D403" s="2" t="s">
        <v>106</v>
      </c>
      <c r="E403" s="2" t="s">
        <v>861</v>
      </c>
      <c r="F403" s="2" t="s">
        <v>14</v>
      </c>
      <c r="G403" s="2" t="s">
        <v>22</v>
      </c>
      <c r="H403" s="2">
        <v>100000000</v>
      </c>
      <c r="I403" s="2">
        <v>7.1</v>
      </c>
      <c r="J403" s="2">
        <f t="shared" si="2"/>
        <v>-53559509</v>
      </c>
      <c r="K403" s="2">
        <f t="shared" si="3"/>
        <v>1.4008200770634536E-2</v>
      </c>
      <c r="L403" s="2" t="str">
        <f>IF(ISNUMBER(SEARCH("|",IMDB_Movies!$D403)),LEFT(IMDB_Movies!$D403,SEARCH("|",IMDB_Movies!$D403)-1),IMDB_Movies!$D403)</f>
        <v>Adventure</v>
      </c>
      <c r="V403" s="2"/>
      <c r="W403" s="2"/>
    </row>
    <row r="404" spans="1:23" ht="12.5" x14ac:dyDescent="0.25">
      <c r="A404" s="2" t="s">
        <v>862</v>
      </c>
      <c r="B404" s="2">
        <v>178</v>
      </c>
      <c r="C404" s="2">
        <v>44606335</v>
      </c>
      <c r="D404" s="2" t="s">
        <v>256</v>
      </c>
      <c r="E404" s="2" t="s">
        <v>863</v>
      </c>
      <c r="F404" s="2" t="s">
        <v>14</v>
      </c>
      <c r="G404" s="2" t="s">
        <v>15</v>
      </c>
      <c r="H404" s="2">
        <v>90000000</v>
      </c>
      <c r="I404" s="2">
        <v>7.1</v>
      </c>
      <c r="J404" s="2">
        <f t="shared" si="2"/>
        <v>-45393665</v>
      </c>
      <c r="K404" s="2">
        <f t="shared" si="3"/>
        <v>1.399374658003771E-2</v>
      </c>
      <c r="L404" s="2" t="str">
        <f>IF(ISNUMBER(SEARCH("|",IMDB_Movies!$D404)),LEFT(IMDB_Movies!$D404,SEARCH("|",IMDB_Movies!$D404)-1),IMDB_Movies!$D404)</f>
        <v>Drama</v>
      </c>
      <c r="V404" s="2"/>
      <c r="W404" s="2"/>
    </row>
    <row r="405" spans="1:23" ht="12.5" x14ac:dyDescent="0.25">
      <c r="A405" s="2" t="s">
        <v>864</v>
      </c>
      <c r="B405" s="2">
        <v>108</v>
      </c>
      <c r="C405" s="2">
        <v>40048332</v>
      </c>
      <c r="D405" s="2" t="s">
        <v>342</v>
      </c>
      <c r="E405" s="2" t="s">
        <v>865</v>
      </c>
      <c r="F405" s="2" t="s">
        <v>14</v>
      </c>
      <c r="G405" s="2" t="s">
        <v>15</v>
      </c>
      <c r="H405" s="2">
        <v>85000000</v>
      </c>
      <c r="I405" s="2">
        <v>5.5</v>
      </c>
      <c r="J405" s="2">
        <f t="shared" si="2"/>
        <v>-44951668</v>
      </c>
      <c r="K405" s="2">
        <f t="shared" si="3"/>
        <v>1.3984095095394411E-2</v>
      </c>
      <c r="L405" s="2" t="str">
        <f>IF(ISNUMBER(SEARCH("|",IMDB_Movies!$D405)),LEFT(IMDB_Movies!$D405,SEARCH("|",IMDB_Movies!$D405)-1),IMDB_Movies!$D405)</f>
        <v>Action</v>
      </c>
      <c r="V405" s="2"/>
      <c r="W405" s="2"/>
    </row>
    <row r="406" spans="1:23" ht="12.5" x14ac:dyDescent="0.25">
      <c r="A406" s="2" t="s">
        <v>866</v>
      </c>
      <c r="B406" s="2">
        <v>106</v>
      </c>
      <c r="C406" s="2">
        <v>64933670</v>
      </c>
      <c r="D406" s="2" t="s">
        <v>867</v>
      </c>
      <c r="E406" s="2" t="s">
        <v>868</v>
      </c>
      <c r="F406" s="2" t="s">
        <v>14</v>
      </c>
      <c r="G406" s="2" t="s">
        <v>15</v>
      </c>
      <c r="H406" s="2">
        <v>85000000</v>
      </c>
      <c r="I406" s="2">
        <v>5.6</v>
      </c>
      <c r="J406" s="2">
        <f t="shared" si="2"/>
        <v>-20066330</v>
      </c>
      <c r="K406" s="2">
        <f t="shared" si="3"/>
        <v>1.3981257473493098E-2</v>
      </c>
      <c r="L406" s="2" t="str">
        <f>IF(ISNUMBER(SEARCH("|",IMDB_Movies!$D406)),LEFT(IMDB_Movies!$D406,SEARCH("|",IMDB_Movies!$D406)-1),IMDB_Movies!$D406)</f>
        <v>Adventure</v>
      </c>
      <c r="V406" s="2"/>
      <c r="W406" s="2"/>
    </row>
    <row r="407" spans="1:23" ht="12.5" x14ac:dyDescent="0.25">
      <c r="A407" s="2" t="s">
        <v>869</v>
      </c>
      <c r="B407" s="2">
        <v>112</v>
      </c>
      <c r="C407" s="2">
        <v>31494270</v>
      </c>
      <c r="D407" s="2" t="s">
        <v>870</v>
      </c>
      <c r="E407" s="2" t="s">
        <v>871</v>
      </c>
      <c r="F407" s="2" t="s">
        <v>14</v>
      </c>
      <c r="G407" s="2" t="s">
        <v>15</v>
      </c>
      <c r="H407" s="2">
        <v>60000000</v>
      </c>
      <c r="I407" s="2">
        <v>7.5</v>
      </c>
      <c r="J407" s="2">
        <f t="shared" si="2"/>
        <v>-28505730</v>
      </c>
      <c r="K407" s="2">
        <f t="shared" si="3"/>
        <v>1.3946307514240731E-2</v>
      </c>
      <c r="L407" s="2" t="str">
        <f>IF(ISNUMBER(SEARCH("|",IMDB_Movies!$D407)),LEFT(IMDB_Movies!$D407,SEARCH("|",IMDB_Movies!$D407)-1),IMDB_Movies!$D407)</f>
        <v>Action</v>
      </c>
      <c r="V407" s="2"/>
      <c r="W407" s="2"/>
    </row>
    <row r="408" spans="1:23" ht="12.5" x14ac:dyDescent="0.25">
      <c r="A408" s="2" t="s">
        <v>872</v>
      </c>
      <c r="B408" s="2">
        <v>135</v>
      </c>
      <c r="C408" s="2">
        <v>31111260</v>
      </c>
      <c r="D408" s="2" t="s">
        <v>90</v>
      </c>
      <c r="E408" s="2" t="s">
        <v>873</v>
      </c>
      <c r="F408" s="2" t="s">
        <v>14</v>
      </c>
      <c r="G408" s="2" t="s">
        <v>15</v>
      </c>
      <c r="H408" s="2">
        <v>60000000</v>
      </c>
      <c r="I408" s="2">
        <v>5.4</v>
      </c>
      <c r="J408" s="2">
        <f t="shared" si="2"/>
        <v>-28888740</v>
      </c>
      <c r="K408" s="2">
        <f t="shared" si="3"/>
        <v>1.3950592331404268E-2</v>
      </c>
      <c r="L408" s="2" t="str">
        <f>IF(ISNUMBER(SEARCH("|",IMDB_Movies!$D408)),LEFT(IMDB_Movies!$D408,SEARCH("|",IMDB_Movies!$D408)-1),IMDB_Movies!$D408)</f>
        <v>Action</v>
      </c>
      <c r="V408" s="2"/>
      <c r="W408" s="2"/>
    </row>
    <row r="409" spans="1:23" ht="12.5" x14ac:dyDescent="0.25">
      <c r="A409" s="2" t="s">
        <v>874</v>
      </c>
      <c r="B409" s="2">
        <v>109</v>
      </c>
      <c r="C409" s="2">
        <v>123307945</v>
      </c>
      <c r="D409" s="2" t="s">
        <v>875</v>
      </c>
      <c r="E409" s="2" t="s">
        <v>876</v>
      </c>
      <c r="F409" s="2" t="s">
        <v>14</v>
      </c>
      <c r="G409" s="2" t="s">
        <v>15</v>
      </c>
      <c r="H409" s="2">
        <v>65000000</v>
      </c>
      <c r="I409" s="2">
        <v>4.3</v>
      </c>
      <c r="J409" s="2">
        <f t="shared" si="2"/>
        <v>58307945</v>
      </c>
      <c r="K409" s="2">
        <f t="shared" si="3"/>
        <v>1.395514054043023E-2</v>
      </c>
      <c r="L409" s="2" t="str">
        <f>IF(ISNUMBER(SEARCH("|",IMDB_Movies!$D409)),LEFT(IMDB_Movies!$D409,SEARCH("|",IMDB_Movies!$D409)-1),IMDB_Movies!$D409)</f>
        <v>Comedy</v>
      </c>
      <c r="V409" s="2"/>
      <c r="W409" s="2"/>
    </row>
    <row r="410" spans="1:23" ht="12.5" x14ac:dyDescent="0.25">
      <c r="A410" s="2" t="s">
        <v>564</v>
      </c>
      <c r="B410" s="2">
        <v>86</v>
      </c>
      <c r="C410" s="2">
        <v>153288182</v>
      </c>
      <c r="D410" s="2" t="s">
        <v>877</v>
      </c>
      <c r="E410" s="2" t="s">
        <v>878</v>
      </c>
      <c r="F410" s="2" t="s">
        <v>14</v>
      </c>
      <c r="G410" s="2" t="s">
        <v>15</v>
      </c>
      <c r="H410" s="2">
        <v>84000000</v>
      </c>
      <c r="I410" s="2">
        <v>4.9000000000000004</v>
      </c>
      <c r="J410" s="2">
        <f t="shared" si="2"/>
        <v>69288182</v>
      </c>
      <c r="K410" s="2">
        <f t="shared" si="3"/>
        <v>1.3893229578511352E-2</v>
      </c>
      <c r="L410" s="2" t="str">
        <f>IF(ISNUMBER(SEARCH("|",IMDB_Movies!$D410)),LEFT(IMDB_Movies!$D410,SEARCH("|",IMDB_Movies!$D410)-1),IMDB_Movies!$D410)</f>
        <v>Adventure</v>
      </c>
      <c r="V410" s="2"/>
      <c r="W410" s="2"/>
    </row>
    <row r="411" spans="1:23" ht="12.5" x14ac:dyDescent="0.25">
      <c r="A411" s="2" t="s">
        <v>879</v>
      </c>
      <c r="B411" s="2">
        <v>95</v>
      </c>
      <c r="C411" s="2">
        <v>13401683</v>
      </c>
      <c r="D411" s="2" t="s">
        <v>246</v>
      </c>
      <c r="E411" s="2" t="s">
        <v>880</v>
      </c>
      <c r="F411" s="2" t="s">
        <v>14</v>
      </c>
      <c r="G411" s="2" t="s">
        <v>22</v>
      </c>
      <c r="H411" s="2">
        <v>35000000</v>
      </c>
      <c r="I411" s="2">
        <v>7.1</v>
      </c>
      <c r="J411" s="2">
        <f t="shared" si="2"/>
        <v>-21598317</v>
      </c>
      <c r="K411" s="2">
        <f t="shared" si="3"/>
        <v>1.375565241372971E-2</v>
      </c>
      <c r="L411" s="2" t="str">
        <f>IF(ISNUMBER(SEARCH("|",IMDB_Movies!$D411)),LEFT(IMDB_Movies!$D411,SEARCH("|",IMDB_Movies!$D411)-1),IMDB_Movies!$D411)</f>
        <v>Action</v>
      </c>
      <c r="V411" s="2"/>
      <c r="W411" s="2"/>
    </row>
    <row r="412" spans="1:23" ht="12.5" x14ac:dyDescent="0.25">
      <c r="A412" s="2" t="s">
        <v>581</v>
      </c>
      <c r="B412" s="2">
        <v>107</v>
      </c>
      <c r="C412" s="2">
        <v>137340146</v>
      </c>
      <c r="D412" s="2" t="s">
        <v>881</v>
      </c>
      <c r="E412" s="2" t="s">
        <v>882</v>
      </c>
      <c r="F412" s="2" t="s">
        <v>14</v>
      </c>
      <c r="G412" s="2" t="s">
        <v>15</v>
      </c>
      <c r="H412" s="2">
        <v>70000000</v>
      </c>
      <c r="I412" s="2">
        <v>6.4</v>
      </c>
      <c r="J412" s="2">
        <f t="shared" si="2"/>
        <v>67340146</v>
      </c>
      <c r="K412" s="2">
        <f t="shared" si="3"/>
        <v>1.3756732373363532E-2</v>
      </c>
      <c r="L412" s="2" t="str">
        <f>IF(ISNUMBER(SEARCH("|",IMDB_Movies!$D412)),LEFT(IMDB_Movies!$D412,SEARCH("|",IMDB_Movies!$D412)-1),IMDB_Movies!$D412)</f>
        <v>Comedy</v>
      </c>
      <c r="V412" s="2"/>
      <c r="W412" s="2"/>
    </row>
    <row r="413" spans="1:23" ht="12.5" x14ac:dyDescent="0.25">
      <c r="A413" s="2" t="s">
        <v>544</v>
      </c>
      <c r="B413" s="2">
        <v>82</v>
      </c>
      <c r="C413" s="2">
        <v>43575716</v>
      </c>
      <c r="D413" s="2" t="s">
        <v>883</v>
      </c>
      <c r="E413" s="2" t="s">
        <v>884</v>
      </c>
      <c r="F413" s="2" t="s">
        <v>14</v>
      </c>
      <c r="G413" s="2" t="s">
        <v>15</v>
      </c>
      <c r="H413" s="2">
        <v>85000000</v>
      </c>
      <c r="I413" s="2">
        <v>4.3</v>
      </c>
      <c r="J413" s="2">
        <f t="shared" si="2"/>
        <v>-41424284</v>
      </c>
      <c r="K413" s="2">
        <f t="shared" si="3"/>
        <v>1.3672662979127528E-2</v>
      </c>
      <c r="L413" s="2" t="str">
        <f>IF(ISNUMBER(SEARCH("|",IMDB_Movies!$D413)),LEFT(IMDB_Movies!$D413,SEARCH("|",IMDB_Movies!$D413)-1),IMDB_Movies!$D413)</f>
        <v>Action</v>
      </c>
      <c r="V413" s="2"/>
      <c r="W413" s="2"/>
    </row>
    <row r="414" spans="1:23" ht="12.5" x14ac:dyDescent="0.25">
      <c r="A414" s="2" t="s">
        <v>206</v>
      </c>
      <c r="B414" s="2">
        <v>88</v>
      </c>
      <c r="C414" s="2">
        <v>80170146</v>
      </c>
      <c r="D414" s="2" t="s">
        <v>90</v>
      </c>
      <c r="E414" s="2" t="s">
        <v>885</v>
      </c>
      <c r="F414" s="2" t="s">
        <v>14</v>
      </c>
      <c r="G414" s="2" t="s">
        <v>15</v>
      </c>
      <c r="H414" s="2">
        <v>85000000</v>
      </c>
      <c r="I414" s="2">
        <v>6.1</v>
      </c>
      <c r="J414" s="2">
        <f t="shared" si="2"/>
        <v>-4829854</v>
      </c>
      <c r="K414" s="2">
        <f t="shared" si="3"/>
        <v>1.3665065859444438E-2</v>
      </c>
      <c r="L414" s="2" t="str">
        <f>IF(ISNUMBER(SEARCH("|",IMDB_Movies!$D414)),LEFT(IMDB_Movies!$D414,SEARCH("|",IMDB_Movies!$D414)-1),IMDB_Movies!$D414)</f>
        <v>Action</v>
      </c>
      <c r="V414" s="2"/>
      <c r="W414" s="2"/>
    </row>
    <row r="415" spans="1:23" ht="12.5" x14ac:dyDescent="0.25">
      <c r="A415" s="2" t="s">
        <v>138</v>
      </c>
      <c r="B415" s="2">
        <v>120</v>
      </c>
      <c r="C415" s="2">
        <v>75754670</v>
      </c>
      <c r="D415" s="2" t="s">
        <v>886</v>
      </c>
      <c r="E415" s="2" t="s">
        <v>887</v>
      </c>
      <c r="F415" s="2" t="s">
        <v>14</v>
      </c>
      <c r="G415" s="2" t="s">
        <v>15</v>
      </c>
      <c r="H415" s="2">
        <v>85000000</v>
      </c>
      <c r="I415" s="2">
        <v>7</v>
      </c>
      <c r="J415" s="2">
        <f t="shared" si="2"/>
        <v>-9245330</v>
      </c>
      <c r="K415" s="2">
        <f t="shared" si="3"/>
        <v>1.3610646036732012E-2</v>
      </c>
      <c r="L415" s="2" t="str">
        <f>IF(ISNUMBER(SEARCH("|",IMDB_Movies!$D415)),LEFT(IMDB_Movies!$D415,SEARCH("|",IMDB_Movies!$D415)-1),IMDB_Movies!$D415)</f>
        <v>Action</v>
      </c>
      <c r="V415" s="2"/>
      <c r="W415" s="2"/>
    </row>
    <row r="416" spans="1:23" ht="12.5" x14ac:dyDescent="0.25">
      <c r="A416" s="2" t="s">
        <v>255</v>
      </c>
      <c r="B416" s="2">
        <v>162</v>
      </c>
      <c r="C416" s="2">
        <v>33048353</v>
      </c>
      <c r="D416" s="2" t="s">
        <v>888</v>
      </c>
      <c r="E416" s="2" t="s">
        <v>889</v>
      </c>
      <c r="F416" s="2" t="s">
        <v>14</v>
      </c>
      <c r="G416" s="2" t="s">
        <v>15</v>
      </c>
      <c r="H416" s="2">
        <v>65000000</v>
      </c>
      <c r="I416" s="2">
        <v>7.7</v>
      </c>
      <c r="J416" s="2">
        <f t="shared" si="2"/>
        <v>-31951647</v>
      </c>
      <c r="K416" s="2">
        <f t="shared" si="3"/>
        <v>1.3561711977387205E-2</v>
      </c>
      <c r="L416" s="2" t="str">
        <f>IF(ISNUMBER(SEARCH("|",IMDB_Movies!$D416)),LEFT(IMDB_Movies!$D416,SEARCH("|",IMDB_Movies!$D416)-1),IMDB_Movies!$D416)</f>
        <v>Crime</v>
      </c>
      <c r="V416" s="2"/>
      <c r="W416" s="2"/>
    </row>
    <row r="417" spans="1:23" ht="12.5" x14ac:dyDescent="0.25">
      <c r="A417" s="2" t="s">
        <v>546</v>
      </c>
      <c r="B417" s="2">
        <v>123</v>
      </c>
      <c r="C417" s="2">
        <v>34543701</v>
      </c>
      <c r="D417" s="2" t="s">
        <v>589</v>
      </c>
      <c r="E417" s="2" t="s">
        <v>890</v>
      </c>
      <c r="F417" s="2" t="s">
        <v>14</v>
      </c>
      <c r="G417" s="2" t="s">
        <v>15</v>
      </c>
      <c r="H417" s="2">
        <v>82000000</v>
      </c>
      <c r="I417" s="2">
        <v>5.9</v>
      </c>
      <c r="J417" s="2">
        <f t="shared" si="2"/>
        <v>-47456299</v>
      </c>
      <c r="K417" s="2">
        <f t="shared" si="3"/>
        <v>1.3565502825802513E-2</v>
      </c>
      <c r="L417" s="2" t="str">
        <f>IF(ISNUMBER(SEARCH("|",IMDB_Movies!$D417)),LEFT(IMDB_Movies!$D417,SEARCH("|",IMDB_Movies!$D417)-1),IMDB_Movies!$D417)</f>
        <v>Action</v>
      </c>
      <c r="V417" s="2"/>
      <c r="W417" s="2"/>
    </row>
    <row r="418" spans="1:23" ht="12.5" x14ac:dyDescent="0.25">
      <c r="A418" s="2" t="s">
        <v>203</v>
      </c>
      <c r="B418" s="2">
        <v>101</v>
      </c>
      <c r="C418" s="2">
        <v>242589580</v>
      </c>
      <c r="D418" s="2" t="s">
        <v>891</v>
      </c>
      <c r="E418" s="2" t="s">
        <v>892</v>
      </c>
      <c r="F418" s="2" t="s">
        <v>14</v>
      </c>
      <c r="G418" s="2" t="s">
        <v>15</v>
      </c>
      <c r="H418" s="2">
        <v>81000000</v>
      </c>
      <c r="I418" s="2">
        <v>6.7</v>
      </c>
      <c r="J418" s="2">
        <f t="shared" si="2"/>
        <v>161589580</v>
      </c>
      <c r="K418" s="2">
        <f t="shared" si="3"/>
        <v>1.3569527200120238E-2</v>
      </c>
      <c r="L418" s="2" t="str">
        <f>IF(ISNUMBER(SEARCH("|",IMDB_Movies!$D418)),LEFT(IMDB_Movies!$D418,SEARCH("|",IMDB_Movies!$D418)-1),IMDB_Movies!$D418)</f>
        <v>Comedy</v>
      </c>
      <c r="V418" s="2"/>
      <c r="W418" s="2"/>
    </row>
    <row r="419" spans="1:23" ht="12.5" x14ac:dyDescent="0.25">
      <c r="A419" s="2" t="s">
        <v>893</v>
      </c>
      <c r="B419" s="2">
        <v>113</v>
      </c>
      <c r="C419" s="2">
        <v>102981571</v>
      </c>
      <c r="D419" s="2" t="s">
        <v>20</v>
      </c>
      <c r="E419" s="2" t="s">
        <v>894</v>
      </c>
      <c r="F419" s="2" t="s">
        <v>14</v>
      </c>
      <c r="G419" s="2" t="s">
        <v>15</v>
      </c>
      <c r="H419" s="2">
        <v>80000000</v>
      </c>
      <c r="I419" s="2">
        <v>6.5</v>
      </c>
      <c r="J419" s="2">
        <f t="shared" si="2"/>
        <v>22981571</v>
      </c>
      <c r="K419" s="2">
        <f t="shared" si="3"/>
        <v>1.3355330380222144E-2</v>
      </c>
      <c r="L419" s="2" t="str">
        <f>IF(ISNUMBER(SEARCH("|",IMDB_Movies!$D419)),LEFT(IMDB_Movies!$D419,SEARCH("|",IMDB_Movies!$D419)-1),IMDB_Movies!$D419)</f>
        <v>Action</v>
      </c>
      <c r="V419" s="2"/>
      <c r="W419" s="2"/>
    </row>
    <row r="420" spans="1:23" ht="12.5" x14ac:dyDescent="0.25">
      <c r="A420" s="2" t="s">
        <v>803</v>
      </c>
      <c r="B420" s="2">
        <v>110</v>
      </c>
      <c r="C420" s="2">
        <v>180965237</v>
      </c>
      <c r="D420" s="2" t="s">
        <v>20</v>
      </c>
      <c r="E420" s="2" t="s">
        <v>895</v>
      </c>
      <c r="F420" s="2" t="s">
        <v>14</v>
      </c>
      <c r="G420" s="2" t="s">
        <v>15</v>
      </c>
      <c r="H420" s="2">
        <v>80000000</v>
      </c>
      <c r="I420" s="2">
        <v>7.1</v>
      </c>
      <c r="J420" s="2">
        <f t="shared" si="2"/>
        <v>100965237</v>
      </c>
      <c r="K420" s="2">
        <f t="shared" si="3"/>
        <v>1.3280836576126871E-2</v>
      </c>
      <c r="L420" s="2" t="str">
        <f>IF(ISNUMBER(SEARCH("|",IMDB_Movies!$D420)),LEFT(IMDB_Movies!$D420,SEARCH("|",IMDB_Movies!$D420)-1),IMDB_Movies!$D420)</f>
        <v>Action</v>
      </c>
      <c r="V420" s="2"/>
      <c r="W420" s="2"/>
    </row>
    <row r="421" spans="1:23" ht="12.5" x14ac:dyDescent="0.25">
      <c r="A421" s="2" t="s">
        <v>820</v>
      </c>
      <c r="B421" s="2">
        <v>142</v>
      </c>
      <c r="C421" s="2">
        <v>407999255</v>
      </c>
      <c r="D421" s="2" t="s">
        <v>534</v>
      </c>
      <c r="E421" s="2" t="s">
        <v>896</v>
      </c>
      <c r="F421" s="2" t="s">
        <v>14</v>
      </c>
      <c r="G421" s="2" t="s">
        <v>15</v>
      </c>
      <c r="H421" s="2">
        <v>78000000</v>
      </c>
      <c r="I421" s="2">
        <v>7.3</v>
      </c>
      <c r="J421" s="2">
        <f t="shared" si="2"/>
        <v>329999255</v>
      </c>
      <c r="K421" s="2">
        <f t="shared" si="3"/>
        <v>1.3126458963698727E-2</v>
      </c>
      <c r="L421" s="2" t="str">
        <f>IF(ISNUMBER(SEARCH("|",IMDB_Movies!$D421)),LEFT(IMDB_Movies!$D421,SEARCH("|",IMDB_Movies!$D421)-1),IMDB_Movies!$D421)</f>
        <v>Adventure</v>
      </c>
      <c r="V421" s="2"/>
      <c r="W421" s="2"/>
    </row>
    <row r="422" spans="1:23" ht="12.5" x14ac:dyDescent="0.25">
      <c r="A422" s="2" t="s">
        <v>897</v>
      </c>
      <c r="B422" s="2">
        <v>102</v>
      </c>
      <c r="C422" s="2">
        <v>254455986</v>
      </c>
      <c r="D422" s="2" t="s">
        <v>709</v>
      </c>
      <c r="E422" s="2" t="s">
        <v>898</v>
      </c>
      <c r="F422" s="2" t="s">
        <v>14</v>
      </c>
      <c r="G422" s="2" t="s">
        <v>15</v>
      </c>
      <c r="H422" s="2">
        <v>80000000</v>
      </c>
      <c r="I422" s="2">
        <v>6.5</v>
      </c>
      <c r="J422" s="2">
        <f t="shared" si="2"/>
        <v>174455986</v>
      </c>
      <c r="K422" s="2">
        <f t="shared" si="3"/>
        <v>1.2814106880863346E-2</v>
      </c>
      <c r="L422" s="2" t="str">
        <f>IF(ISNUMBER(SEARCH("|",IMDB_Movies!$D422)),LEFT(IMDB_Movies!$D422,SEARCH("|",IMDB_Movies!$D422)-1),IMDB_Movies!$D422)</f>
        <v>Comedy</v>
      </c>
      <c r="V422" s="2"/>
      <c r="W422" s="2"/>
    </row>
    <row r="423" spans="1:23" ht="12.5" x14ac:dyDescent="0.25">
      <c r="A423" s="2" t="s">
        <v>99</v>
      </c>
      <c r="B423" s="2">
        <v>126</v>
      </c>
      <c r="C423" s="2">
        <v>162831698</v>
      </c>
      <c r="D423" s="2" t="s">
        <v>483</v>
      </c>
      <c r="E423" s="2" t="s">
        <v>899</v>
      </c>
      <c r="F423" s="2" t="s">
        <v>14</v>
      </c>
      <c r="G423" s="2" t="s">
        <v>15</v>
      </c>
      <c r="H423" s="2">
        <v>80000000</v>
      </c>
      <c r="I423" s="2">
        <v>7</v>
      </c>
      <c r="J423" s="2">
        <f t="shared" si="2"/>
        <v>82831698</v>
      </c>
      <c r="K423" s="2">
        <f t="shared" si="3"/>
        <v>1.2590101092955915E-2</v>
      </c>
      <c r="L423" s="2" t="str">
        <f>IF(ISNUMBER(SEARCH("|",IMDB_Movies!$D423)),LEFT(IMDB_Movies!$D423,SEARCH("|",IMDB_Movies!$D423)-1),IMDB_Movies!$D423)</f>
        <v>Action</v>
      </c>
      <c r="V423" s="2"/>
      <c r="W423" s="2"/>
    </row>
    <row r="424" spans="1:23" ht="12.5" x14ac:dyDescent="0.25">
      <c r="A424" s="2" t="s">
        <v>433</v>
      </c>
      <c r="B424" s="2">
        <v>83</v>
      </c>
      <c r="C424" s="2">
        <v>155019340</v>
      </c>
      <c r="D424" s="2" t="s">
        <v>181</v>
      </c>
      <c r="E424" s="2" t="s">
        <v>900</v>
      </c>
      <c r="F424" s="2" t="s">
        <v>14</v>
      </c>
      <c r="G424" s="2" t="s">
        <v>15</v>
      </c>
      <c r="H424" s="2">
        <v>80000000</v>
      </c>
      <c r="I424" s="2">
        <v>6.8</v>
      </c>
      <c r="J424" s="2">
        <f t="shared" si="2"/>
        <v>75019340</v>
      </c>
      <c r="K424" s="2">
        <f t="shared" si="3"/>
        <v>1.2450679100039616E-2</v>
      </c>
      <c r="L424" s="2" t="str">
        <f>IF(ISNUMBER(SEARCH("|",IMDB_Movies!$D424)),LEFT(IMDB_Movies!$D424,SEARCH("|",IMDB_Movies!$D424)-1),IMDB_Movies!$D424)</f>
        <v>Adventure</v>
      </c>
      <c r="V424" s="2"/>
      <c r="W424" s="2"/>
    </row>
    <row r="425" spans="1:23" ht="12.5" x14ac:dyDescent="0.25">
      <c r="A425" s="2" t="s">
        <v>243</v>
      </c>
      <c r="B425" s="2">
        <v>85</v>
      </c>
      <c r="C425" s="2">
        <v>145771527</v>
      </c>
      <c r="D425" s="2" t="s">
        <v>901</v>
      </c>
      <c r="E425" s="2" t="s">
        <v>902</v>
      </c>
      <c r="F425" s="2" t="s">
        <v>14</v>
      </c>
      <c r="G425" s="2" t="s">
        <v>15</v>
      </c>
      <c r="H425" s="2">
        <v>80000000</v>
      </c>
      <c r="I425" s="2">
        <v>7.2</v>
      </c>
      <c r="J425" s="2">
        <f t="shared" si="2"/>
        <v>65771527</v>
      </c>
      <c r="K425" s="2">
        <f t="shared" si="3"/>
        <v>1.2318874149393821E-2</v>
      </c>
      <c r="L425" s="2" t="str">
        <f>IF(ISNUMBER(SEARCH("|",IMDB_Movies!$D425)),LEFT(IMDB_Movies!$D425,SEARCH("|",IMDB_Movies!$D425)-1),IMDB_Movies!$D425)</f>
        <v>Adventure</v>
      </c>
      <c r="V425" s="2"/>
      <c r="W425" s="2"/>
    </row>
    <row r="426" spans="1:23" ht="12.5" x14ac:dyDescent="0.25">
      <c r="A426" s="2" t="s">
        <v>903</v>
      </c>
      <c r="B426" s="2">
        <v>120</v>
      </c>
      <c r="C426" s="2">
        <v>140459099</v>
      </c>
      <c r="D426" s="2" t="s">
        <v>904</v>
      </c>
      <c r="E426" s="2" t="s">
        <v>905</v>
      </c>
      <c r="F426" s="2" t="s">
        <v>14</v>
      </c>
      <c r="G426" s="2" t="s">
        <v>15</v>
      </c>
      <c r="H426" s="2">
        <v>75000000</v>
      </c>
      <c r="I426" s="2">
        <v>6.1</v>
      </c>
      <c r="J426" s="2">
        <f t="shared" si="2"/>
        <v>65459099</v>
      </c>
      <c r="K426" s="2">
        <f t="shared" si="3"/>
        <v>1.2196354173574E-2</v>
      </c>
      <c r="L426" s="2" t="str">
        <f>IF(ISNUMBER(SEARCH("|",IMDB_Movies!$D426)),LEFT(IMDB_Movies!$D426,SEARCH("|",IMDB_Movies!$D426)-1),IMDB_Movies!$D426)</f>
        <v>Action</v>
      </c>
      <c r="V426" s="2"/>
      <c r="W426" s="2"/>
    </row>
    <row r="427" spans="1:23" ht="12.5" x14ac:dyDescent="0.25">
      <c r="A427" s="2" t="s">
        <v>374</v>
      </c>
      <c r="B427" s="2">
        <v>116</v>
      </c>
      <c r="C427" s="2">
        <v>53215979</v>
      </c>
      <c r="D427" s="2" t="s">
        <v>150</v>
      </c>
      <c r="E427" s="2" t="s">
        <v>906</v>
      </c>
      <c r="F427" s="2" t="s">
        <v>14</v>
      </c>
      <c r="G427" s="2" t="s">
        <v>15</v>
      </c>
      <c r="H427" s="2">
        <v>84000000</v>
      </c>
      <c r="I427" s="2">
        <v>6.7</v>
      </c>
      <c r="J427" s="2">
        <f t="shared" si="2"/>
        <v>-30784021</v>
      </c>
      <c r="K427" s="2">
        <f t="shared" si="3"/>
        <v>1.2092795792483029E-2</v>
      </c>
      <c r="L427" s="2" t="str">
        <f>IF(ISNUMBER(SEARCH("|",IMDB_Movies!$D427)),LEFT(IMDB_Movies!$D427,SEARCH("|",IMDB_Movies!$D427)-1),IMDB_Movies!$D427)</f>
        <v>Action</v>
      </c>
      <c r="V427" s="2"/>
      <c r="W427" s="2"/>
    </row>
    <row r="428" spans="1:23" ht="12.5" x14ac:dyDescent="0.25">
      <c r="A428" s="2" t="s">
        <v>874</v>
      </c>
      <c r="B428" s="2">
        <v>113</v>
      </c>
      <c r="C428" s="2">
        <v>158115031</v>
      </c>
      <c r="D428" s="2" t="s">
        <v>907</v>
      </c>
      <c r="E428" s="2" t="s">
        <v>908</v>
      </c>
      <c r="F428" s="2" t="s">
        <v>14</v>
      </c>
      <c r="G428" s="2" t="s">
        <v>15</v>
      </c>
      <c r="H428" s="2">
        <v>82000000</v>
      </c>
      <c r="I428" s="2">
        <v>6.4</v>
      </c>
      <c r="J428" s="2">
        <f t="shared" si="2"/>
        <v>76115031</v>
      </c>
      <c r="K428" s="2">
        <f t="shared" si="3"/>
        <v>1.2071946655954445E-2</v>
      </c>
      <c r="L428" s="2" t="str">
        <f>IF(ISNUMBER(SEARCH("|",IMDB_Movies!$D428)),LEFT(IMDB_Movies!$D428,SEARCH("|",IMDB_Movies!$D428)-1),IMDB_Movies!$D428)</f>
        <v>Comedy</v>
      </c>
      <c r="V428" s="2"/>
      <c r="W428" s="2"/>
    </row>
    <row r="429" spans="1:23" ht="12.5" x14ac:dyDescent="0.25">
      <c r="A429" s="2" t="s">
        <v>229</v>
      </c>
      <c r="B429" s="2">
        <v>87</v>
      </c>
      <c r="C429" s="2">
        <v>133103929</v>
      </c>
      <c r="D429" s="2" t="s">
        <v>777</v>
      </c>
      <c r="E429" s="2" t="s">
        <v>909</v>
      </c>
      <c r="F429" s="2" t="s">
        <v>14</v>
      </c>
      <c r="G429" s="2" t="s">
        <v>15</v>
      </c>
      <c r="H429" s="2">
        <v>75000000</v>
      </c>
      <c r="I429" s="2">
        <v>4.4000000000000004</v>
      </c>
      <c r="J429" s="2">
        <f t="shared" si="2"/>
        <v>58103929</v>
      </c>
      <c r="K429" s="2">
        <f t="shared" si="3"/>
        <v>1.1929631529196379E-2</v>
      </c>
      <c r="L429" s="2" t="str">
        <f>IF(ISNUMBER(SEARCH("|",IMDB_Movies!$D429)),LEFT(IMDB_Movies!$D429,SEARCH("|",IMDB_Movies!$D429)-1),IMDB_Movies!$D429)</f>
        <v>Adventure</v>
      </c>
      <c r="V429" s="2"/>
      <c r="W429" s="2"/>
    </row>
    <row r="430" spans="1:23" ht="12.5" x14ac:dyDescent="0.25">
      <c r="A430" s="2" t="s">
        <v>781</v>
      </c>
      <c r="B430" s="2">
        <v>101</v>
      </c>
      <c r="C430" s="2">
        <v>133668525</v>
      </c>
      <c r="D430" s="2" t="s">
        <v>709</v>
      </c>
      <c r="E430" s="2" t="s">
        <v>910</v>
      </c>
      <c r="F430" s="2" t="s">
        <v>14</v>
      </c>
      <c r="G430" s="2" t="s">
        <v>15</v>
      </c>
      <c r="H430" s="2">
        <v>80000000</v>
      </c>
      <c r="I430" s="2">
        <v>5.4</v>
      </c>
      <c r="J430" s="2">
        <f t="shared" si="2"/>
        <v>53668525</v>
      </c>
      <c r="K430" s="2">
        <f t="shared" si="3"/>
        <v>1.1832419714698866E-2</v>
      </c>
      <c r="L430" s="2" t="str">
        <f>IF(ISNUMBER(SEARCH("|",IMDB_Movies!$D430)),LEFT(IMDB_Movies!$D430,SEARCH("|",IMDB_Movies!$D430)-1),IMDB_Movies!$D430)</f>
        <v>Comedy</v>
      </c>
      <c r="V430" s="2"/>
      <c r="W430" s="2"/>
    </row>
    <row r="431" spans="1:23" ht="12.5" x14ac:dyDescent="0.25">
      <c r="A431" s="2" t="s">
        <v>874</v>
      </c>
      <c r="B431" s="2">
        <v>110</v>
      </c>
      <c r="C431" s="2">
        <v>130313314</v>
      </c>
      <c r="D431" s="2" t="s">
        <v>582</v>
      </c>
      <c r="E431" s="2" t="s">
        <v>911</v>
      </c>
      <c r="F431" s="2" t="s">
        <v>14</v>
      </c>
      <c r="G431" s="2" t="s">
        <v>15</v>
      </c>
      <c r="H431" s="2">
        <v>80000000</v>
      </c>
      <c r="I431" s="2">
        <v>6.5</v>
      </c>
      <c r="J431" s="2">
        <f t="shared" si="2"/>
        <v>50313314</v>
      </c>
      <c r="K431" s="2">
        <f t="shared" si="3"/>
        <v>1.1721728597049083E-2</v>
      </c>
      <c r="L431" s="2" t="str">
        <f>IF(ISNUMBER(SEARCH("|",IMDB_Movies!$D431)),LEFT(IMDB_Movies!$D431,SEARCH("|",IMDB_Movies!$D431)-1),IMDB_Movies!$D431)</f>
        <v>Action</v>
      </c>
      <c r="V431" s="2"/>
      <c r="W431" s="2"/>
    </row>
    <row r="432" spans="1:23" ht="12.5" x14ac:dyDescent="0.25">
      <c r="A432" s="2" t="s">
        <v>843</v>
      </c>
      <c r="B432" s="2">
        <v>128</v>
      </c>
      <c r="C432" s="2">
        <v>124590960</v>
      </c>
      <c r="D432" s="2" t="s">
        <v>514</v>
      </c>
      <c r="E432" s="2" t="s">
        <v>912</v>
      </c>
      <c r="F432" s="2" t="s">
        <v>14</v>
      </c>
      <c r="G432" s="2" t="s">
        <v>15</v>
      </c>
      <c r="H432" s="2">
        <v>80000000</v>
      </c>
      <c r="I432" s="2">
        <v>6.7</v>
      </c>
      <c r="J432" s="2">
        <f t="shared" si="2"/>
        <v>44590960</v>
      </c>
      <c r="K432" s="2">
        <f t="shared" si="3"/>
        <v>1.161445941489009E-2</v>
      </c>
      <c r="L432" s="2" t="str">
        <f>IF(ISNUMBER(SEARCH("|",IMDB_Movies!$D432)),LEFT(IMDB_Movies!$D432,SEARCH("|",IMDB_Movies!$D432)-1),IMDB_Movies!$D432)</f>
        <v>Comedy</v>
      </c>
      <c r="V432" s="2"/>
      <c r="W432" s="2"/>
    </row>
    <row r="433" spans="1:23" ht="12.5" x14ac:dyDescent="0.25">
      <c r="A433" s="2" t="s">
        <v>191</v>
      </c>
      <c r="B433" s="2">
        <v>138</v>
      </c>
      <c r="C433" s="2">
        <v>127968405</v>
      </c>
      <c r="D433" s="2" t="s">
        <v>315</v>
      </c>
      <c r="E433" s="2" t="s">
        <v>913</v>
      </c>
      <c r="F433" s="2" t="s">
        <v>14</v>
      </c>
      <c r="G433" s="2" t="s">
        <v>15</v>
      </c>
      <c r="H433" s="2">
        <v>80000000</v>
      </c>
      <c r="I433" s="2">
        <v>8.1</v>
      </c>
      <c r="J433" s="2">
        <f t="shared" si="2"/>
        <v>47968405</v>
      </c>
      <c r="K433" s="2">
        <f t="shared" si="3"/>
        <v>1.1513232652641276E-2</v>
      </c>
      <c r="L433" s="2" t="str">
        <f>IF(ISNUMBER(SEARCH("|",IMDB_Movies!$D433)),LEFT(IMDB_Movies!$D433,SEARCH("|",IMDB_Movies!$D433)-1),IMDB_Movies!$D433)</f>
        <v>Mystery</v>
      </c>
      <c r="V433" s="2"/>
      <c r="W433" s="2"/>
    </row>
    <row r="434" spans="1:23" ht="12.5" x14ac:dyDescent="0.25">
      <c r="A434" s="2" t="s">
        <v>914</v>
      </c>
      <c r="B434" s="2">
        <v>88</v>
      </c>
      <c r="C434" s="2">
        <v>120136047</v>
      </c>
      <c r="D434" s="2" t="s">
        <v>514</v>
      </c>
      <c r="E434" s="2" t="s">
        <v>915</v>
      </c>
      <c r="F434" s="2" t="s">
        <v>14</v>
      </c>
      <c r="G434" s="2" t="s">
        <v>287</v>
      </c>
      <c r="H434" s="2">
        <v>80000000</v>
      </c>
      <c r="I434" s="2">
        <v>5.6</v>
      </c>
      <c r="J434" s="2">
        <f t="shared" si="2"/>
        <v>40136047</v>
      </c>
      <c r="K434" s="2">
        <f t="shared" si="3"/>
        <v>1.1408156941904082E-2</v>
      </c>
      <c r="L434" s="2" t="str">
        <f>IF(ISNUMBER(SEARCH("|",IMDB_Movies!$D434)),LEFT(IMDB_Movies!$D434,SEARCH("|",IMDB_Movies!$D434)-1),IMDB_Movies!$D434)</f>
        <v>Comedy</v>
      </c>
      <c r="V434" s="2"/>
      <c r="W434" s="2"/>
    </row>
    <row r="435" spans="1:23" ht="12.5" x14ac:dyDescent="0.25">
      <c r="A435" s="2" t="s">
        <v>644</v>
      </c>
      <c r="B435" s="2">
        <v>91</v>
      </c>
      <c r="C435" s="2">
        <v>128200012</v>
      </c>
      <c r="D435" s="2" t="s">
        <v>238</v>
      </c>
      <c r="E435" s="2" t="s">
        <v>916</v>
      </c>
      <c r="F435" s="2" t="s">
        <v>14</v>
      </c>
      <c r="G435" s="2" t="s">
        <v>15</v>
      </c>
      <c r="H435" s="2">
        <v>75000000</v>
      </c>
      <c r="I435" s="2">
        <v>6.3</v>
      </c>
      <c r="J435" s="2">
        <f t="shared" si="2"/>
        <v>53200012</v>
      </c>
      <c r="K435" s="2">
        <f t="shared" si="3"/>
        <v>1.1311500312101416E-2</v>
      </c>
      <c r="L435" s="2" t="str">
        <f>IF(ISNUMBER(SEARCH("|",IMDB_Movies!$D435)),LEFT(IMDB_Movies!$D435,SEARCH("|",IMDB_Movies!$D435)-1),IMDB_Movies!$D435)</f>
        <v>Adventure</v>
      </c>
      <c r="V435" s="2"/>
      <c r="W435" s="2"/>
    </row>
    <row r="436" spans="1:23" ht="12.5" x14ac:dyDescent="0.25">
      <c r="A436" s="2" t="s">
        <v>487</v>
      </c>
      <c r="B436" s="2">
        <v>138</v>
      </c>
      <c r="C436" s="2">
        <v>112225777</v>
      </c>
      <c r="D436" s="2" t="s">
        <v>509</v>
      </c>
      <c r="E436" s="2" t="s">
        <v>917</v>
      </c>
      <c r="F436" s="2" t="s">
        <v>14</v>
      </c>
      <c r="G436" s="2" t="s">
        <v>15</v>
      </c>
      <c r="H436" s="2">
        <v>80000000</v>
      </c>
      <c r="I436" s="2">
        <v>7.3</v>
      </c>
      <c r="J436" s="2">
        <f t="shared" si="2"/>
        <v>32225777</v>
      </c>
      <c r="K436" s="2">
        <f t="shared" si="3"/>
        <v>1.121793701119368E-2</v>
      </c>
      <c r="L436" s="2" t="str">
        <f>IF(ISNUMBER(SEARCH("|",IMDB_Movies!$D436)),LEFT(IMDB_Movies!$D436,SEARCH("|",IMDB_Movies!$D436)-1),IMDB_Movies!$D436)</f>
        <v>Action</v>
      </c>
      <c r="V436" s="2"/>
      <c r="W436" s="2"/>
    </row>
    <row r="437" spans="1:23" ht="12.5" x14ac:dyDescent="0.25">
      <c r="A437" s="2" t="s">
        <v>918</v>
      </c>
      <c r="B437" s="2">
        <v>99</v>
      </c>
      <c r="C437" s="2">
        <v>109993847</v>
      </c>
      <c r="D437" s="2" t="s">
        <v>919</v>
      </c>
      <c r="E437" s="2" t="s">
        <v>920</v>
      </c>
      <c r="F437" s="2" t="s">
        <v>14</v>
      </c>
      <c r="G437" s="2" t="s">
        <v>15</v>
      </c>
      <c r="H437" s="2">
        <v>80000000</v>
      </c>
      <c r="I437" s="2">
        <v>6.1</v>
      </c>
      <c r="J437" s="2">
        <f t="shared" si="2"/>
        <v>29993847</v>
      </c>
      <c r="K437" s="2">
        <f t="shared" si="3"/>
        <v>1.1129784498099111E-2</v>
      </c>
      <c r="L437" s="2" t="str">
        <f>IF(ISNUMBER(SEARCH("|",IMDB_Movies!$D437)),LEFT(IMDB_Movies!$D437,SEARCH("|",IMDB_Movies!$D437)-1),IMDB_Movies!$D437)</f>
        <v>Comedy</v>
      </c>
      <c r="V437" s="2"/>
      <c r="W437" s="2"/>
    </row>
    <row r="438" spans="1:23" ht="12.5" x14ac:dyDescent="0.25">
      <c r="A438" s="2" t="s">
        <v>19</v>
      </c>
      <c r="B438" s="2">
        <v>117</v>
      </c>
      <c r="C438" s="2">
        <v>104054514</v>
      </c>
      <c r="D438" s="2" t="s">
        <v>763</v>
      </c>
      <c r="E438" s="2" t="s">
        <v>921</v>
      </c>
      <c r="F438" s="2" t="s">
        <v>14</v>
      </c>
      <c r="G438" s="2" t="s">
        <v>15</v>
      </c>
      <c r="H438" s="2">
        <v>80000000</v>
      </c>
      <c r="I438" s="2">
        <v>7.7</v>
      </c>
      <c r="J438" s="2">
        <f t="shared" si="2"/>
        <v>24054514</v>
      </c>
      <c r="K438" s="2">
        <f t="shared" si="3"/>
        <v>1.1044016807066339E-2</v>
      </c>
      <c r="L438" s="2" t="str">
        <f>IF(ISNUMBER(SEARCH("|",IMDB_Movies!$D438)),LEFT(IMDB_Movies!$D438,SEARCH("|",IMDB_Movies!$D438)-1),IMDB_Movies!$D438)</f>
        <v>Crime</v>
      </c>
      <c r="V438" s="2"/>
      <c r="W438" s="2"/>
    </row>
    <row r="439" spans="1:23" ht="12.5" x14ac:dyDescent="0.25">
      <c r="A439" s="2" t="s">
        <v>781</v>
      </c>
      <c r="B439" s="2">
        <v>117</v>
      </c>
      <c r="C439" s="2">
        <v>103028109</v>
      </c>
      <c r="D439" s="2" t="s">
        <v>600</v>
      </c>
      <c r="E439" s="2" t="s">
        <v>922</v>
      </c>
      <c r="F439" s="2" t="s">
        <v>14</v>
      </c>
      <c r="G439" s="2" t="s">
        <v>15</v>
      </c>
      <c r="H439" s="2">
        <v>80000000</v>
      </c>
      <c r="I439" s="2">
        <v>6.4</v>
      </c>
      <c r="J439" s="2">
        <f t="shared" si="2"/>
        <v>23028109</v>
      </c>
      <c r="K439" s="2">
        <f t="shared" si="3"/>
        <v>1.0964842509703287E-2</v>
      </c>
      <c r="L439" s="2" t="str">
        <f>IF(ISNUMBER(SEARCH("|",IMDB_Movies!$D439)),LEFT(IMDB_Movies!$D439,SEARCH("|",IMDB_Movies!$D439)-1),IMDB_Movies!$D439)</f>
        <v>Comedy</v>
      </c>
      <c r="V439" s="2"/>
      <c r="W439" s="2"/>
    </row>
    <row r="440" spans="1:23" ht="12.5" x14ac:dyDescent="0.25">
      <c r="A440" s="2" t="s">
        <v>636</v>
      </c>
      <c r="B440" s="2">
        <v>123</v>
      </c>
      <c r="C440" s="2">
        <v>101087161</v>
      </c>
      <c r="D440" s="2" t="s">
        <v>125</v>
      </c>
      <c r="E440" s="2" t="s">
        <v>923</v>
      </c>
      <c r="F440" s="2" t="s">
        <v>14</v>
      </c>
      <c r="G440" s="2" t="s">
        <v>15</v>
      </c>
      <c r="H440" s="2">
        <v>75000000</v>
      </c>
      <c r="I440" s="2">
        <v>6.8</v>
      </c>
      <c r="J440" s="2">
        <f t="shared" si="2"/>
        <v>26087161</v>
      </c>
      <c r="K440" s="2">
        <f t="shared" si="3"/>
        <v>1.0886738862277163E-2</v>
      </c>
      <c r="L440" s="2" t="str">
        <f>IF(ISNUMBER(SEARCH("|",IMDB_Movies!$D440)),LEFT(IMDB_Movies!$D440,SEARCH("|",IMDB_Movies!$D440)-1),IMDB_Movies!$D440)</f>
        <v>Action</v>
      </c>
      <c r="V440" s="2"/>
      <c r="W440" s="2"/>
    </row>
    <row r="441" spans="1:23" ht="12.5" x14ac:dyDescent="0.25">
      <c r="A441" s="2" t="s">
        <v>924</v>
      </c>
      <c r="B441" s="2">
        <v>118</v>
      </c>
      <c r="C441" s="2">
        <v>101111837</v>
      </c>
      <c r="D441" s="2" t="s">
        <v>425</v>
      </c>
      <c r="E441" s="2" t="s">
        <v>925</v>
      </c>
      <c r="F441" s="2" t="s">
        <v>14</v>
      </c>
      <c r="G441" s="2" t="s">
        <v>15</v>
      </c>
      <c r="H441" s="2">
        <v>80000000</v>
      </c>
      <c r="I441" s="2">
        <v>6.6</v>
      </c>
      <c r="J441" s="2">
        <f t="shared" si="2"/>
        <v>21111837</v>
      </c>
      <c r="K441" s="2">
        <f t="shared" si="3"/>
        <v>1.081927904964943E-2</v>
      </c>
      <c r="L441" s="2" t="str">
        <f>IF(ISNUMBER(SEARCH("|",IMDB_Movies!$D441)),LEFT(IMDB_Movies!$D441,SEARCH("|",IMDB_Movies!$D441)-1),IMDB_Movies!$D441)</f>
        <v>Action</v>
      </c>
      <c r="V441" s="2"/>
      <c r="W441" s="2"/>
    </row>
    <row r="442" spans="1:23" ht="12.5" x14ac:dyDescent="0.25">
      <c r="A442" s="2" t="s">
        <v>926</v>
      </c>
      <c r="B442" s="2">
        <v>154</v>
      </c>
      <c r="C442" s="2">
        <v>95632614</v>
      </c>
      <c r="D442" s="2" t="s">
        <v>927</v>
      </c>
      <c r="E442" s="2" t="s">
        <v>928</v>
      </c>
      <c r="F442" s="2" t="s">
        <v>14</v>
      </c>
      <c r="G442" s="2" t="s">
        <v>15</v>
      </c>
      <c r="H442" s="2">
        <v>79000000</v>
      </c>
      <c r="I442" s="2">
        <v>7.2</v>
      </c>
      <c r="J442" s="2">
        <f t="shared" si="2"/>
        <v>16632614</v>
      </c>
      <c r="K442" s="2">
        <f t="shared" si="3"/>
        <v>1.0743183322667797E-2</v>
      </c>
      <c r="L442" s="2" t="str">
        <f>IF(ISNUMBER(SEARCH("|",IMDB_Movies!$D442)),LEFT(IMDB_Movies!$D442,SEARCH("|",IMDB_Movies!$D442)-1),IMDB_Movies!$D442)</f>
        <v>Adventure</v>
      </c>
      <c r="V442" s="2"/>
      <c r="W442" s="2"/>
    </row>
    <row r="443" spans="1:23" ht="12.5" x14ac:dyDescent="0.25">
      <c r="A443" s="2" t="s">
        <v>929</v>
      </c>
      <c r="B443" s="2">
        <v>118</v>
      </c>
      <c r="C443" s="2">
        <v>94822707</v>
      </c>
      <c r="D443" s="2" t="s">
        <v>267</v>
      </c>
      <c r="E443" s="2" t="s">
        <v>930</v>
      </c>
      <c r="F443" s="2" t="s">
        <v>14</v>
      </c>
      <c r="G443" s="2" t="s">
        <v>15</v>
      </c>
      <c r="H443" s="2">
        <v>80000000</v>
      </c>
      <c r="I443" s="2">
        <v>6.9</v>
      </c>
      <c r="J443" s="2">
        <f t="shared" si="2"/>
        <v>14822707</v>
      </c>
      <c r="K443" s="2">
        <f t="shared" si="3"/>
        <v>1.067484297908676E-2</v>
      </c>
      <c r="L443" s="2" t="str">
        <f>IF(ISNUMBER(SEARCH("|",IMDB_Movies!$D443)),LEFT(IMDB_Movies!$D443,SEARCH("|",IMDB_Movies!$D443)-1),IMDB_Movies!$D443)</f>
        <v>Action</v>
      </c>
      <c r="V443" s="2"/>
      <c r="W443" s="2"/>
    </row>
    <row r="444" spans="1:23" ht="12.5" x14ac:dyDescent="0.25">
      <c r="A444" s="2" t="s">
        <v>931</v>
      </c>
      <c r="B444" s="2">
        <v>90</v>
      </c>
      <c r="C444" s="2">
        <v>92969824</v>
      </c>
      <c r="D444" s="2" t="s">
        <v>932</v>
      </c>
      <c r="E444" s="2" t="s">
        <v>933</v>
      </c>
      <c r="F444" s="2" t="s">
        <v>14</v>
      </c>
      <c r="G444" s="2" t="s">
        <v>15</v>
      </c>
      <c r="H444" s="2">
        <v>80000000</v>
      </c>
      <c r="I444" s="2">
        <v>5.2</v>
      </c>
      <c r="J444" s="2">
        <f t="shared" si="2"/>
        <v>12969824</v>
      </c>
      <c r="K444" s="2">
        <f t="shared" si="3"/>
        <v>1.0605800592066672E-2</v>
      </c>
      <c r="L444" s="2" t="str">
        <f>IF(ISNUMBER(SEARCH("|",IMDB_Movies!$D444)),LEFT(IMDB_Movies!$D444,SEARCH("|",IMDB_Movies!$D444)-1),IMDB_Movies!$D444)</f>
        <v>Comedy</v>
      </c>
      <c r="V444" s="2"/>
      <c r="W444" s="2"/>
    </row>
    <row r="445" spans="1:23" ht="12.5" x14ac:dyDescent="0.25">
      <c r="A445" s="2" t="s">
        <v>574</v>
      </c>
      <c r="B445" s="2">
        <v>113</v>
      </c>
      <c r="C445" s="2">
        <v>91188905</v>
      </c>
      <c r="D445" s="2" t="s">
        <v>934</v>
      </c>
      <c r="E445" s="2" t="s">
        <v>935</v>
      </c>
      <c r="F445" s="2" t="s">
        <v>14</v>
      </c>
      <c r="G445" s="2" t="s">
        <v>15</v>
      </c>
      <c r="H445" s="2">
        <v>80000000</v>
      </c>
      <c r="I445" s="2">
        <v>4.9000000000000004</v>
      </c>
      <c r="J445" s="2">
        <f t="shared" si="2"/>
        <v>11188905</v>
      </c>
      <c r="K445" s="2">
        <f t="shared" si="3"/>
        <v>1.0538825537768186E-2</v>
      </c>
      <c r="L445" s="2" t="str">
        <f>IF(ISNUMBER(SEARCH("|",IMDB_Movies!$D445)),LEFT(IMDB_Movies!$D445,SEARCH("|",IMDB_Movies!$D445)-1),IMDB_Movies!$D445)</f>
        <v>Fantasy</v>
      </c>
      <c r="V445" s="2"/>
      <c r="W445" s="2"/>
    </row>
    <row r="446" spans="1:23" ht="12.5" x14ac:dyDescent="0.25">
      <c r="A446" s="2" t="s">
        <v>936</v>
      </c>
      <c r="B446" s="2">
        <v>88</v>
      </c>
      <c r="C446" s="2">
        <v>90443603</v>
      </c>
      <c r="D446" s="2" t="s">
        <v>937</v>
      </c>
      <c r="E446" s="2" t="s">
        <v>938</v>
      </c>
      <c r="F446" s="2" t="s">
        <v>14</v>
      </c>
      <c r="G446" s="2" t="s">
        <v>15</v>
      </c>
      <c r="H446" s="2">
        <v>80000000</v>
      </c>
      <c r="I446" s="2">
        <v>6.3</v>
      </c>
      <c r="J446" s="2">
        <f t="shared" si="2"/>
        <v>10443603</v>
      </c>
      <c r="K446" s="2">
        <f t="shared" si="3"/>
        <v>1.0473845070994614E-2</v>
      </c>
      <c r="L446" s="2" t="str">
        <f>IF(ISNUMBER(SEARCH("|",IMDB_Movies!$D446)),LEFT(IMDB_Movies!$D446,SEARCH("|",IMDB_Movies!$D446)-1),IMDB_Movies!$D446)</f>
        <v>Adventure</v>
      </c>
      <c r="V446" s="2"/>
      <c r="W446" s="2"/>
    </row>
    <row r="447" spans="1:23" ht="12.5" x14ac:dyDescent="0.25">
      <c r="A447" s="2" t="s">
        <v>302</v>
      </c>
      <c r="B447" s="2">
        <v>93</v>
      </c>
      <c r="C447" s="2">
        <v>82226474</v>
      </c>
      <c r="D447" s="2" t="s">
        <v>939</v>
      </c>
      <c r="E447" s="2" t="s">
        <v>940</v>
      </c>
      <c r="F447" s="2" t="s">
        <v>14</v>
      </c>
      <c r="G447" s="2" t="s">
        <v>15</v>
      </c>
      <c r="H447" s="2">
        <v>65000000</v>
      </c>
      <c r="I447" s="2">
        <v>5.6</v>
      </c>
      <c r="J447" s="2">
        <f t="shared" si="2"/>
        <v>17226474</v>
      </c>
      <c r="K447" s="2">
        <f t="shared" si="3"/>
        <v>1.0409665224501955E-2</v>
      </c>
      <c r="L447" s="2" t="str">
        <f>IF(ISNUMBER(SEARCH("|",IMDB_Movies!$D447)),LEFT(IMDB_Movies!$D447,SEARCH("|",IMDB_Movies!$D447)-1),IMDB_Movies!$D447)</f>
        <v>Adventure</v>
      </c>
      <c r="V447" s="2"/>
      <c r="W447" s="2"/>
    </row>
    <row r="448" spans="1:23" ht="12.5" x14ac:dyDescent="0.25">
      <c r="A448" s="2" t="s">
        <v>941</v>
      </c>
      <c r="B448" s="2">
        <v>104</v>
      </c>
      <c r="C448" s="2">
        <v>79363785</v>
      </c>
      <c r="D448" s="2" t="s">
        <v>942</v>
      </c>
      <c r="E448" s="2" t="s">
        <v>943</v>
      </c>
      <c r="F448" s="2" t="s">
        <v>14</v>
      </c>
      <c r="G448" s="2" t="s">
        <v>15</v>
      </c>
      <c r="H448" s="2">
        <v>80000000</v>
      </c>
      <c r="I448" s="2">
        <v>5.5</v>
      </c>
      <c r="J448" s="2">
        <f t="shared" si="2"/>
        <v>-636215</v>
      </c>
      <c r="K448" s="2">
        <f t="shared" si="3"/>
        <v>1.0373147794755002E-2</v>
      </c>
      <c r="L448" s="2" t="str">
        <f>IF(ISNUMBER(SEARCH("|",IMDB_Movies!$D448)),LEFT(IMDB_Movies!$D448,SEARCH("|",IMDB_Movies!$D448)-1),IMDB_Movies!$D448)</f>
        <v>Drama</v>
      </c>
      <c r="V448" s="2"/>
      <c r="W448" s="2"/>
    </row>
    <row r="449" spans="1:23" ht="12.5" x14ac:dyDescent="0.25">
      <c r="A449" s="2" t="s">
        <v>391</v>
      </c>
      <c r="B449" s="2">
        <v>135</v>
      </c>
      <c r="C449" s="2">
        <v>76081498</v>
      </c>
      <c r="D449" s="2" t="s">
        <v>944</v>
      </c>
      <c r="E449" s="2" t="s">
        <v>945</v>
      </c>
      <c r="F449" s="2" t="s">
        <v>14</v>
      </c>
      <c r="G449" s="2" t="s">
        <v>15</v>
      </c>
      <c r="H449" s="2">
        <v>75000000</v>
      </c>
      <c r="I449" s="2">
        <v>6.7</v>
      </c>
      <c r="J449" s="2">
        <f t="shared" si="2"/>
        <v>1081498</v>
      </c>
      <c r="K449" s="2">
        <f t="shared" si="3"/>
        <v>1.032183310807853E-2</v>
      </c>
      <c r="L449" s="2" t="str">
        <f>IF(ISNUMBER(SEARCH("|",IMDB_Movies!$D449)),LEFT(IMDB_Movies!$D449,SEARCH("|",IMDB_Movies!$D449)-1),IMDB_Movies!$D449)</f>
        <v>Action</v>
      </c>
      <c r="V449" s="2"/>
      <c r="W449" s="2"/>
    </row>
    <row r="450" spans="1:23" ht="12.5" x14ac:dyDescent="0.25">
      <c r="A450" s="2" t="s">
        <v>200</v>
      </c>
      <c r="B450" s="2">
        <v>134</v>
      </c>
      <c r="C450" s="2">
        <v>85707116</v>
      </c>
      <c r="D450" s="2" t="s">
        <v>529</v>
      </c>
      <c r="E450" s="2" t="s">
        <v>946</v>
      </c>
      <c r="F450" s="2" t="s">
        <v>14</v>
      </c>
      <c r="G450" s="2" t="s">
        <v>15</v>
      </c>
      <c r="H450" s="2">
        <v>68000000</v>
      </c>
      <c r="I450" s="2">
        <v>7.6</v>
      </c>
      <c r="J450" s="2">
        <f t="shared" si="2"/>
        <v>17707116</v>
      </c>
      <c r="K450" s="2">
        <f t="shared" si="3"/>
        <v>1.0279578648677441E-2</v>
      </c>
      <c r="L450" s="2" t="str">
        <f>IF(ISNUMBER(SEARCH("|",IMDB_Movies!$D450)),LEFT(IMDB_Movies!$D450,SEARCH("|",IMDB_Movies!$D450)-1),IMDB_Movies!$D450)</f>
        <v>Action</v>
      </c>
      <c r="V450" s="2"/>
      <c r="W450" s="2"/>
    </row>
    <row r="451" spans="1:23" ht="12.5" x14ac:dyDescent="0.25">
      <c r="A451" s="2" t="s">
        <v>947</v>
      </c>
      <c r="B451" s="2">
        <v>98</v>
      </c>
      <c r="C451" s="2">
        <v>74329966</v>
      </c>
      <c r="D451" s="2" t="s">
        <v>948</v>
      </c>
      <c r="E451" s="2" t="s">
        <v>949</v>
      </c>
      <c r="F451" s="2" t="s">
        <v>14</v>
      </c>
      <c r="G451" s="2" t="s">
        <v>15</v>
      </c>
      <c r="H451" s="2">
        <v>70000000</v>
      </c>
      <c r="I451" s="2">
        <v>5.7</v>
      </c>
      <c r="J451" s="2">
        <f t="shared" si="2"/>
        <v>4329966</v>
      </c>
      <c r="K451" s="2">
        <f t="shared" si="3"/>
        <v>1.023635592880669E-2</v>
      </c>
      <c r="L451" s="2" t="str">
        <f>IF(ISNUMBER(SEARCH("|",IMDB_Movies!$D451)),LEFT(IMDB_Movies!$D451,SEARCH("|",IMDB_Movies!$D451)-1),IMDB_Movies!$D451)</f>
        <v>Action</v>
      </c>
      <c r="V451" s="2"/>
      <c r="W451" s="2"/>
    </row>
    <row r="452" spans="1:23" ht="12.5" x14ac:dyDescent="0.25">
      <c r="A452" s="2" t="s">
        <v>950</v>
      </c>
      <c r="B452" s="2">
        <v>80</v>
      </c>
      <c r="C452" s="2">
        <v>100169068</v>
      </c>
      <c r="D452" s="2" t="s">
        <v>181</v>
      </c>
      <c r="E452" s="2" t="s">
        <v>951</v>
      </c>
      <c r="F452" s="2" t="s">
        <v>14</v>
      </c>
      <c r="G452" s="2" t="s">
        <v>15</v>
      </c>
      <c r="H452" s="2">
        <v>80000000</v>
      </c>
      <c r="I452" s="2">
        <v>4.5999999999999996</v>
      </c>
      <c r="J452" s="2">
        <f t="shared" si="2"/>
        <v>20169068</v>
      </c>
      <c r="K452" s="2">
        <f t="shared" si="3"/>
        <v>1.0200872071793132E-2</v>
      </c>
      <c r="L452" s="2" t="str">
        <f>IF(ISNUMBER(SEARCH("|",IMDB_Movies!$D452)),LEFT(IMDB_Movies!$D452,SEARCH("|",IMDB_Movies!$D452)-1),IMDB_Movies!$D452)</f>
        <v>Adventure</v>
      </c>
      <c r="V452" s="2"/>
      <c r="W452" s="2"/>
    </row>
    <row r="453" spans="1:23" ht="12.5" x14ac:dyDescent="0.25">
      <c r="A453" s="2" t="s">
        <v>952</v>
      </c>
      <c r="B453" s="2">
        <v>83</v>
      </c>
      <c r="C453" s="2">
        <v>73215310</v>
      </c>
      <c r="D453" s="2" t="s">
        <v>953</v>
      </c>
      <c r="E453" s="2" t="s">
        <v>954</v>
      </c>
      <c r="F453" s="2" t="s">
        <v>14</v>
      </c>
      <c r="G453" s="2" t="s">
        <v>15</v>
      </c>
      <c r="H453" s="2">
        <v>80000000</v>
      </c>
      <c r="I453" s="2">
        <v>7</v>
      </c>
      <c r="J453" s="2">
        <f t="shared" si="2"/>
        <v>-6784690</v>
      </c>
      <c r="K453" s="2">
        <f t="shared" si="3"/>
        <v>1.0125111639741195E-2</v>
      </c>
      <c r="L453" s="2" t="str">
        <f>IF(ISNUMBER(SEARCH("|",IMDB_Movies!$D453)),LEFT(IMDB_Movies!$D453,SEARCH("|",IMDB_Movies!$D453)-1),IMDB_Movies!$D453)</f>
        <v>Adventure</v>
      </c>
      <c r="V453" s="2"/>
      <c r="W453" s="2"/>
    </row>
    <row r="454" spans="1:23" ht="12.5" x14ac:dyDescent="0.25">
      <c r="A454" s="2" t="s">
        <v>581</v>
      </c>
      <c r="B454" s="2">
        <v>102</v>
      </c>
      <c r="C454" s="2">
        <v>80360866</v>
      </c>
      <c r="D454" s="2" t="s">
        <v>955</v>
      </c>
      <c r="E454" s="2" t="s">
        <v>956</v>
      </c>
      <c r="F454" s="2" t="s">
        <v>14</v>
      </c>
      <c r="G454" s="2" t="s">
        <v>15</v>
      </c>
      <c r="H454" s="2">
        <v>80000000</v>
      </c>
      <c r="I454" s="2">
        <v>5.2</v>
      </c>
      <c r="J454" s="2">
        <f t="shared" si="2"/>
        <v>360866</v>
      </c>
      <c r="K454" s="2">
        <f t="shared" si="3"/>
        <v>1.0080869789702589E-2</v>
      </c>
      <c r="L454" s="2" t="str">
        <f>IF(ISNUMBER(SEARCH("|",IMDB_Movies!$D454)),LEFT(IMDB_Movies!$D454,SEARCH("|",IMDB_Movies!$D454)-1),IMDB_Movies!$D454)</f>
        <v>Comedy</v>
      </c>
      <c r="V454" s="2"/>
      <c r="W454" s="2"/>
    </row>
    <row r="455" spans="1:23" ht="12.5" x14ac:dyDescent="0.25">
      <c r="A455" s="2" t="s">
        <v>957</v>
      </c>
      <c r="B455" s="2">
        <v>130</v>
      </c>
      <c r="C455" s="2">
        <v>69102910</v>
      </c>
      <c r="D455" s="2" t="s">
        <v>958</v>
      </c>
      <c r="E455" s="2" t="s">
        <v>959</v>
      </c>
      <c r="F455" s="2" t="s">
        <v>14</v>
      </c>
      <c r="G455" s="2" t="s">
        <v>15</v>
      </c>
      <c r="H455" s="2">
        <v>80000000</v>
      </c>
      <c r="I455" s="2">
        <v>5.0999999999999996</v>
      </c>
      <c r="J455" s="2">
        <f t="shared" si="2"/>
        <v>-10897090</v>
      </c>
      <c r="K455" s="2">
        <f t="shared" si="3"/>
        <v>1.0028115350141129E-2</v>
      </c>
      <c r="L455" s="2" t="str">
        <f>IF(ISNUMBER(SEARCH("|",IMDB_Movies!$D455)),LEFT(IMDB_Movies!$D455,SEARCH("|",IMDB_Movies!$D455)-1),IMDB_Movies!$D455)</f>
        <v>Action</v>
      </c>
      <c r="V455" s="2"/>
      <c r="W455" s="2"/>
    </row>
    <row r="456" spans="1:23" ht="12.5" x14ac:dyDescent="0.25">
      <c r="A456" s="2" t="s">
        <v>960</v>
      </c>
      <c r="B456" s="2">
        <v>129</v>
      </c>
      <c r="C456" s="2">
        <v>65948711</v>
      </c>
      <c r="D456" s="2" t="s">
        <v>788</v>
      </c>
      <c r="E456" s="2" t="s">
        <v>961</v>
      </c>
      <c r="F456" s="2" t="s">
        <v>14</v>
      </c>
      <c r="G456" s="2" t="s">
        <v>15</v>
      </c>
      <c r="H456" s="2">
        <v>80000000</v>
      </c>
      <c r="I456" s="2">
        <v>6.6</v>
      </c>
      <c r="J456" s="2">
        <f t="shared" si="2"/>
        <v>-14051289</v>
      </c>
      <c r="K456" s="2">
        <f t="shared" si="3"/>
        <v>9.9887116777513888E-3</v>
      </c>
      <c r="L456" s="2" t="str">
        <f>IF(ISNUMBER(SEARCH("|",IMDB_Movies!$D456)),LEFT(IMDB_Movies!$D456,SEARCH("|",IMDB_Movies!$D456)-1),IMDB_Movies!$D456)</f>
        <v>Drama</v>
      </c>
      <c r="V456" s="2"/>
      <c r="W456" s="2"/>
    </row>
    <row r="457" spans="1:23" ht="12.5" x14ac:dyDescent="0.25">
      <c r="A457" s="2" t="s">
        <v>833</v>
      </c>
      <c r="B457" s="2">
        <v>89</v>
      </c>
      <c r="C457" s="2">
        <v>169692572</v>
      </c>
      <c r="D457" s="2" t="s">
        <v>296</v>
      </c>
      <c r="E457" s="2" t="s">
        <v>962</v>
      </c>
      <c r="F457" s="2" t="s">
        <v>14</v>
      </c>
      <c r="G457" s="2" t="s">
        <v>15</v>
      </c>
      <c r="H457" s="2">
        <v>80000000</v>
      </c>
      <c r="I457" s="2">
        <v>6.7</v>
      </c>
      <c r="J457" s="2">
        <f t="shared" si="2"/>
        <v>89692572</v>
      </c>
      <c r="K457" s="2">
        <f t="shared" si="3"/>
        <v>9.9530637224005385E-3</v>
      </c>
      <c r="L457" s="2" t="str">
        <f>IF(ISNUMBER(SEARCH("|",IMDB_Movies!$D457)),LEFT(IMDB_Movies!$D457,SEARCH("|",IMDB_Movies!$D457)-1),IMDB_Movies!$D457)</f>
        <v>Animation</v>
      </c>
      <c r="V457" s="2"/>
      <c r="W457" s="2"/>
    </row>
    <row r="458" spans="1:23" ht="12.5" x14ac:dyDescent="0.25">
      <c r="A458" s="2" t="s">
        <v>963</v>
      </c>
      <c r="B458" s="2">
        <v>74</v>
      </c>
      <c r="C458" s="2">
        <v>60507228</v>
      </c>
      <c r="D458" s="2" t="s">
        <v>964</v>
      </c>
      <c r="E458" s="2" t="s">
        <v>965</v>
      </c>
      <c r="F458" s="2" t="s">
        <v>14</v>
      </c>
      <c r="G458" s="2" t="s">
        <v>15</v>
      </c>
      <c r="H458" s="2">
        <v>80000000</v>
      </c>
      <c r="I458" s="2">
        <v>7.3</v>
      </c>
      <c r="J458" s="2">
        <f t="shared" si="2"/>
        <v>-19492772</v>
      </c>
      <c r="K458" s="2">
        <f t="shared" si="3"/>
        <v>9.7996182067170857E-3</v>
      </c>
      <c r="L458" s="2" t="str">
        <f>IF(ISNUMBER(SEARCH("|",IMDB_Movies!$D458)),LEFT(IMDB_Movies!$D458,SEARCH("|",IMDB_Movies!$D458)-1),IMDB_Movies!$D458)</f>
        <v>Animation</v>
      </c>
      <c r="V458" s="2"/>
      <c r="W458" s="2"/>
    </row>
    <row r="459" spans="1:23" ht="12.5" x14ac:dyDescent="0.25">
      <c r="A459" s="2" t="s">
        <v>344</v>
      </c>
      <c r="B459" s="2">
        <v>96</v>
      </c>
      <c r="C459" s="2">
        <v>56684819</v>
      </c>
      <c r="D459" s="2" t="s">
        <v>28</v>
      </c>
      <c r="E459" s="2" t="s">
        <v>966</v>
      </c>
      <c r="F459" s="2" t="s">
        <v>14</v>
      </c>
      <c r="G459" s="2" t="s">
        <v>15</v>
      </c>
      <c r="H459" s="2">
        <v>80000000</v>
      </c>
      <c r="I459" s="2">
        <v>5.9</v>
      </c>
      <c r="J459" s="2">
        <f t="shared" si="2"/>
        <v>-23315181</v>
      </c>
      <c r="K459" s="2">
        <f t="shared" si="3"/>
        <v>9.770410372343781E-3</v>
      </c>
      <c r="L459" s="2" t="str">
        <f>IF(ISNUMBER(SEARCH("|",IMDB_Movies!$D459)),LEFT(IMDB_Movies!$D459,SEARCH("|",IMDB_Movies!$D459)-1),IMDB_Movies!$D459)</f>
        <v>Action</v>
      </c>
      <c r="V459" s="2"/>
      <c r="W459" s="2"/>
    </row>
    <row r="460" spans="1:23" ht="12.5" x14ac:dyDescent="0.25">
      <c r="A460" s="2" t="s">
        <v>681</v>
      </c>
      <c r="B460" s="2">
        <v>114</v>
      </c>
      <c r="C460" s="2">
        <v>50628009</v>
      </c>
      <c r="D460" s="2" t="s">
        <v>967</v>
      </c>
      <c r="E460" s="2" t="s">
        <v>968</v>
      </c>
      <c r="F460" s="2" t="s">
        <v>14</v>
      </c>
      <c r="G460" s="2" t="s">
        <v>15</v>
      </c>
      <c r="H460" s="2">
        <v>90000000</v>
      </c>
      <c r="I460" s="2">
        <v>5.6</v>
      </c>
      <c r="J460" s="2">
        <f t="shared" si="2"/>
        <v>-39371991</v>
      </c>
      <c r="K460" s="2">
        <f t="shared" si="3"/>
        <v>9.745827091458199E-3</v>
      </c>
      <c r="L460" s="2" t="str">
        <f>IF(ISNUMBER(SEARCH("|",IMDB_Movies!$D460)),LEFT(IMDB_Movies!$D460,SEARCH("|",IMDB_Movies!$D460)-1),IMDB_Movies!$D460)</f>
        <v>Action</v>
      </c>
      <c r="V460" s="2"/>
      <c r="W460" s="2"/>
    </row>
    <row r="461" spans="1:23" ht="12.5" x14ac:dyDescent="0.25">
      <c r="A461" s="2" t="s">
        <v>603</v>
      </c>
      <c r="B461" s="2">
        <v>99</v>
      </c>
      <c r="C461" s="2">
        <v>69772969</v>
      </c>
      <c r="D461" s="2" t="s">
        <v>125</v>
      </c>
      <c r="E461" s="2" t="s">
        <v>969</v>
      </c>
      <c r="F461" s="2" t="s">
        <v>14</v>
      </c>
      <c r="G461" s="2" t="s">
        <v>15</v>
      </c>
      <c r="H461" s="2">
        <v>80000000</v>
      </c>
      <c r="I461" s="2">
        <v>6.5</v>
      </c>
      <c r="J461" s="2">
        <f t="shared" si="2"/>
        <v>-10227031</v>
      </c>
      <c r="K461" s="2">
        <f t="shared" si="3"/>
        <v>9.7249206444255665E-3</v>
      </c>
      <c r="L461" s="2" t="str">
        <f>IF(ISNUMBER(SEARCH("|",IMDB_Movies!$D461)),LEFT(IMDB_Movies!$D461,SEARCH("|",IMDB_Movies!$D461)-1),IMDB_Movies!$D461)</f>
        <v>Action</v>
      </c>
      <c r="V461" s="2"/>
      <c r="W461" s="2"/>
    </row>
    <row r="462" spans="1:23" ht="12.5" x14ac:dyDescent="0.25">
      <c r="A462" s="2" t="s">
        <v>118</v>
      </c>
      <c r="B462" s="2">
        <v>129</v>
      </c>
      <c r="C462" s="2">
        <v>45356386</v>
      </c>
      <c r="D462" s="2" t="s">
        <v>58</v>
      </c>
      <c r="E462" s="2" t="s">
        <v>970</v>
      </c>
      <c r="F462" s="2" t="s">
        <v>971</v>
      </c>
      <c r="G462" s="2" t="s">
        <v>15</v>
      </c>
      <c r="H462" s="2">
        <v>75000000</v>
      </c>
      <c r="I462" s="2">
        <v>5.9</v>
      </c>
      <c r="J462" s="2">
        <f t="shared" si="2"/>
        <v>-29643614</v>
      </c>
      <c r="K462" s="2">
        <f t="shared" si="3"/>
        <v>9.6844669843281373E-3</v>
      </c>
      <c r="L462" s="2" t="str">
        <f>IF(ISNUMBER(SEARCH("|",IMDB_Movies!$D462)),LEFT(IMDB_Movies!$D462,SEARCH("|",IMDB_Movies!$D462)-1),IMDB_Movies!$D462)</f>
        <v>Action</v>
      </c>
      <c r="V462" s="2"/>
      <c r="W462" s="2"/>
    </row>
    <row r="463" spans="1:23" ht="12.5" x14ac:dyDescent="0.25">
      <c r="A463" s="2" t="s">
        <v>972</v>
      </c>
      <c r="B463" s="2">
        <v>113</v>
      </c>
      <c r="C463" s="2">
        <v>55350897</v>
      </c>
      <c r="D463" s="2" t="s">
        <v>256</v>
      </c>
      <c r="E463" s="2" t="s">
        <v>973</v>
      </c>
      <c r="F463" s="2" t="s">
        <v>14</v>
      </c>
      <c r="G463" s="2" t="s">
        <v>15</v>
      </c>
      <c r="H463" s="2">
        <v>85000000</v>
      </c>
      <c r="I463" s="2">
        <v>7</v>
      </c>
      <c r="J463" s="2">
        <f t="shared" si="2"/>
        <v>-29649103</v>
      </c>
      <c r="K463" s="2">
        <f t="shared" si="3"/>
        <v>9.6748764572855105E-3</v>
      </c>
      <c r="L463" s="2" t="str">
        <f>IF(ISNUMBER(SEARCH("|",IMDB_Movies!$D463)),LEFT(IMDB_Movies!$D463,SEARCH("|",IMDB_Movies!$D463)-1),IMDB_Movies!$D463)</f>
        <v>Drama</v>
      </c>
      <c r="V463" s="2"/>
      <c r="W463" s="2"/>
    </row>
    <row r="464" spans="1:23" ht="12.5" x14ac:dyDescent="0.25">
      <c r="A464" s="2" t="s">
        <v>974</v>
      </c>
      <c r="B464" s="2">
        <v>90</v>
      </c>
      <c r="C464" s="2">
        <v>39442871</v>
      </c>
      <c r="D464" s="2" t="s">
        <v>975</v>
      </c>
      <c r="E464" s="2" t="s">
        <v>976</v>
      </c>
      <c r="F464" s="2" t="s">
        <v>14</v>
      </c>
      <c r="G464" s="2" t="s">
        <v>15</v>
      </c>
      <c r="H464" s="2">
        <v>80000000</v>
      </c>
      <c r="I464" s="2">
        <v>5.3</v>
      </c>
      <c r="J464" s="2">
        <f t="shared" si="2"/>
        <v>-40557129</v>
      </c>
      <c r="K464" s="2">
        <f t="shared" si="3"/>
        <v>9.6493673812387964E-3</v>
      </c>
      <c r="L464" s="2" t="str">
        <f>IF(ISNUMBER(SEARCH("|",IMDB_Movies!$D464)),LEFT(IMDB_Movies!$D464,SEARCH("|",IMDB_Movies!$D464)-1),IMDB_Movies!$D464)</f>
        <v>Comedy</v>
      </c>
      <c r="V464" s="2"/>
      <c r="W464" s="2"/>
    </row>
    <row r="465" spans="1:23" ht="12.5" x14ac:dyDescent="0.25">
      <c r="A465" s="2" t="s">
        <v>977</v>
      </c>
      <c r="B465" s="2">
        <v>118</v>
      </c>
      <c r="C465" s="2">
        <v>37899638</v>
      </c>
      <c r="D465" s="2" t="s">
        <v>978</v>
      </c>
      <c r="E465" s="2" t="s">
        <v>979</v>
      </c>
      <c r="F465" s="2" t="s">
        <v>14</v>
      </c>
      <c r="G465" s="2" t="s">
        <v>15</v>
      </c>
      <c r="H465" s="2">
        <v>88000000</v>
      </c>
      <c r="I465" s="2">
        <v>5.9</v>
      </c>
      <c r="J465" s="2">
        <f t="shared" si="2"/>
        <v>-50100362</v>
      </c>
      <c r="K465" s="2">
        <f t="shared" si="3"/>
        <v>9.6459293683946647E-3</v>
      </c>
      <c r="L465" s="2" t="str">
        <f>IF(ISNUMBER(SEARCH("|",IMDB_Movies!$D465)),LEFT(IMDB_Movies!$D465,SEARCH("|",IMDB_Movies!$D465)-1),IMDB_Movies!$D465)</f>
        <v>Action</v>
      </c>
      <c r="V465" s="2"/>
      <c r="W465" s="2"/>
    </row>
    <row r="466" spans="1:23" ht="12.5" x14ac:dyDescent="0.25">
      <c r="A466" s="2" t="s">
        <v>99</v>
      </c>
      <c r="B466" s="2">
        <v>106</v>
      </c>
      <c r="C466" s="2">
        <v>37754208</v>
      </c>
      <c r="D466" s="2" t="s">
        <v>682</v>
      </c>
      <c r="E466" s="2" t="s">
        <v>980</v>
      </c>
      <c r="F466" s="2" t="s">
        <v>14</v>
      </c>
      <c r="G466" s="2" t="s">
        <v>15</v>
      </c>
      <c r="H466" s="2">
        <v>70000000</v>
      </c>
      <c r="I466" s="2">
        <v>6.3</v>
      </c>
      <c r="J466" s="2">
        <f t="shared" si="2"/>
        <v>-32245792</v>
      </c>
      <c r="K466" s="2">
        <f t="shared" si="3"/>
        <v>9.6441584591288685E-3</v>
      </c>
      <c r="L466" s="2" t="str">
        <f>IF(ISNUMBER(SEARCH("|",IMDB_Movies!$D466)),LEFT(IMDB_Movies!$D466,SEARCH("|",IMDB_Movies!$D466)-1),IMDB_Movies!$D466)</f>
        <v>Action</v>
      </c>
      <c r="V466" s="2"/>
      <c r="W466" s="2"/>
    </row>
    <row r="467" spans="1:23" ht="12.5" x14ac:dyDescent="0.25">
      <c r="A467" s="2" t="s">
        <v>245</v>
      </c>
      <c r="B467" s="2">
        <v>89</v>
      </c>
      <c r="C467" s="2">
        <v>38542418</v>
      </c>
      <c r="D467" s="2" t="s">
        <v>981</v>
      </c>
      <c r="E467" s="2" t="s">
        <v>982</v>
      </c>
      <c r="F467" s="2" t="s">
        <v>14</v>
      </c>
      <c r="G467" s="2" t="s">
        <v>15</v>
      </c>
      <c r="H467" s="2">
        <v>80000000</v>
      </c>
      <c r="I467" s="2">
        <v>6.3</v>
      </c>
      <c r="J467" s="2">
        <f t="shared" si="2"/>
        <v>-41457582</v>
      </c>
      <c r="K467" s="2">
        <f t="shared" si="3"/>
        <v>9.6430959072408857E-3</v>
      </c>
      <c r="L467" s="2" t="str">
        <f>IF(ISNUMBER(SEARCH("|",IMDB_Movies!$D467)),LEFT(IMDB_Movies!$D467,SEARCH("|",IMDB_Movies!$D467)-1),IMDB_Movies!$D467)</f>
        <v>Action</v>
      </c>
      <c r="V467" s="2"/>
      <c r="W467" s="2"/>
    </row>
    <row r="468" spans="1:23" ht="12.5" x14ac:dyDescent="0.25">
      <c r="A468" s="2" t="s">
        <v>536</v>
      </c>
      <c r="B468" s="2">
        <v>145</v>
      </c>
      <c r="C468" s="2">
        <v>34566746</v>
      </c>
      <c r="D468" s="2" t="s">
        <v>983</v>
      </c>
      <c r="E468" s="2" t="s">
        <v>984</v>
      </c>
      <c r="F468" s="2" t="s">
        <v>14</v>
      </c>
      <c r="G468" s="2" t="s">
        <v>15</v>
      </c>
      <c r="H468" s="2">
        <v>80000000</v>
      </c>
      <c r="I468" s="2">
        <v>7.3</v>
      </c>
      <c r="J468" s="2">
        <f t="shared" si="2"/>
        <v>-45433254</v>
      </c>
      <c r="K468" s="2">
        <f t="shared" si="3"/>
        <v>9.6407729516732356E-3</v>
      </c>
      <c r="L468" s="2" t="str">
        <f>IF(ISNUMBER(SEARCH("|",IMDB_Movies!$D468)),LEFT(IMDB_Movies!$D468,SEARCH("|",IMDB_Movies!$D468)-1),IMDB_Movies!$D468)</f>
        <v>Drama</v>
      </c>
      <c r="V468" s="2"/>
      <c r="W468" s="2"/>
    </row>
    <row r="469" spans="1:23" ht="12.5" x14ac:dyDescent="0.25">
      <c r="A469" s="2" t="s">
        <v>197</v>
      </c>
      <c r="B469" s="2">
        <v>114</v>
      </c>
      <c r="C469" s="2">
        <v>32885565</v>
      </c>
      <c r="D469" s="2" t="s">
        <v>267</v>
      </c>
      <c r="E469" s="2" t="s">
        <v>985</v>
      </c>
      <c r="F469" s="2" t="s">
        <v>14</v>
      </c>
      <c r="G469" s="2" t="s">
        <v>15</v>
      </c>
      <c r="H469" s="2">
        <v>80000000</v>
      </c>
      <c r="I469" s="2">
        <v>5.8</v>
      </c>
      <c r="J469" s="2">
        <f t="shared" si="2"/>
        <v>-47114435</v>
      </c>
      <c r="K469" s="2">
        <f t="shared" si="3"/>
        <v>9.6434081502413289E-3</v>
      </c>
      <c r="L469" s="2" t="str">
        <f>IF(ISNUMBER(SEARCH("|",IMDB_Movies!$D469)),LEFT(IMDB_Movies!$D469,SEARCH("|",IMDB_Movies!$D469)-1),IMDB_Movies!$D469)</f>
        <v>Action</v>
      </c>
      <c r="V469" s="2"/>
      <c r="W469" s="2"/>
    </row>
    <row r="470" spans="1:23" ht="12.5" x14ac:dyDescent="0.25">
      <c r="A470" s="2" t="s">
        <v>986</v>
      </c>
      <c r="B470" s="2">
        <v>87</v>
      </c>
      <c r="C470" s="2">
        <v>36073232</v>
      </c>
      <c r="D470" s="2" t="s">
        <v>987</v>
      </c>
      <c r="E470" s="2" t="s">
        <v>988</v>
      </c>
      <c r="F470" s="2" t="s">
        <v>14</v>
      </c>
      <c r="G470" s="2" t="s">
        <v>15</v>
      </c>
      <c r="H470" s="2">
        <v>80000000</v>
      </c>
      <c r="I470" s="2">
        <v>5.2</v>
      </c>
      <c r="J470" s="2">
        <f t="shared" si="2"/>
        <v>-43926768</v>
      </c>
      <c r="K470" s="2">
        <f t="shared" si="3"/>
        <v>9.6481490067717359E-3</v>
      </c>
      <c r="L470" s="2" t="str">
        <f>IF(ISNUMBER(SEARCH("|",IMDB_Movies!$D470)),LEFT(IMDB_Movies!$D470,SEARCH("|",IMDB_Movies!$D470)-1),IMDB_Movies!$D470)</f>
        <v>Adventure</v>
      </c>
      <c r="V470" s="2"/>
      <c r="W470" s="2"/>
    </row>
    <row r="471" spans="1:23" ht="12.5" x14ac:dyDescent="0.25">
      <c r="A471" s="2" t="s">
        <v>989</v>
      </c>
      <c r="B471" s="2">
        <v>119</v>
      </c>
      <c r="C471" s="2">
        <v>21471685</v>
      </c>
      <c r="D471" s="2" t="s">
        <v>28</v>
      </c>
      <c r="E471" s="2" t="s">
        <v>990</v>
      </c>
      <c r="F471" s="2" t="s">
        <v>14</v>
      </c>
      <c r="G471" s="2" t="s">
        <v>15</v>
      </c>
      <c r="H471" s="2">
        <v>44000000</v>
      </c>
      <c r="I471" s="2">
        <v>2.4</v>
      </c>
      <c r="J471" s="2">
        <f t="shared" si="2"/>
        <v>-22528315</v>
      </c>
      <c r="K471" s="2">
        <f t="shared" si="3"/>
        <v>9.648905216565919E-3</v>
      </c>
      <c r="L471" s="2" t="str">
        <f>IF(ISNUMBER(SEARCH("|",IMDB_Movies!$D471)),LEFT(IMDB_Movies!$D471,SEARCH("|",IMDB_Movies!$D471)-1),IMDB_Movies!$D471)</f>
        <v>Action</v>
      </c>
      <c r="V471" s="2"/>
      <c r="W471" s="2"/>
    </row>
    <row r="472" spans="1:23" ht="12.5" x14ac:dyDescent="0.25">
      <c r="A472" s="2" t="s">
        <v>991</v>
      </c>
      <c r="B472" s="2">
        <v>91</v>
      </c>
      <c r="C472" s="2">
        <v>20950820</v>
      </c>
      <c r="D472" s="2" t="s">
        <v>434</v>
      </c>
      <c r="E472" s="2" t="s">
        <v>992</v>
      </c>
      <c r="F472" s="2" t="s">
        <v>14</v>
      </c>
      <c r="G472" s="2" t="s">
        <v>287</v>
      </c>
      <c r="H472" s="2">
        <v>80000000</v>
      </c>
      <c r="I472" s="2">
        <v>5.7</v>
      </c>
      <c r="J472" s="2">
        <f t="shared" si="2"/>
        <v>-59049180</v>
      </c>
      <c r="K472" s="2">
        <f t="shared" si="3"/>
        <v>9.653393072751662E-3</v>
      </c>
      <c r="L472" s="2" t="str">
        <f>IF(ISNUMBER(SEARCH("|",IMDB_Movies!$D472)),LEFT(IMDB_Movies!$D472,SEARCH("|",IMDB_Movies!$D472)-1),IMDB_Movies!$D472)</f>
        <v>Adventure</v>
      </c>
      <c r="V472" s="2"/>
      <c r="W472" s="2"/>
    </row>
    <row r="473" spans="1:23" ht="12.5" x14ac:dyDescent="0.25">
      <c r="A473" s="2" t="s">
        <v>65</v>
      </c>
      <c r="B473" s="2">
        <v>118</v>
      </c>
      <c r="C473" s="2">
        <v>19673424</v>
      </c>
      <c r="D473" s="2" t="s">
        <v>993</v>
      </c>
      <c r="E473" s="2" t="s">
        <v>994</v>
      </c>
      <c r="F473" s="2" t="s">
        <v>14</v>
      </c>
      <c r="G473" s="2" t="s">
        <v>15</v>
      </c>
      <c r="H473" s="2">
        <v>80000000</v>
      </c>
      <c r="I473" s="2">
        <v>5.8</v>
      </c>
      <c r="J473" s="2">
        <f t="shared" si="2"/>
        <v>-60326576</v>
      </c>
      <c r="K473" s="2">
        <f t="shared" si="3"/>
        <v>9.6731972794702886E-3</v>
      </c>
      <c r="L473" s="2" t="str">
        <f>IF(ISNUMBER(SEARCH("|",IMDB_Movies!$D473)),LEFT(IMDB_Movies!$D473,SEARCH("|",IMDB_Movies!$D473)-1),IMDB_Movies!$D473)</f>
        <v>Drama</v>
      </c>
      <c r="V473" s="2"/>
      <c r="W473" s="2"/>
    </row>
    <row r="474" spans="1:23" ht="12.5" x14ac:dyDescent="0.25">
      <c r="A474" s="2" t="s">
        <v>391</v>
      </c>
      <c r="B474" s="2">
        <v>116</v>
      </c>
      <c r="C474" s="2">
        <v>19480739</v>
      </c>
      <c r="D474" s="2" t="s">
        <v>28</v>
      </c>
      <c r="E474" s="2" t="s">
        <v>995</v>
      </c>
      <c r="F474" s="2" t="s">
        <v>14</v>
      </c>
      <c r="G474" s="2" t="s">
        <v>15</v>
      </c>
      <c r="H474" s="2">
        <v>80000000</v>
      </c>
      <c r="I474" s="2">
        <v>5.6</v>
      </c>
      <c r="J474" s="2">
        <f t="shared" si="2"/>
        <v>-60519261</v>
      </c>
      <c r="K474" s="2">
        <f t="shared" si="3"/>
        <v>9.6946369735214557E-3</v>
      </c>
      <c r="L474" s="2" t="str">
        <f>IF(ISNUMBER(SEARCH("|",IMDB_Movies!$D474)),LEFT(IMDB_Movies!$D474,SEARCH("|",IMDB_Movies!$D474)-1),IMDB_Movies!$D474)</f>
        <v>Action</v>
      </c>
      <c r="V474" s="2"/>
      <c r="W474" s="2"/>
    </row>
    <row r="475" spans="1:23" ht="12.5" x14ac:dyDescent="0.25">
      <c r="A475" s="2" t="s">
        <v>996</v>
      </c>
      <c r="B475" s="2">
        <v>177</v>
      </c>
      <c r="C475" s="2">
        <v>17593391</v>
      </c>
      <c r="D475" s="2" t="s">
        <v>224</v>
      </c>
      <c r="E475" s="2" t="s">
        <v>997</v>
      </c>
      <c r="F475" s="2" t="s">
        <v>14</v>
      </c>
      <c r="G475" s="2" t="s">
        <v>15</v>
      </c>
      <c r="H475" s="2">
        <v>80000000</v>
      </c>
      <c r="I475" s="2">
        <v>6</v>
      </c>
      <c r="J475" s="2">
        <f t="shared" si="2"/>
        <v>-62406609</v>
      </c>
      <c r="K475" s="2">
        <f t="shared" si="3"/>
        <v>9.7163357282471496E-3</v>
      </c>
      <c r="L475" s="2" t="str">
        <f>IF(ISNUMBER(SEARCH("|",IMDB_Movies!$D475)),LEFT(IMDB_Movies!$D475,SEARCH("|",IMDB_Movies!$D475)-1),IMDB_Movies!$D475)</f>
        <v>Action</v>
      </c>
      <c r="V475" s="2"/>
      <c r="W475" s="2"/>
    </row>
    <row r="476" spans="1:23" ht="12.5" x14ac:dyDescent="0.25">
      <c r="A476" s="2" t="s">
        <v>312</v>
      </c>
      <c r="B476" s="2">
        <v>97</v>
      </c>
      <c r="C476" s="2">
        <v>18318000</v>
      </c>
      <c r="D476" s="2" t="s">
        <v>867</v>
      </c>
      <c r="E476" s="2" t="s">
        <v>998</v>
      </c>
      <c r="F476" s="2" t="s">
        <v>14</v>
      </c>
      <c r="G476" s="2" t="s">
        <v>135</v>
      </c>
      <c r="H476" s="2">
        <v>80000000</v>
      </c>
      <c r="I476" s="2">
        <v>5.8</v>
      </c>
      <c r="J476" s="2">
        <f t="shared" si="2"/>
        <v>-61682000</v>
      </c>
      <c r="K476" s="2">
        <f t="shared" si="3"/>
        <v>9.7404523001015739E-3</v>
      </c>
      <c r="L476" s="2" t="str">
        <f>IF(ISNUMBER(SEARCH("|",IMDB_Movies!$D476)),LEFT(IMDB_Movies!$D476,SEARCH("|",IMDB_Movies!$D476)-1),IMDB_Movies!$D476)</f>
        <v>Adventure</v>
      </c>
      <c r="V476" s="2"/>
      <c r="W476" s="2"/>
    </row>
    <row r="477" spans="1:23" ht="12.5" x14ac:dyDescent="0.25">
      <c r="A477" s="2" t="s">
        <v>397</v>
      </c>
      <c r="B477" s="2">
        <v>106</v>
      </c>
      <c r="C477" s="2">
        <v>27356090</v>
      </c>
      <c r="D477" s="2" t="s">
        <v>17</v>
      </c>
      <c r="E477" s="2" t="s">
        <v>999</v>
      </c>
      <c r="F477" s="2" t="s">
        <v>14</v>
      </c>
      <c r="G477" s="2" t="s">
        <v>15</v>
      </c>
      <c r="H477" s="2">
        <v>90000000</v>
      </c>
      <c r="I477" s="2">
        <v>6</v>
      </c>
      <c r="J477" s="2">
        <f t="shared" si="2"/>
        <v>-62643910</v>
      </c>
      <c r="K477" s="2">
        <f t="shared" si="3"/>
        <v>9.7636611819815339E-3</v>
      </c>
      <c r="L477" s="2" t="str">
        <f>IF(ISNUMBER(SEARCH("|",IMDB_Movies!$D477)),LEFT(IMDB_Movies!$D477,SEARCH("|",IMDB_Movies!$D477)-1),IMDB_Movies!$D477)</f>
        <v>Action</v>
      </c>
      <c r="V477" s="2"/>
      <c r="W477" s="2"/>
    </row>
    <row r="478" spans="1:23" ht="12.5" x14ac:dyDescent="0.25">
      <c r="A478" s="2" t="s">
        <v>1000</v>
      </c>
      <c r="B478" s="2">
        <v>106</v>
      </c>
      <c r="C478" s="2">
        <v>17473245</v>
      </c>
      <c r="D478" s="2" t="s">
        <v>981</v>
      </c>
      <c r="E478" s="2" t="s">
        <v>1001</v>
      </c>
      <c r="F478" s="2" t="s">
        <v>14</v>
      </c>
      <c r="G478" s="2" t="s">
        <v>15</v>
      </c>
      <c r="H478" s="2">
        <v>70000000</v>
      </c>
      <c r="I478" s="2">
        <v>5.7</v>
      </c>
      <c r="J478" s="2">
        <f t="shared" si="2"/>
        <v>-52526755</v>
      </c>
      <c r="K478" s="2">
        <f t="shared" si="3"/>
        <v>9.7779339447349803E-3</v>
      </c>
      <c r="L478" s="2" t="str">
        <f>IF(ISNUMBER(SEARCH("|",IMDB_Movies!$D478)),LEFT(IMDB_Movies!$D478,SEARCH("|",IMDB_Movies!$D478)-1),IMDB_Movies!$D478)</f>
        <v>Action</v>
      </c>
      <c r="V478" s="2"/>
      <c r="W478" s="2"/>
    </row>
    <row r="479" spans="1:23" ht="12.5" x14ac:dyDescent="0.25">
      <c r="A479" s="2" t="s">
        <v>711</v>
      </c>
      <c r="B479" s="2">
        <v>94</v>
      </c>
      <c r="C479" s="2">
        <v>15131330</v>
      </c>
      <c r="D479" s="2" t="s">
        <v>240</v>
      </c>
      <c r="E479" s="2" t="s">
        <v>1002</v>
      </c>
      <c r="F479" s="2" t="s">
        <v>14</v>
      </c>
      <c r="G479" s="2" t="s">
        <v>686</v>
      </c>
      <c r="H479" s="2">
        <v>86000000</v>
      </c>
      <c r="I479" s="2">
        <v>6</v>
      </c>
      <c r="J479" s="2">
        <f t="shared" si="2"/>
        <v>-70868670</v>
      </c>
      <c r="K479" s="2">
        <f t="shared" si="3"/>
        <v>9.7970937856276599E-3</v>
      </c>
      <c r="L479" s="2" t="str">
        <f>IF(ISNUMBER(SEARCH("|",IMDB_Movies!$D479)),LEFT(IMDB_Movies!$D479,SEARCH("|",IMDB_Movies!$D479)-1),IMDB_Movies!$D479)</f>
        <v>Adventure</v>
      </c>
      <c r="V479" s="2"/>
      <c r="W479" s="2"/>
    </row>
    <row r="480" spans="1:23" ht="12.5" x14ac:dyDescent="0.25">
      <c r="A480" s="2" t="s">
        <v>1003</v>
      </c>
      <c r="B480" s="2">
        <v>104</v>
      </c>
      <c r="C480" s="2">
        <v>19406406</v>
      </c>
      <c r="D480" s="2" t="s">
        <v>1004</v>
      </c>
      <c r="E480" s="2" t="s">
        <v>1005</v>
      </c>
      <c r="F480" s="2" t="s">
        <v>1006</v>
      </c>
      <c r="G480" s="2" t="s">
        <v>686</v>
      </c>
      <c r="H480" s="2">
        <v>40000000</v>
      </c>
      <c r="I480" s="2">
        <v>7.8</v>
      </c>
      <c r="J480" s="2">
        <f t="shared" si="2"/>
        <v>-20593594</v>
      </c>
      <c r="K480" s="2">
        <f t="shared" si="3"/>
        <v>9.8278891585826655E-3</v>
      </c>
      <c r="L480" s="2" t="str">
        <f>IF(ISNUMBER(SEARCH("|",IMDB_Movies!$D480)),LEFT(IMDB_Movies!$D480,SEARCH("|",IMDB_Movies!$D480)-1),IMDB_Movies!$D480)</f>
        <v>Documentary</v>
      </c>
      <c r="V480" s="2"/>
      <c r="W480" s="2"/>
    </row>
    <row r="481" spans="1:23" ht="12.5" x14ac:dyDescent="0.25">
      <c r="A481" s="2" t="s">
        <v>649</v>
      </c>
      <c r="B481" s="2">
        <v>102</v>
      </c>
      <c r="C481" s="2">
        <v>1891821</v>
      </c>
      <c r="D481" s="2" t="s">
        <v>127</v>
      </c>
      <c r="E481" s="2" t="s">
        <v>1007</v>
      </c>
      <c r="F481" s="2" t="s">
        <v>14</v>
      </c>
      <c r="G481" s="2" t="s">
        <v>22</v>
      </c>
      <c r="H481" s="2">
        <v>52000000</v>
      </c>
      <c r="I481" s="2">
        <v>4.2</v>
      </c>
      <c r="J481" s="2">
        <f t="shared" si="2"/>
        <v>-50108179</v>
      </c>
      <c r="K481" s="2">
        <f t="shared" si="3"/>
        <v>9.8312347944117025E-3</v>
      </c>
      <c r="L481" s="2" t="str">
        <f>IF(ISNUMBER(SEARCH("|",IMDB_Movies!$D481)),LEFT(IMDB_Movies!$D481,SEARCH("|",IMDB_Movies!$D481)-1),IMDB_Movies!$D481)</f>
        <v>Action</v>
      </c>
      <c r="V481" s="2"/>
      <c r="W481" s="2"/>
    </row>
    <row r="482" spans="1:23" ht="12.5" x14ac:dyDescent="0.25">
      <c r="A482" s="2" t="s">
        <v>831</v>
      </c>
      <c r="B482" s="2">
        <v>105</v>
      </c>
      <c r="C482" s="2">
        <v>23219748</v>
      </c>
      <c r="D482" s="2" t="s">
        <v>1008</v>
      </c>
      <c r="E482" s="2" t="s">
        <v>1009</v>
      </c>
      <c r="F482" s="2" t="s">
        <v>14</v>
      </c>
      <c r="G482" s="2" t="s">
        <v>104</v>
      </c>
      <c r="H482" s="2">
        <v>80000000</v>
      </c>
      <c r="I482" s="2">
        <v>5.6</v>
      </c>
      <c r="J482" s="2">
        <f t="shared" si="2"/>
        <v>-56780252</v>
      </c>
      <c r="K482" s="2">
        <f t="shared" si="3"/>
        <v>9.8495519798501713E-3</v>
      </c>
      <c r="L482" s="2" t="str">
        <f>IF(ISNUMBER(SEARCH("|",IMDB_Movies!$D482)),LEFT(IMDB_Movies!$D482,SEARCH("|",IMDB_Movies!$D482)-1),IMDB_Movies!$D482)</f>
        <v>Action</v>
      </c>
      <c r="V482" s="2"/>
      <c r="W482" s="2"/>
    </row>
    <row r="483" spans="1:23" ht="12.5" x14ac:dyDescent="0.25">
      <c r="A483" s="2" t="s">
        <v>314</v>
      </c>
      <c r="B483" s="2">
        <v>135</v>
      </c>
      <c r="C483" s="2">
        <v>170708996</v>
      </c>
      <c r="D483" s="2" t="s">
        <v>555</v>
      </c>
      <c r="E483" s="2" t="s">
        <v>1010</v>
      </c>
      <c r="F483" s="2" t="s">
        <v>14</v>
      </c>
      <c r="G483" s="2" t="s">
        <v>15</v>
      </c>
      <c r="H483" s="2">
        <v>58000000</v>
      </c>
      <c r="I483" s="2">
        <v>8.1999999999999993</v>
      </c>
      <c r="J483" s="2">
        <f t="shared" si="2"/>
        <v>112708996</v>
      </c>
      <c r="K483" s="2">
        <f t="shared" si="3"/>
        <v>9.8666060746684988E-3</v>
      </c>
      <c r="L483" s="2" t="str">
        <f>IF(ISNUMBER(SEARCH("|",IMDB_Movies!$D483)),LEFT(IMDB_Movies!$D483,SEARCH("|",IMDB_Movies!$D483)-1),IMDB_Movies!$D483)</f>
        <v>Biography</v>
      </c>
      <c r="V483" s="2"/>
      <c r="W483" s="2"/>
    </row>
    <row r="484" spans="1:23" ht="12.5" x14ac:dyDescent="0.25">
      <c r="A484" s="2" t="s">
        <v>849</v>
      </c>
      <c r="B484" s="2">
        <v>73</v>
      </c>
      <c r="C484" s="2">
        <v>422783777</v>
      </c>
      <c r="D484" s="2" t="s">
        <v>1011</v>
      </c>
      <c r="E484" s="2" t="s">
        <v>1012</v>
      </c>
      <c r="F484" s="2" t="s">
        <v>14</v>
      </c>
      <c r="G484" s="2" t="s">
        <v>15</v>
      </c>
      <c r="H484" s="2">
        <v>45000000</v>
      </c>
      <c r="I484" s="2">
        <v>8.5</v>
      </c>
      <c r="J484" s="2">
        <f t="shared" si="2"/>
        <v>377783777</v>
      </c>
      <c r="K484" s="2">
        <f t="shared" si="3"/>
        <v>9.7893936770138759E-3</v>
      </c>
      <c r="L484" s="2" t="str">
        <f>IF(ISNUMBER(SEARCH("|",IMDB_Movies!$D484)),LEFT(IMDB_Movies!$D484,SEARCH("|",IMDB_Movies!$D484)-1),IMDB_Movies!$D484)</f>
        <v>Adventure</v>
      </c>
      <c r="V484" s="2"/>
      <c r="W484" s="2"/>
    </row>
    <row r="485" spans="1:23" ht="12.5" x14ac:dyDescent="0.25">
      <c r="A485" s="2" t="s">
        <v>544</v>
      </c>
      <c r="B485" s="2">
        <v>94</v>
      </c>
      <c r="C485" s="2">
        <v>103812241</v>
      </c>
      <c r="D485" s="2" t="s">
        <v>68</v>
      </c>
      <c r="E485" s="2" t="s">
        <v>1013</v>
      </c>
      <c r="F485" s="2" t="s">
        <v>14</v>
      </c>
      <c r="G485" s="2" t="s">
        <v>15</v>
      </c>
      <c r="H485" s="2">
        <v>79000000</v>
      </c>
      <c r="I485" s="2">
        <v>5.8</v>
      </c>
      <c r="J485" s="2">
        <f t="shared" si="2"/>
        <v>24812241</v>
      </c>
      <c r="K485" s="2">
        <f t="shared" si="3"/>
        <v>9.7652545765219579E-3</v>
      </c>
      <c r="L485" s="2" t="str">
        <f>IF(ISNUMBER(SEARCH("|",IMDB_Movies!$D485)),LEFT(IMDB_Movies!$D485,SEARCH("|",IMDB_Movies!$D485)-1),IMDB_Movies!$D485)</f>
        <v>Action</v>
      </c>
      <c r="V485" s="2"/>
      <c r="W485" s="2"/>
    </row>
    <row r="486" spans="1:23" ht="12.5" x14ac:dyDescent="0.25">
      <c r="A486" s="2" t="s">
        <v>1014</v>
      </c>
      <c r="B486" s="2">
        <v>95</v>
      </c>
      <c r="C486" s="2">
        <v>119793567</v>
      </c>
      <c r="D486" s="2" t="s">
        <v>1015</v>
      </c>
      <c r="E486" s="2" t="s">
        <v>1016</v>
      </c>
      <c r="F486" s="2" t="s">
        <v>14</v>
      </c>
      <c r="G486" s="2" t="s">
        <v>15</v>
      </c>
      <c r="H486" s="2">
        <v>78000000</v>
      </c>
      <c r="I486" s="2">
        <v>6.5</v>
      </c>
      <c r="J486" s="2">
        <f t="shared" si="2"/>
        <v>41793567</v>
      </c>
      <c r="K486" s="2">
        <f t="shared" si="3"/>
        <v>9.6848847865455435E-3</v>
      </c>
      <c r="L486" s="2" t="str">
        <f>IF(ISNUMBER(SEARCH("|",IMDB_Movies!$D486)),LEFT(IMDB_Movies!$D486,SEARCH("|",IMDB_Movies!$D486)-1),IMDB_Movies!$D486)</f>
        <v>Animation</v>
      </c>
      <c r="V486" s="2"/>
      <c r="W486" s="2"/>
    </row>
    <row r="487" spans="1:23" ht="12.5" x14ac:dyDescent="0.25">
      <c r="A487" s="2" t="s">
        <v>101</v>
      </c>
      <c r="B487" s="2">
        <v>124</v>
      </c>
      <c r="C487" s="2">
        <v>92930005</v>
      </c>
      <c r="D487" s="2" t="s">
        <v>763</v>
      </c>
      <c r="E487" s="2" t="s">
        <v>1017</v>
      </c>
      <c r="F487" s="2" t="s">
        <v>14</v>
      </c>
      <c r="G487" s="2" t="s">
        <v>287</v>
      </c>
      <c r="H487" s="2">
        <v>78000000</v>
      </c>
      <c r="I487" s="2">
        <v>7.2</v>
      </c>
      <c r="J487" s="2">
        <f t="shared" si="2"/>
        <v>14930005</v>
      </c>
      <c r="K487" s="2">
        <f t="shared" si="3"/>
        <v>9.5884130441318688E-3</v>
      </c>
      <c r="L487" s="2" t="str">
        <f>IF(ISNUMBER(SEARCH("|",IMDB_Movies!$D487)),LEFT(IMDB_Movies!$D487,SEARCH("|",IMDB_Movies!$D487)-1),IMDB_Movies!$D487)</f>
        <v>Crime</v>
      </c>
      <c r="V487" s="2"/>
      <c r="W487" s="2"/>
    </row>
    <row r="488" spans="1:23" ht="12.5" x14ac:dyDescent="0.25">
      <c r="A488" s="2" t="s">
        <v>332</v>
      </c>
      <c r="B488" s="2">
        <v>136</v>
      </c>
      <c r="C488" s="2">
        <v>67286731</v>
      </c>
      <c r="D488" s="2" t="s">
        <v>58</v>
      </c>
      <c r="E488" s="2" t="s">
        <v>1018</v>
      </c>
      <c r="F488" s="2" t="s">
        <v>14</v>
      </c>
      <c r="G488" s="2" t="s">
        <v>15</v>
      </c>
      <c r="H488" s="2">
        <v>100000000</v>
      </c>
      <c r="I488" s="2">
        <v>6.7</v>
      </c>
      <c r="J488" s="2">
        <f t="shared" si="2"/>
        <v>-32713269</v>
      </c>
      <c r="K488" s="2">
        <f t="shared" si="3"/>
        <v>9.5219872605242679E-3</v>
      </c>
      <c r="L488" s="2" t="str">
        <f>IF(ISNUMBER(SEARCH("|",IMDB_Movies!$D488)),LEFT(IMDB_Movies!$D488,SEARCH("|",IMDB_Movies!$D488)-1),IMDB_Movies!$D488)</f>
        <v>Action</v>
      </c>
      <c r="V488" s="2"/>
      <c r="W488" s="2"/>
    </row>
    <row r="489" spans="1:23" ht="12.5" x14ac:dyDescent="0.25">
      <c r="A489" s="2" t="s">
        <v>781</v>
      </c>
      <c r="B489" s="2">
        <v>91</v>
      </c>
      <c r="C489" s="2">
        <v>74158157</v>
      </c>
      <c r="D489" s="2" t="s">
        <v>709</v>
      </c>
      <c r="E489" s="2" t="s">
        <v>1019</v>
      </c>
      <c r="F489" s="2" t="s">
        <v>14</v>
      </c>
      <c r="G489" s="2" t="s">
        <v>15</v>
      </c>
      <c r="H489" s="2">
        <v>79000000</v>
      </c>
      <c r="I489" s="2">
        <v>3.4</v>
      </c>
      <c r="J489" s="2">
        <f t="shared" si="2"/>
        <v>-4841843</v>
      </c>
      <c r="K489" s="2">
        <f t="shared" si="3"/>
        <v>9.466918241554937E-3</v>
      </c>
      <c r="L489" s="2" t="str">
        <f>IF(ISNUMBER(SEARCH("|",IMDB_Movies!$D489)),LEFT(IMDB_Movies!$D489,SEARCH("|",IMDB_Movies!$D489)-1),IMDB_Movies!$D489)</f>
        <v>Comedy</v>
      </c>
      <c r="V489" s="2"/>
      <c r="W489" s="2"/>
    </row>
    <row r="490" spans="1:23" ht="12.5" x14ac:dyDescent="0.25">
      <c r="A490" s="2" t="s">
        <v>1020</v>
      </c>
      <c r="B490" s="2">
        <v>107</v>
      </c>
      <c r="C490" s="2">
        <v>127083765</v>
      </c>
      <c r="D490" s="2" t="s">
        <v>125</v>
      </c>
      <c r="E490" s="2" t="s">
        <v>1021</v>
      </c>
      <c r="F490" s="2" t="s">
        <v>14</v>
      </c>
      <c r="G490" s="2" t="s">
        <v>15</v>
      </c>
      <c r="H490" s="2">
        <v>76000000</v>
      </c>
      <c r="I490" s="2">
        <v>5.9</v>
      </c>
      <c r="J490" s="2">
        <f t="shared" si="2"/>
        <v>51083765</v>
      </c>
      <c r="K490" s="2">
        <f t="shared" si="3"/>
        <v>9.4210355894848875E-3</v>
      </c>
      <c r="L490" s="2" t="str">
        <f>IF(ISNUMBER(SEARCH("|",IMDB_Movies!$D490)),LEFT(IMDB_Movies!$D490,SEARCH("|",IMDB_Movies!$D490)-1),IMDB_Movies!$D490)</f>
        <v>Action</v>
      </c>
      <c r="V490" s="2"/>
      <c r="W490" s="2"/>
    </row>
    <row r="491" spans="1:23" ht="12.5" x14ac:dyDescent="0.25">
      <c r="A491" s="2" t="s">
        <v>427</v>
      </c>
      <c r="B491" s="2">
        <v>108</v>
      </c>
      <c r="C491" s="2">
        <v>1339152</v>
      </c>
      <c r="D491" s="2" t="s">
        <v>1022</v>
      </c>
      <c r="E491" s="2" t="s">
        <v>1023</v>
      </c>
      <c r="F491" s="2" t="s">
        <v>14</v>
      </c>
      <c r="G491" s="2" t="s">
        <v>686</v>
      </c>
      <c r="H491" s="2">
        <v>81200000</v>
      </c>
      <c r="I491" s="2">
        <v>7.8</v>
      </c>
      <c r="J491" s="2">
        <f t="shared" si="2"/>
        <v>-79860848</v>
      </c>
      <c r="K491" s="2">
        <f t="shared" si="3"/>
        <v>9.3209924282787043E-3</v>
      </c>
      <c r="L491" s="2" t="str">
        <f>IF(ISNUMBER(SEARCH("|",IMDB_Movies!$D491)),LEFT(IMDB_Movies!$D491,SEARCH("|",IMDB_Movies!$D491)-1),IMDB_Movies!$D491)</f>
        <v>Adventure</v>
      </c>
      <c r="V491" s="2"/>
      <c r="W491" s="2"/>
    </row>
    <row r="492" spans="1:23" ht="12.5" x14ac:dyDescent="0.25">
      <c r="A492" s="2" t="s">
        <v>1024</v>
      </c>
      <c r="B492" s="2">
        <v>99</v>
      </c>
      <c r="C492" s="2">
        <v>15071514</v>
      </c>
      <c r="D492" s="2" t="s">
        <v>1025</v>
      </c>
      <c r="E492" s="2" t="s">
        <v>1026</v>
      </c>
      <c r="F492" s="2" t="s">
        <v>14</v>
      </c>
      <c r="G492" s="2" t="s">
        <v>15</v>
      </c>
      <c r="H492" s="2">
        <v>80000000</v>
      </c>
      <c r="I492" s="2">
        <v>5.9</v>
      </c>
      <c r="J492" s="2">
        <f t="shared" si="2"/>
        <v>-64928486</v>
      </c>
      <c r="K492" s="2">
        <f t="shared" si="3"/>
        <v>9.3676198783639742E-3</v>
      </c>
      <c r="L492" s="2" t="str">
        <f>IF(ISNUMBER(SEARCH("|",IMDB_Movies!$D492)),LEFT(IMDB_Movies!$D492,SEARCH("|",IMDB_Movies!$D492)-1),IMDB_Movies!$D492)</f>
        <v>Sci-Fi</v>
      </c>
      <c r="V492" s="2"/>
      <c r="W492" s="2"/>
    </row>
    <row r="493" spans="1:23" ht="12.5" x14ac:dyDescent="0.25">
      <c r="A493" s="2" t="s">
        <v>1027</v>
      </c>
      <c r="B493" s="2">
        <v>92</v>
      </c>
      <c r="C493" s="2">
        <v>26000610</v>
      </c>
      <c r="D493" s="2" t="s">
        <v>106</v>
      </c>
      <c r="E493" s="2" t="s">
        <v>1028</v>
      </c>
      <c r="F493" s="2" t="s">
        <v>14</v>
      </c>
      <c r="G493" s="2" t="s">
        <v>15</v>
      </c>
      <c r="H493" s="2">
        <v>76000000</v>
      </c>
      <c r="I493" s="2">
        <v>4.0999999999999996</v>
      </c>
      <c r="J493" s="2">
        <f t="shared" si="2"/>
        <v>-49999390</v>
      </c>
      <c r="K493" s="2">
        <f t="shared" si="3"/>
        <v>9.3951631099690042E-3</v>
      </c>
      <c r="L493" s="2" t="str">
        <f>IF(ISNUMBER(SEARCH("|",IMDB_Movies!$D493)),LEFT(IMDB_Movies!$D493,SEARCH("|",IMDB_Movies!$D493)-1),IMDB_Movies!$D493)</f>
        <v>Adventure</v>
      </c>
      <c r="V493" s="2"/>
      <c r="W493" s="2"/>
    </row>
    <row r="494" spans="1:23" ht="12.5" x14ac:dyDescent="0.25">
      <c r="A494" s="2" t="s">
        <v>1029</v>
      </c>
      <c r="B494" s="2">
        <v>87</v>
      </c>
      <c r="C494" s="2">
        <v>323505540</v>
      </c>
      <c r="D494" s="2" t="s">
        <v>1030</v>
      </c>
      <c r="E494" s="2" t="s">
        <v>1031</v>
      </c>
      <c r="F494" s="2" t="s">
        <v>14</v>
      </c>
      <c r="G494" s="2" t="s">
        <v>1032</v>
      </c>
      <c r="H494" s="2">
        <v>75000000</v>
      </c>
      <c r="I494" s="2">
        <v>6.8</v>
      </c>
      <c r="J494" s="2">
        <f t="shared" si="2"/>
        <v>248505540</v>
      </c>
      <c r="K494" s="2">
        <f t="shared" si="3"/>
        <v>9.4074464356373438E-3</v>
      </c>
      <c r="L494" s="2" t="str">
        <f>IF(ISNUMBER(SEARCH("|",IMDB_Movies!$D494)),LEFT(IMDB_Movies!$D494,SEARCH("|",IMDB_Movies!$D494)-1),IMDB_Movies!$D494)</f>
        <v>Animation</v>
      </c>
      <c r="V494" s="2"/>
      <c r="W494" s="2"/>
    </row>
    <row r="495" spans="1:23" ht="12.5" x14ac:dyDescent="0.25">
      <c r="A495" s="2" t="s">
        <v>1033</v>
      </c>
      <c r="B495" s="2">
        <v>110</v>
      </c>
      <c r="C495" s="2">
        <v>66462600</v>
      </c>
      <c r="D495" s="2" t="s">
        <v>12</v>
      </c>
      <c r="E495" s="2" t="s">
        <v>1034</v>
      </c>
      <c r="F495" s="2" t="s">
        <v>14</v>
      </c>
      <c r="G495" s="2" t="s">
        <v>15</v>
      </c>
      <c r="H495" s="2">
        <v>78000000</v>
      </c>
      <c r="I495" s="2">
        <v>5.8</v>
      </c>
      <c r="J495" s="2">
        <f t="shared" si="2"/>
        <v>-11537400</v>
      </c>
      <c r="K495" s="2">
        <f t="shared" si="3"/>
        <v>9.1328413785341563E-3</v>
      </c>
      <c r="L495" s="2" t="str">
        <f>IF(ISNUMBER(SEARCH("|",IMDB_Movies!$D495)),LEFT(IMDB_Movies!$D495,SEARCH("|",IMDB_Movies!$D495)-1),IMDB_Movies!$D495)</f>
        <v>Action</v>
      </c>
      <c r="V495" s="2"/>
      <c r="W495" s="2"/>
    </row>
    <row r="496" spans="1:23" ht="12.5" x14ac:dyDescent="0.25">
      <c r="A496" s="2" t="s">
        <v>1035</v>
      </c>
      <c r="B496" s="2">
        <v>98</v>
      </c>
      <c r="C496" s="2">
        <v>368049635</v>
      </c>
      <c r="D496" s="2" t="s">
        <v>755</v>
      </c>
      <c r="E496" s="2" t="s">
        <v>1036</v>
      </c>
      <c r="F496" s="2" t="s">
        <v>14</v>
      </c>
      <c r="G496" s="2" t="s">
        <v>15</v>
      </c>
      <c r="H496" s="2">
        <v>76000000</v>
      </c>
      <c r="I496" s="2">
        <v>7.5</v>
      </c>
      <c r="J496" s="2">
        <f t="shared" si="2"/>
        <v>292049635</v>
      </c>
      <c r="K496" s="2">
        <f t="shared" si="3"/>
        <v>9.0965536383087117E-3</v>
      </c>
      <c r="L496" s="2" t="str">
        <f>IF(ISNUMBER(SEARCH("|",IMDB_Movies!$D496)),LEFT(IMDB_Movies!$D496,SEARCH("|",IMDB_Movies!$D496)-1),IMDB_Movies!$D496)</f>
        <v>Animation</v>
      </c>
      <c r="V496" s="2"/>
      <c r="W496" s="2"/>
    </row>
    <row r="497" spans="1:23" ht="12.5" x14ac:dyDescent="0.25">
      <c r="A497" s="2" t="s">
        <v>155</v>
      </c>
      <c r="B497" s="2">
        <v>154</v>
      </c>
      <c r="C497" s="2">
        <v>306124059</v>
      </c>
      <c r="D497" s="2" t="s">
        <v>28</v>
      </c>
      <c r="E497" s="2" t="s">
        <v>1037</v>
      </c>
      <c r="F497" s="2" t="s">
        <v>14</v>
      </c>
      <c r="G497" s="2" t="s">
        <v>15</v>
      </c>
      <c r="H497" s="2">
        <v>75000000</v>
      </c>
      <c r="I497" s="2">
        <v>6.9</v>
      </c>
      <c r="J497" s="2">
        <f t="shared" si="2"/>
        <v>231124059</v>
      </c>
      <c r="K497" s="2">
        <f t="shared" si="3"/>
        <v>8.7752288388591553E-3</v>
      </c>
      <c r="L497" s="2" t="str">
        <f>IF(ISNUMBER(SEARCH("|",IMDB_Movies!$D497)),LEFT(IMDB_Movies!$D497,SEARCH("|",IMDB_Movies!$D497)-1),IMDB_Movies!$D497)</f>
        <v>Action</v>
      </c>
      <c r="V497" s="2"/>
      <c r="W497" s="2"/>
    </row>
    <row r="498" spans="1:23" ht="12.5" x14ac:dyDescent="0.25">
      <c r="A498" s="2" t="s">
        <v>141</v>
      </c>
      <c r="B498" s="2">
        <v>129</v>
      </c>
      <c r="C498" s="2">
        <v>229074524</v>
      </c>
      <c r="D498" s="2" t="s">
        <v>28</v>
      </c>
      <c r="E498" s="2" t="s">
        <v>1038</v>
      </c>
      <c r="F498" s="2" t="s">
        <v>14</v>
      </c>
      <c r="G498" s="2" t="s">
        <v>15</v>
      </c>
      <c r="H498" s="2">
        <v>73000000</v>
      </c>
      <c r="I498" s="2">
        <v>6.5</v>
      </c>
      <c r="J498" s="2">
        <f t="shared" si="2"/>
        <v>156074524</v>
      </c>
      <c r="K498" s="2">
        <f t="shared" si="3"/>
        <v>8.5076889710732524E-3</v>
      </c>
      <c r="L498" s="2" t="str">
        <f>IF(ISNUMBER(SEARCH("|",IMDB_Movies!$D498)),LEFT(IMDB_Movies!$D498,SEARCH("|",IMDB_Movies!$D498)-1),IMDB_Movies!$D498)</f>
        <v>Action</v>
      </c>
      <c r="V498" s="2"/>
      <c r="W498" s="2"/>
    </row>
    <row r="499" spans="1:23" ht="12.5" x14ac:dyDescent="0.25">
      <c r="A499" s="2" t="s">
        <v>299</v>
      </c>
      <c r="B499" s="2">
        <v>86</v>
      </c>
      <c r="C499" s="2">
        <v>193136719</v>
      </c>
      <c r="D499" s="2" t="s">
        <v>181</v>
      </c>
      <c r="E499" s="2" t="s">
        <v>1039</v>
      </c>
      <c r="F499" s="2" t="s">
        <v>14</v>
      </c>
      <c r="G499" s="2" t="s">
        <v>15</v>
      </c>
      <c r="H499" s="2">
        <v>75000000</v>
      </c>
      <c r="I499" s="2">
        <v>6.9</v>
      </c>
      <c r="J499" s="2">
        <f t="shared" si="2"/>
        <v>118136719</v>
      </c>
      <c r="K499" s="2">
        <f t="shared" si="3"/>
        <v>8.3166312233518905E-3</v>
      </c>
      <c r="L499" s="2" t="str">
        <f>IF(ISNUMBER(SEARCH("|",IMDB_Movies!$D499)),LEFT(IMDB_Movies!$D499,SEARCH("|",IMDB_Movies!$D499)-1),IMDB_Movies!$D499)</f>
        <v>Adventure</v>
      </c>
      <c r="V499" s="2"/>
      <c r="W499" s="2"/>
    </row>
    <row r="500" spans="1:23" ht="12.5" x14ac:dyDescent="0.25">
      <c r="A500" s="2" t="s">
        <v>446</v>
      </c>
      <c r="B500" s="2">
        <v>109</v>
      </c>
      <c r="C500" s="2">
        <v>35286428</v>
      </c>
      <c r="D500" s="2" t="s">
        <v>942</v>
      </c>
      <c r="E500" s="2" t="s">
        <v>1040</v>
      </c>
      <c r="F500" s="2" t="s">
        <v>14</v>
      </c>
      <c r="G500" s="2" t="s">
        <v>15</v>
      </c>
      <c r="H500" s="2">
        <v>76000000</v>
      </c>
      <c r="I500" s="2">
        <v>7.9</v>
      </c>
      <c r="J500" s="2">
        <f t="shared" si="2"/>
        <v>-40713572</v>
      </c>
      <c r="K500" s="2">
        <f t="shared" si="3"/>
        <v>8.1483289269618508E-3</v>
      </c>
      <c r="L500" s="2" t="str">
        <f>IF(ISNUMBER(SEARCH("|",IMDB_Movies!$D500)),LEFT(IMDB_Movies!$D500,SEARCH("|",IMDB_Movies!$D500)-1),IMDB_Movies!$D500)</f>
        <v>Drama</v>
      </c>
      <c r="V500" s="2"/>
      <c r="W500" s="2"/>
    </row>
    <row r="501" spans="1:23" ht="12.5" x14ac:dyDescent="0.25">
      <c r="A501" s="2" t="s">
        <v>52</v>
      </c>
      <c r="B501" s="2">
        <v>104</v>
      </c>
      <c r="C501" s="2">
        <v>157299717</v>
      </c>
      <c r="D501" s="2" t="s">
        <v>28</v>
      </c>
      <c r="E501" s="2" t="s">
        <v>1041</v>
      </c>
      <c r="F501" s="2" t="s">
        <v>14</v>
      </c>
      <c r="G501" s="2" t="s">
        <v>15</v>
      </c>
      <c r="H501" s="2">
        <v>75000000</v>
      </c>
      <c r="I501" s="2">
        <v>7.4</v>
      </c>
      <c r="J501" s="2">
        <f t="shared" si="2"/>
        <v>82299717</v>
      </c>
      <c r="K501" s="2">
        <f t="shared" si="3"/>
        <v>8.1493010162722451E-3</v>
      </c>
      <c r="L501" s="2" t="str">
        <f>IF(ISNUMBER(SEARCH("|",IMDB_Movies!$D501)),LEFT(IMDB_Movies!$D501,SEARCH("|",IMDB_Movies!$D501)-1),IMDB_Movies!$D501)</f>
        <v>Action</v>
      </c>
      <c r="V501" s="2"/>
      <c r="W501" s="2"/>
    </row>
    <row r="502" spans="1:23" ht="12.5" x14ac:dyDescent="0.25">
      <c r="A502" s="2" t="s">
        <v>1042</v>
      </c>
      <c r="B502" s="2">
        <v>110</v>
      </c>
      <c r="C502" s="2">
        <v>134568845</v>
      </c>
      <c r="D502" s="2" t="s">
        <v>1043</v>
      </c>
      <c r="E502" s="2" t="s">
        <v>1044</v>
      </c>
      <c r="F502" s="2" t="s">
        <v>14</v>
      </c>
      <c r="G502" s="2" t="s">
        <v>15</v>
      </c>
      <c r="H502" s="2">
        <v>75000000</v>
      </c>
      <c r="I502" s="2">
        <v>6.7</v>
      </c>
      <c r="J502" s="2">
        <f t="shared" si="2"/>
        <v>59568845</v>
      </c>
      <c r="K502" s="2">
        <f t="shared" si="3"/>
        <v>8.0163746492668154E-3</v>
      </c>
      <c r="L502" s="2" t="str">
        <f>IF(ISNUMBER(SEARCH("|",IMDB_Movies!$D502)),LEFT(IMDB_Movies!$D502,SEARCH("|",IMDB_Movies!$D502)-1),IMDB_Movies!$D502)</f>
        <v>Action</v>
      </c>
      <c r="V502" s="2"/>
      <c r="W502" s="2"/>
    </row>
    <row r="503" spans="1:23" ht="12.5" x14ac:dyDescent="0.25">
      <c r="A503" s="2" t="s">
        <v>108</v>
      </c>
      <c r="B503" s="2">
        <v>136</v>
      </c>
      <c r="C503" s="2">
        <v>134006721</v>
      </c>
      <c r="D503" s="2" t="s">
        <v>20</v>
      </c>
      <c r="E503" s="2" t="s">
        <v>1045</v>
      </c>
      <c r="F503" s="2" t="s">
        <v>14</v>
      </c>
      <c r="G503" s="2" t="s">
        <v>15</v>
      </c>
      <c r="H503" s="2">
        <v>75000000</v>
      </c>
      <c r="I503" s="2">
        <v>7.4</v>
      </c>
      <c r="J503" s="2">
        <f t="shared" si="2"/>
        <v>59006721</v>
      </c>
      <c r="K503" s="2">
        <f t="shared" si="3"/>
        <v>7.906821515015889E-3</v>
      </c>
      <c r="L503" s="2" t="str">
        <f>IF(ISNUMBER(SEARCH("|",IMDB_Movies!$D503)),LEFT(IMDB_Movies!$D503,SEARCH("|",IMDB_Movies!$D503)-1),IMDB_Movies!$D503)</f>
        <v>Action</v>
      </c>
      <c r="V503" s="2"/>
      <c r="W503" s="2"/>
    </row>
    <row r="504" spans="1:23" ht="12.5" x14ac:dyDescent="0.25">
      <c r="A504" s="2" t="s">
        <v>466</v>
      </c>
      <c r="B504" s="2">
        <v>115</v>
      </c>
      <c r="C504" s="2">
        <v>195329763</v>
      </c>
      <c r="D504" s="2" t="s">
        <v>384</v>
      </c>
      <c r="E504" s="2" t="s">
        <v>1046</v>
      </c>
      <c r="F504" s="2" t="s">
        <v>14</v>
      </c>
      <c r="G504" s="2" t="s">
        <v>15</v>
      </c>
      <c r="H504" s="2">
        <v>80000000</v>
      </c>
      <c r="I504" s="2">
        <v>6.9</v>
      </c>
      <c r="J504" s="2">
        <f t="shared" si="2"/>
        <v>115329763</v>
      </c>
      <c r="K504" s="2">
        <f t="shared" si="3"/>
        <v>7.7976458827035706E-3</v>
      </c>
      <c r="L504" s="2" t="str">
        <f>IF(ISNUMBER(SEARCH("|",IMDB_Movies!$D504)),LEFT(IMDB_Movies!$D504,SEARCH("|",IMDB_Movies!$D504)-1),IMDB_Movies!$D504)</f>
        <v>Action</v>
      </c>
      <c r="V504" s="2"/>
      <c r="W504" s="2"/>
    </row>
    <row r="505" spans="1:23" ht="12.5" x14ac:dyDescent="0.25">
      <c r="A505" s="2" t="s">
        <v>874</v>
      </c>
      <c r="B505" s="2">
        <v>99</v>
      </c>
      <c r="C505" s="2">
        <v>120776832</v>
      </c>
      <c r="D505" s="2" t="s">
        <v>600</v>
      </c>
      <c r="E505" s="2" t="s">
        <v>1047</v>
      </c>
      <c r="F505" s="2" t="s">
        <v>14</v>
      </c>
      <c r="G505" s="2" t="s">
        <v>15</v>
      </c>
      <c r="H505" s="2">
        <v>75000000</v>
      </c>
      <c r="I505" s="2">
        <v>6.8</v>
      </c>
      <c r="J505" s="2">
        <f t="shared" si="2"/>
        <v>45776832</v>
      </c>
      <c r="K505" s="2">
        <f t="shared" si="3"/>
        <v>7.6029534534870604E-3</v>
      </c>
      <c r="L505" s="2" t="str">
        <f>IF(ISNUMBER(SEARCH("|",IMDB_Movies!$D505)),LEFT(IMDB_Movies!$D505,SEARCH("|",IMDB_Movies!$D505)-1),IMDB_Movies!$D505)</f>
        <v>Comedy</v>
      </c>
      <c r="V505" s="2"/>
      <c r="W505" s="2"/>
    </row>
    <row r="506" spans="1:23" ht="12.5" x14ac:dyDescent="0.25">
      <c r="A506" s="2" t="s">
        <v>918</v>
      </c>
      <c r="B506" s="2">
        <v>117</v>
      </c>
      <c r="C506" s="2">
        <v>118823091</v>
      </c>
      <c r="D506" s="2" t="s">
        <v>1048</v>
      </c>
      <c r="E506" s="2" t="s">
        <v>1049</v>
      </c>
      <c r="F506" s="2" t="s">
        <v>14</v>
      </c>
      <c r="G506" s="2" t="s">
        <v>15</v>
      </c>
      <c r="H506" s="2">
        <v>75000000</v>
      </c>
      <c r="I506" s="2">
        <v>6.7</v>
      </c>
      <c r="J506" s="2">
        <f t="shared" si="2"/>
        <v>43823091</v>
      </c>
      <c r="K506" s="2">
        <f t="shared" si="3"/>
        <v>7.5073528697438404E-3</v>
      </c>
      <c r="L506" s="2" t="str">
        <f>IF(ISNUMBER(SEARCH("|",IMDB_Movies!$D506)),LEFT(IMDB_Movies!$D506,SEARCH("|",IMDB_Movies!$D506)-1),IMDB_Movies!$D506)</f>
        <v>Comedy</v>
      </c>
      <c r="V506" s="2"/>
      <c r="W506" s="2"/>
    </row>
    <row r="507" spans="1:23" ht="12.5" x14ac:dyDescent="0.25">
      <c r="A507" s="2" t="s">
        <v>744</v>
      </c>
      <c r="B507" s="2">
        <v>125</v>
      </c>
      <c r="C507" s="2">
        <v>41814863</v>
      </c>
      <c r="D507" s="2" t="s">
        <v>1050</v>
      </c>
      <c r="E507" s="2" t="s">
        <v>1051</v>
      </c>
      <c r="F507" s="2" t="s">
        <v>14</v>
      </c>
      <c r="G507" s="2" t="s">
        <v>15</v>
      </c>
      <c r="H507" s="2">
        <v>50000000</v>
      </c>
      <c r="I507" s="2">
        <v>5.0999999999999996</v>
      </c>
      <c r="J507" s="2">
        <f t="shared" si="2"/>
        <v>-8185137</v>
      </c>
      <c r="K507" s="2">
        <f t="shared" si="3"/>
        <v>7.4137133177915315E-3</v>
      </c>
      <c r="L507" s="2" t="str">
        <f>IF(ISNUMBER(SEARCH("|",IMDB_Movies!$D507)),LEFT(IMDB_Movies!$D507,SEARCH("|",IMDB_Movies!$D507)-1),IMDB_Movies!$D507)</f>
        <v>Horror</v>
      </c>
      <c r="V507" s="2"/>
      <c r="W507" s="2"/>
    </row>
    <row r="508" spans="1:23" ht="12.5" x14ac:dyDescent="0.25">
      <c r="A508" s="2" t="s">
        <v>1052</v>
      </c>
      <c r="B508" s="2">
        <v>110</v>
      </c>
      <c r="C508" s="2">
        <v>97360069</v>
      </c>
      <c r="D508" s="2" t="s">
        <v>1053</v>
      </c>
      <c r="E508" s="2" t="s">
        <v>1054</v>
      </c>
      <c r="F508" s="2" t="s">
        <v>14</v>
      </c>
      <c r="G508" s="2" t="s">
        <v>15</v>
      </c>
      <c r="H508" s="2">
        <v>75000000</v>
      </c>
      <c r="I508" s="2">
        <v>4.0999999999999996</v>
      </c>
      <c r="J508" s="2">
        <f t="shared" si="2"/>
        <v>22360069</v>
      </c>
      <c r="K508" s="2">
        <f t="shared" si="3"/>
        <v>7.4108958266052363E-3</v>
      </c>
      <c r="L508" s="2" t="str">
        <f>IF(ISNUMBER(SEARCH("|",IMDB_Movies!$D508)),LEFT(IMDB_Movies!$D508,SEARCH("|",IMDB_Movies!$D508)-1),IMDB_Movies!$D508)</f>
        <v>Action</v>
      </c>
      <c r="V508" s="2"/>
      <c r="W508" s="2"/>
    </row>
    <row r="509" spans="1:23" ht="12.5" x14ac:dyDescent="0.25">
      <c r="A509" s="2" t="s">
        <v>413</v>
      </c>
      <c r="B509" s="2">
        <v>125</v>
      </c>
      <c r="C509" s="2">
        <v>117698894</v>
      </c>
      <c r="D509" s="2" t="s">
        <v>793</v>
      </c>
      <c r="E509" s="2" t="s">
        <v>1055</v>
      </c>
      <c r="F509" s="2" t="s">
        <v>14</v>
      </c>
      <c r="G509" s="2" t="s">
        <v>15</v>
      </c>
      <c r="H509" s="2">
        <v>75000000</v>
      </c>
      <c r="I509" s="2">
        <v>7.3</v>
      </c>
      <c r="J509" s="2">
        <f t="shared" si="2"/>
        <v>42698894</v>
      </c>
      <c r="K509" s="2">
        <f t="shared" si="3"/>
        <v>7.3406725299719694E-3</v>
      </c>
      <c r="L509" s="2" t="str">
        <f>IF(ISNUMBER(SEARCH("|",IMDB_Movies!$D509)),LEFT(IMDB_Movies!$D509,SEARCH("|",IMDB_Movies!$D509)-1),IMDB_Movies!$D509)</f>
        <v>Crime</v>
      </c>
      <c r="V509" s="2"/>
      <c r="W509" s="2"/>
    </row>
    <row r="510" spans="1:23" ht="12.5" x14ac:dyDescent="0.25">
      <c r="A510" s="2" t="s">
        <v>781</v>
      </c>
      <c r="B510" s="2">
        <v>102</v>
      </c>
      <c r="C510" s="2">
        <v>162001186</v>
      </c>
      <c r="D510" s="2" t="s">
        <v>709</v>
      </c>
      <c r="E510" s="2" t="s">
        <v>1056</v>
      </c>
      <c r="F510" s="2" t="s">
        <v>14</v>
      </c>
      <c r="G510" s="2" t="s">
        <v>15</v>
      </c>
      <c r="H510" s="2">
        <v>80000000</v>
      </c>
      <c r="I510" s="2">
        <v>6</v>
      </c>
      <c r="J510" s="2">
        <f t="shared" si="2"/>
        <v>82001186</v>
      </c>
      <c r="K510" s="2">
        <f t="shared" si="3"/>
        <v>7.2479808863829829E-3</v>
      </c>
      <c r="L510" s="2" t="str">
        <f>IF(ISNUMBER(SEARCH("|",IMDB_Movies!$D510)),LEFT(IMDB_Movies!$D510,SEARCH("|",IMDB_Movies!$D510)-1),IMDB_Movies!$D510)</f>
        <v>Comedy</v>
      </c>
      <c r="V510" s="2"/>
      <c r="W510" s="2"/>
    </row>
    <row r="511" spans="1:23" ht="12.5" x14ac:dyDescent="0.25">
      <c r="A511" s="2" t="s">
        <v>141</v>
      </c>
      <c r="B511" s="2">
        <v>128</v>
      </c>
      <c r="C511" s="2">
        <v>77032279</v>
      </c>
      <c r="D511" s="2" t="s">
        <v>891</v>
      </c>
      <c r="E511" s="2" t="s">
        <v>1057</v>
      </c>
      <c r="F511" s="2" t="s">
        <v>14</v>
      </c>
      <c r="G511" s="2" t="s">
        <v>15</v>
      </c>
      <c r="H511" s="2">
        <v>60000000</v>
      </c>
      <c r="I511" s="2">
        <v>7.3</v>
      </c>
      <c r="J511" s="2">
        <f t="shared" si="2"/>
        <v>17032279</v>
      </c>
      <c r="K511" s="2">
        <f t="shared" si="3"/>
        <v>7.0901369246923465E-3</v>
      </c>
      <c r="L511" s="2" t="str">
        <f>IF(ISNUMBER(SEARCH("|",IMDB_Movies!$D511)),LEFT(IMDB_Movies!$D511,SEARCH("|",IMDB_Movies!$D511)-1),IMDB_Movies!$D511)</f>
        <v>Comedy</v>
      </c>
      <c r="V511" s="2"/>
      <c r="W511" s="2"/>
    </row>
    <row r="512" spans="1:23" ht="12.5" x14ac:dyDescent="0.25">
      <c r="A512" s="2" t="s">
        <v>796</v>
      </c>
      <c r="B512" s="2">
        <v>100</v>
      </c>
      <c r="C512" s="2">
        <v>73023275</v>
      </c>
      <c r="D512" s="2" t="s">
        <v>1058</v>
      </c>
      <c r="E512" s="2" t="s">
        <v>1059</v>
      </c>
      <c r="F512" s="2" t="s">
        <v>14</v>
      </c>
      <c r="G512" s="2" t="s">
        <v>15</v>
      </c>
      <c r="H512" s="2">
        <v>35000000</v>
      </c>
      <c r="I512" s="2">
        <v>5.4</v>
      </c>
      <c r="J512" s="2">
        <f t="shared" ref="J512:J766" si="4">(C512-H512)</f>
        <v>38023275</v>
      </c>
      <c r="K512" s="2">
        <f t="shared" si="3"/>
        <v>7.0596926302284851E-3</v>
      </c>
      <c r="L512" s="2" t="str">
        <f>IF(ISNUMBER(SEARCH("|",IMDB_Movies!$D512)),LEFT(IMDB_Movies!$D512,SEARCH("|",IMDB_Movies!$D512)-1),IMDB_Movies!$D512)</f>
        <v>Comedy</v>
      </c>
      <c r="V512" s="2"/>
      <c r="W512" s="2"/>
    </row>
    <row r="513" spans="1:23" ht="12.5" x14ac:dyDescent="0.25">
      <c r="A513" s="2" t="s">
        <v>118</v>
      </c>
      <c r="B513" s="2">
        <v>124</v>
      </c>
      <c r="C513" s="2">
        <v>68473360</v>
      </c>
      <c r="D513" s="2" t="s">
        <v>267</v>
      </c>
      <c r="E513" s="2" t="s">
        <v>1060</v>
      </c>
      <c r="F513" s="2" t="s">
        <v>14</v>
      </c>
      <c r="G513" s="2" t="s">
        <v>15</v>
      </c>
      <c r="H513" s="2">
        <v>75000000</v>
      </c>
      <c r="I513" s="2">
        <v>5.9</v>
      </c>
      <c r="J513" s="2">
        <f t="shared" si="4"/>
        <v>-6526640</v>
      </c>
      <c r="K513" s="2">
        <f t="shared" ref="K513:K767" si="5">CORREL(H513:H4298,C513:C4298)</f>
        <v>7.0581194104222325E-3</v>
      </c>
      <c r="L513" s="2" t="str">
        <f>IF(ISNUMBER(SEARCH("|",IMDB_Movies!$D513)),LEFT(IMDB_Movies!$D513,SEARCH("|",IMDB_Movies!$D513)-1),IMDB_Movies!$D513)</f>
        <v>Action</v>
      </c>
      <c r="V513" s="2"/>
      <c r="W513" s="2"/>
    </row>
    <row r="514" spans="1:23" ht="12.5" x14ac:dyDescent="0.25">
      <c r="A514" s="2" t="s">
        <v>1061</v>
      </c>
      <c r="B514" s="2">
        <v>102</v>
      </c>
      <c r="C514" s="2">
        <v>66636385</v>
      </c>
      <c r="D514" s="2" t="s">
        <v>1062</v>
      </c>
      <c r="E514" s="2" t="s">
        <v>1063</v>
      </c>
      <c r="F514" s="2" t="s">
        <v>14</v>
      </c>
      <c r="G514" s="2" t="s">
        <v>15</v>
      </c>
      <c r="H514" s="2">
        <v>75000000</v>
      </c>
      <c r="I514" s="2">
        <v>7.1</v>
      </c>
      <c r="J514" s="2">
        <f t="shared" si="4"/>
        <v>-8363615</v>
      </c>
      <c r="K514" s="2">
        <f t="shared" si="5"/>
        <v>7.0201236221560867E-3</v>
      </c>
      <c r="L514" s="2" t="str">
        <f>IF(ISNUMBER(SEARCH("|",IMDB_Movies!$D514)),LEFT(IMDB_Movies!$D514,SEARCH("|",IMDB_Movies!$D514)-1),IMDB_Movies!$D514)</f>
        <v>Biography</v>
      </c>
      <c r="V514" s="2"/>
      <c r="W514" s="2"/>
    </row>
    <row r="515" spans="1:23" ht="12.5" x14ac:dyDescent="0.25">
      <c r="A515" s="2" t="s">
        <v>715</v>
      </c>
      <c r="B515" s="2">
        <v>90</v>
      </c>
      <c r="C515" s="2">
        <v>160762022</v>
      </c>
      <c r="D515" s="2" t="s">
        <v>181</v>
      </c>
      <c r="E515" s="2" t="s">
        <v>1064</v>
      </c>
      <c r="F515" s="2" t="s">
        <v>14</v>
      </c>
      <c r="G515" s="2" t="s">
        <v>15</v>
      </c>
      <c r="H515" s="2">
        <v>75000000</v>
      </c>
      <c r="I515" s="2">
        <v>6</v>
      </c>
      <c r="J515" s="2">
        <f t="shared" si="4"/>
        <v>85762022</v>
      </c>
      <c r="K515" s="2">
        <f t="shared" si="5"/>
        <v>6.984206121303245E-3</v>
      </c>
      <c r="L515" s="2" t="str">
        <f>IF(ISNUMBER(SEARCH("|",IMDB_Movies!$D515)),LEFT(IMDB_Movies!$D515,SEARCH("|",IMDB_Movies!$D515)-1),IMDB_Movies!$D515)</f>
        <v>Adventure</v>
      </c>
      <c r="V515" s="2"/>
      <c r="W515" s="2"/>
    </row>
    <row r="516" spans="1:23" ht="12.5" x14ac:dyDescent="0.25">
      <c r="A516" s="2" t="s">
        <v>408</v>
      </c>
      <c r="B516" s="2">
        <v>130</v>
      </c>
      <c r="C516" s="2">
        <v>103338338</v>
      </c>
      <c r="D516" s="2" t="s">
        <v>1065</v>
      </c>
      <c r="E516" s="2" t="s">
        <v>1066</v>
      </c>
      <c r="F516" s="2" t="s">
        <v>14</v>
      </c>
      <c r="G516" s="2" t="s">
        <v>15</v>
      </c>
      <c r="H516" s="2">
        <v>70000000</v>
      </c>
      <c r="I516" s="2">
        <v>6.5</v>
      </c>
      <c r="J516" s="2">
        <f t="shared" si="4"/>
        <v>33338338</v>
      </c>
      <c r="K516" s="2">
        <f t="shared" si="5"/>
        <v>6.8445140287495152E-3</v>
      </c>
      <c r="L516" s="2" t="str">
        <f>IF(ISNUMBER(SEARCH("|",IMDB_Movies!$D516)),LEFT(IMDB_Movies!$D516,SEARCH("|",IMDB_Movies!$D516)-1),IMDB_Movies!$D516)</f>
        <v>Drama</v>
      </c>
      <c r="V516" s="2"/>
      <c r="W516" s="2"/>
    </row>
    <row r="517" spans="1:23" ht="12.5" x14ac:dyDescent="0.25">
      <c r="A517" s="2" t="s">
        <v>1067</v>
      </c>
      <c r="B517" s="2">
        <v>118</v>
      </c>
      <c r="C517" s="2">
        <v>55808744</v>
      </c>
      <c r="D517" s="2" t="s">
        <v>1068</v>
      </c>
      <c r="E517" s="2" t="s">
        <v>1069</v>
      </c>
      <c r="F517" s="2" t="s">
        <v>14</v>
      </c>
      <c r="G517" s="2" t="s">
        <v>15</v>
      </c>
      <c r="H517" s="2">
        <v>53000000</v>
      </c>
      <c r="I517" s="2">
        <v>5.7</v>
      </c>
      <c r="J517" s="2">
        <f t="shared" si="4"/>
        <v>2808744</v>
      </c>
      <c r="K517" s="2">
        <f t="shared" si="5"/>
        <v>6.7763330902669283E-3</v>
      </c>
      <c r="L517" s="2" t="str">
        <f>IF(ISNUMBER(SEARCH("|",IMDB_Movies!$D517)),LEFT(IMDB_Movies!$D517,SEARCH("|",IMDB_Movies!$D517)-1),IMDB_Movies!$D517)</f>
        <v>Comedy</v>
      </c>
      <c r="V517" s="2"/>
      <c r="W517" s="2"/>
    </row>
    <row r="518" spans="1:23" ht="12.5" x14ac:dyDescent="0.25">
      <c r="A518" s="2" t="s">
        <v>141</v>
      </c>
      <c r="B518" s="2">
        <v>163</v>
      </c>
      <c r="C518" s="2">
        <v>47379090</v>
      </c>
      <c r="D518" s="2" t="s">
        <v>983</v>
      </c>
      <c r="E518" s="2" t="s">
        <v>1070</v>
      </c>
      <c r="F518" s="2" t="s">
        <v>14</v>
      </c>
      <c r="G518" s="2" t="s">
        <v>686</v>
      </c>
      <c r="H518" s="2">
        <v>70000000</v>
      </c>
      <c r="I518" s="2">
        <v>7.6</v>
      </c>
      <c r="J518" s="2">
        <f t="shared" si="4"/>
        <v>-22620910</v>
      </c>
      <c r="K518" s="2">
        <f t="shared" si="5"/>
        <v>6.7651333724504216E-3</v>
      </c>
      <c r="L518" s="2" t="str">
        <f>IF(ISNUMBER(SEARCH("|",IMDB_Movies!$D518)),LEFT(IMDB_Movies!$D518,SEARCH("|",IMDB_Movies!$D518)-1),IMDB_Movies!$D518)</f>
        <v>Drama</v>
      </c>
      <c r="V518" s="2"/>
      <c r="W518" s="2"/>
    </row>
    <row r="519" spans="1:23" ht="12.5" x14ac:dyDescent="0.25">
      <c r="A519" s="2" t="s">
        <v>1071</v>
      </c>
      <c r="B519" s="2">
        <v>142</v>
      </c>
      <c r="C519" s="2">
        <v>43426961</v>
      </c>
      <c r="D519" s="2" t="s">
        <v>684</v>
      </c>
      <c r="E519" s="2" t="s">
        <v>1072</v>
      </c>
      <c r="F519" s="2" t="s">
        <v>14</v>
      </c>
      <c r="G519" s="2" t="s">
        <v>15</v>
      </c>
      <c r="H519" s="2">
        <v>70000000</v>
      </c>
      <c r="I519" s="2">
        <v>6.6</v>
      </c>
      <c r="J519" s="2">
        <f t="shared" si="4"/>
        <v>-26573039</v>
      </c>
      <c r="K519" s="2">
        <f t="shared" si="5"/>
        <v>6.7530222001396557E-3</v>
      </c>
      <c r="L519" s="2" t="str">
        <f>IF(ISNUMBER(SEARCH("|",IMDB_Movies!$D519)),LEFT(IMDB_Movies!$D519,SEARCH("|",IMDB_Movies!$D519)-1),IMDB_Movies!$D519)</f>
        <v>Action</v>
      </c>
      <c r="V519" s="2"/>
      <c r="W519" s="2"/>
    </row>
    <row r="520" spans="1:23" ht="12.5" x14ac:dyDescent="0.25">
      <c r="A520" s="2" t="s">
        <v>1073</v>
      </c>
      <c r="B520" s="2">
        <v>100</v>
      </c>
      <c r="C520" s="2">
        <v>47000485</v>
      </c>
      <c r="D520" s="2" t="s">
        <v>1074</v>
      </c>
      <c r="E520" s="2" t="s">
        <v>1075</v>
      </c>
      <c r="F520" s="2" t="s">
        <v>14</v>
      </c>
      <c r="G520" s="2" t="s">
        <v>15</v>
      </c>
      <c r="H520" s="2">
        <v>75000000</v>
      </c>
      <c r="I520" s="2">
        <v>5.4</v>
      </c>
      <c r="J520" s="2">
        <f t="shared" si="4"/>
        <v>-27999515</v>
      </c>
      <c r="K520" s="2">
        <f t="shared" si="5"/>
        <v>6.7449885000435243E-3</v>
      </c>
      <c r="L520" s="2" t="str">
        <f>IF(ISNUMBER(SEARCH("|",IMDB_Movies!$D520)),LEFT(IMDB_Movies!$D520,SEARCH("|",IMDB_Movies!$D520)-1),IMDB_Movies!$D520)</f>
        <v>Action</v>
      </c>
      <c r="V520" s="2"/>
      <c r="W520" s="2"/>
    </row>
    <row r="521" spans="1:23" ht="12.5" x14ac:dyDescent="0.25">
      <c r="A521" s="2" t="s">
        <v>471</v>
      </c>
      <c r="B521" s="2">
        <v>116</v>
      </c>
      <c r="C521" s="2">
        <v>45434443</v>
      </c>
      <c r="D521" s="2" t="s">
        <v>582</v>
      </c>
      <c r="E521" s="2" t="s">
        <v>1076</v>
      </c>
      <c r="F521" s="2" t="s">
        <v>14</v>
      </c>
      <c r="G521" s="2" t="s">
        <v>15</v>
      </c>
      <c r="H521" s="2">
        <v>75000000</v>
      </c>
      <c r="I521" s="2">
        <v>7.3</v>
      </c>
      <c r="J521" s="2">
        <f t="shared" si="4"/>
        <v>-29565557</v>
      </c>
      <c r="K521" s="2">
        <f t="shared" si="5"/>
        <v>6.7316754321888822E-3</v>
      </c>
      <c r="L521" s="2" t="str">
        <f>IF(ISNUMBER(SEARCH("|",IMDB_Movies!$D521)),LEFT(IMDB_Movies!$D521,SEARCH("|",IMDB_Movies!$D521)-1),IMDB_Movies!$D521)</f>
        <v>Action</v>
      </c>
      <c r="V521" s="2"/>
      <c r="W521" s="2"/>
    </row>
    <row r="522" spans="1:23" ht="12.5" x14ac:dyDescent="0.25">
      <c r="A522" s="2" t="s">
        <v>513</v>
      </c>
      <c r="B522" s="2">
        <v>131</v>
      </c>
      <c r="C522" s="2">
        <v>42044321</v>
      </c>
      <c r="D522" s="2" t="s">
        <v>514</v>
      </c>
      <c r="E522" s="2" t="s">
        <v>1077</v>
      </c>
      <c r="F522" s="2" t="s">
        <v>14</v>
      </c>
      <c r="G522" s="2" t="s">
        <v>15</v>
      </c>
      <c r="H522" s="2">
        <v>80000000</v>
      </c>
      <c r="I522" s="2">
        <v>6.5</v>
      </c>
      <c r="J522" s="2">
        <f t="shared" si="4"/>
        <v>-37955679</v>
      </c>
      <c r="K522" s="2">
        <f t="shared" si="5"/>
        <v>6.7201917145951239E-3</v>
      </c>
      <c r="L522" s="2" t="str">
        <f>IF(ISNUMBER(SEARCH("|",IMDB_Movies!$D522)),LEFT(IMDB_Movies!$D522,SEARCH("|",IMDB_Movies!$D522)-1),IMDB_Movies!$D522)</f>
        <v>Comedy</v>
      </c>
      <c r="V522" s="2"/>
      <c r="W522" s="2"/>
    </row>
    <row r="523" spans="1:23" ht="12.5" x14ac:dyDescent="0.25">
      <c r="A523" s="2" t="s">
        <v>1078</v>
      </c>
      <c r="B523" s="2">
        <v>91</v>
      </c>
      <c r="C523" s="2">
        <v>73661010</v>
      </c>
      <c r="D523" s="2" t="s">
        <v>1079</v>
      </c>
      <c r="E523" s="2" t="s">
        <v>1080</v>
      </c>
      <c r="F523" s="2" t="s">
        <v>14</v>
      </c>
      <c r="G523" s="2" t="s">
        <v>15</v>
      </c>
      <c r="H523" s="2">
        <v>75000000</v>
      </c>
      <c r="I523" s="2">
        <v>6.6</v>
      </c>
      <c r="J523" s="2">
        <f t="shared" si="4"/>
        <v>-1338990</v>
      </c>
      <c r="K523" s="2">
        <f t="shared" si="5"/>
        <v>6.7118039675710742E-3</v>
      </c>
      <c r="L523" s="2" t="str">
        <f>IF(ISNUMBER(SEARCH("|",IMDB_Movies!$D523)),LEFT(IMDB_Movies!$D523,SEARCH("|",IMDB_Movies!$D523)-1),IMDB_Movies!$D523)</f>
        <v>Animation</v>
      </c>
      <c r="V523" s="2"/>
      <c r="W523" s="2"/>
    </row>
    <row r="524" spans="1:23" ht="12.5" x14ac:dyDescent="0.25">
      <c r="A524" s="2" t="s">
        <v>1081</v>
      </c>
      <c r="B524" s="2">
        <v>123</v>
      </c>
      <c r="C524" s="2">
        <v>41523271</v>
      </c>
      <c r="D524" s="2" t="s">
        <v>1082</v>
      </c>
      <c r="E524" s="2" t="s">
        <v>1083</v>
      </c>
      <c r="F524" s="2" t="s">
        <v>14</v>
      </c>
      <c r="G524" s="2" t="s">
        <v>15</v>
      </c>
      <c r="H524" s="2">
        <v>80000000</v>
      </c>
      <c r="I524" s="2">
        <v>6.6</v>
      </c>
      <c r="J524" s="2">
        <f t="shared" si="4"/>
        <v>-38476729</v>
      </c>
      <c r="K524" s="2">
        <f t="shared" si="5"/>
        <v>6.6675241794244711E-3</v>
      </c>
      <c r="L524" s="2" t="str">
        <f>IF(ISNUMBER(SEARCH("|",IMDB_Movies!$D524)),LEFT(IMDB_Movies!$D524,SEARCH("|",IMDB_Movies!$D524)-1),IMDB_Movies!$D524)</f>
        <v>Comedy</v>
      </c>
      <c r="V524" s="2"/>
      <c r="W524" s="2"/>
    </row>
    <row r="525" spans="1:23" ht="12.5" x14ac:dyDescent="0.25">
      <c r="A525" s="2" t="s">
        <v>1084</v>
      </c>
      <c r="B525" s="2">
        <v>134</v>
      </c>
      <c r="C525" s="2">
        <v>37600435</v>
      </c>
      <c r="D525" s="2" t="s">
        <v>1085</v>
      </c>
      <c r="E525" s="2" t="s">
        <v>1086</v>
      </c>
      <c r="F525" s="2" t="s">
        <v>14</v>
      </c>
      <c r="G525" s="2" t="s">
        <v>15</v>
      </c>
      <c r="H525" s="2">
        <v>55000000</v>
      </c>
      <c r="I525" s="2">
        <v>5.9</v>
      </c>
      <c r="J525" s="2">
        <f t="shared" si="4"/>
        <v>-17399565</v>
      </c>
      <c r="K525" s="2">
        <f t="shared" si="5"/>
        <v>6.6597995686115399E-3</v>
      </c>
      <c r="L525" s="2" t="str">
        <f>IF(ISNUMBER(SEARCH("|",IMDB_Movies!$D525)),LEFT(IMDB_Movies!$D525,SEARCH("|",IMDB_Movies!$D525)-1),IMDB_Movies!$D525)</f>
        <v>Action</v>
      </c>
      <c r="V525" s="2"/>
      <c r="W525" s="2"/>
    </row>
    <row r="526" spans="1:23" ht="12.5" x14ac:dyDescent="0.25">
      <c r="A526" s="2" t="s">
        <v>1087</v>
      </c>
      <c r="B526" s="2">
        <v>148</v>
      </c>
      <c r="C526" s="2">
        <v>39251128</v>
      </c>
      <c r="D526" s="2" t="s">
        <v>1088</v>
      </c>
      <c r="E526" s="2" t="s">
        <v>1089</v>
      </c>
      <c r="F526" s="2" t="s">
        <v>14</v>
      </c>
      <c r="G526" s="2" t="s">
        <v>15</v>
      </c>
      <c r="H526" s="2">
        <v>75000000</v>
      </c>
      <c r="I526" s="2">
        <v>6.7</v>
      </c>
      <c r="J526" s="2">
        <f t="shared" si="4"/>
        <v>-35748872</v>
      </c>
      <c r="K526" s="2">
        <f t="shared" si="5"/>
        <v>6.6585898727073234E-3</v>
      </c>
      <c r="L526" s="2" t="str">
        <f>IF(ISNUMBER(SEARCH("|",IMDB_Movies!$D526)),LEFT(IMDB_Movies!$D526,SEARCH("|",IMDB_Movies!$D526)-1),IMDB_Movies!$D526)</f>
        <v>Drama</v>
      </c>
      <c r="V526" s="2"/>
      <c r="W526" s="2"/>
    </row>
    <row r="527" spans="1:23" ht="12.5" x14ac:dyDescent="0.25">
      <c r="A527" s="2" t="s">
        <v>866</v>
      </c>
      <c r="B527" s="2">
        <v>110</v>
      </c>
      <c r="C527" s="2">
        <v>83503161</v>
      </c>
      <c r="D527" s="2" t="s">
        <v>1090</v>
      </c>
      <c r="E527" s="2" t="s">
        <v>1091</v>
      </c>
      <c r="F527" s="2" t="s">
        <v>14</v>
      </c>
      <c r="G527" s="2" t="s">
        <v>15</v>
      </c>
      <c r="H527" s="2">
        <v>75000000</v>
      </c>
      <c r="I527" s="2">
        <v>6.1</v>
      </c>
      <c r="J527" s="2">
        <f t="shared" si="4"/>
        <v>8503161</v>
      </c>
      <c r="K527" s="2">
        <f t="shared" si="5"/>
        <v>6.6543568022588914E-3</v>
      </c>
      <c r="L527" s="2" t="str">
        <f>IF(ISNUMBER(SEARCH("|",IMDB_Movies!$D527)),LEFT(IMDB_Movies!$D527,SEARCH("|",IMDB_Movies!$D527)-1),IMDB_Movies!$D527)</f>
        <v>Action</v>
      </c>
      <c r="V527" s="2"/>
      <c r="W527" s="2"/>
    </row>
    <row r="528" spans="1:23" ht="12.5" x14ac:dyDescent="0.25">
      <c r="A528" s="2" t="s">
        <v>1092</v>
      </c>
      <c r="B528" s="2">
        <v>113</v>
      </c>
      <c r="C528" s="2">
        <v>34636443</v>
      </c>
      <c r="D528" s="2" t="s">
        <v>845</v>
      </c>
      <c r="E528" s="2" t="s">
        <v>1093</v>
      </c>
      <c r="F528" s="2" t="s">
        <v>14</v>
      </c>
      <c r="G528" s="2" t="s">
        <v>15</v>
      </c>
      <c r="H528" s="2">
        <v>52000000</v>
      </c>
      <c r="I528" s="2">
        <v>6.6</v>
      </c>
      <c r="J528" s="2">
        <f t="shared" si="4"/>
        <v>-17363557</v>
      </c>
      <c r="K528" s="2">
        <f t="shared" si="5"/>
        <v>6.5987305025245703E-3</v>
      </c>
      <c r="L528" s="2" t="str">
        <f>IF(ISNUMBER(SEARCH("|",IMDB_Movies!$D528)),LEFT(IMDB_Movies!$D528,SEARCH("|",IMDB_Movies!$D528)-1),IMDB_Movies!$D528)</f>
        <v>Action</v>
      </c>
      <c r="V528" s="2"/>
      <c r="W528" s="2"/>
    </row>
    <row r="529" spans="1:23" ht="12.5" x14ac:dyDescent="0.25">
      <c r="A529" s="2" t="s">
        <v>1094</v>
      </c>
      <c r="B529" s="2">
        <v>94</v>
      </c>
      <c r="C529" s="2">
        <v>22751979</v>
      </c>
      <c r="D529" s="2" t="s">
        <v>1095</v>
      </c>
      <c r="E529" s="2" t="s">
        <v>1096</v>
      </c>
      <c r="F529" s="2" t="s">
        <v>14</v>
      </c>
      <c r="G529" s="2" t="s">
        <v>15</v>
      </c>
      <c r="H529" s="2">
        <v>75000000</v>
      </c>
      <c r="I529" s="2">
        <v>6.6</v>
      </c>
      <c r="J529" s="2">
        <f t="shared" si="4"/>
        <v>-52248021</v>
      </c>
      <c r="K529" s="2">
        <f t="shared" si="5"/>
        <v>6.5992787489249135E-3</v>
      </c>
      <c r="L529" s="2" t="str">
        <f>IF(ISNUMBER(SEARCH("|",IMDB_Movies!$D529)),LEFT(IMDB_Movies!$D529,SEARCH("|",IMDB_Movies!$D529)-1),IMDB_Movies!$D529)</f>
        <v>Action</v>
      </c>
      <c r="V529" s="2"/>
      <c r="W529" s="2"/>
    </row>
    <row r="530" spans="1:23" ht="12.5" x14ac:dyDescent="0.25">
      <c r="A530" s="2" t="s">
        <v>1097</v>
      </c>
      <c r="B530" s="2">
        <v>116</v>
      </c>
      <c r="C530" s="2">
        <v>30013346</v>
      </c>
      <c r="D530" s="2" t="s">
        <v>150</v>
      </c>
      <c r="E530" s="2" t="s">
        <v>1098</v>
      </c>
      <c r="F530" s="2" t="s">
        <v>14</v>
      </c>
      <c r="G530" s="2" t="s">
        <v>15</v>
      </c>
      <c r="H530" s="2">
        <v>75000000</v>
      </c>
      <c r="I530" s="2">
        <v>5.3</v>
      </c>
      <c r="J530" s="2">
        <f t="shared" si="4"/>
        <v>-44986654</v>
      </c>
      <c r="K530" s="2">
        <f t="shared" si="5"/>
        <v>6.6146816168567244E-3</v>
      </c>
      <c r="L530" s="2" t="str">
        <f>IF(ISNUMBER(SEARCH("|",IMDB_Movies!$D530)),LEFT(IMDB_Movies!$D530,SEARCH("|",IMDB_Movies!$D530)-1),IMDB_Movies!$D530)</f>
        <v>Action</v>
      </c>
      <c r="V530" s="2"/>
      <c r="W530" s="2"/>
    </row>
    <row r="531" spans="1:23" ht="12.5" x14ac:dyDescent="0.25">
      <c r="A531" s="2" t="s">
        <v>831</v>
      </c>
      <c r="B531" s="2">
        <v>99</v>
      </c>
      <c r="C531" s="2">
        <v>14567883</v>
      </c>
      <c r="D531" s="2" t="s">
        <v>1099</v>
      </c>
      <c r="E531" s="2" t="s">
        <v>1100</v>
      </c>
      <c r="F531" s="2" t="s">
        <v>14</v>
      </c>
      <c r="G531" s="2" t="s">
        <v>22</v>
      </c>
      <c r="H531" s="2">
        <v>75000000</v>
      </c>
      <c r="I531" s="2">
        <v>6</v>
      </c>
      <c r="J531" s="2">
        <f t="shared" si="4"/>
        <v>-60432117</v>
      </c>
      <c r="K531" s="2">
        <f t="shared" si="5"/>
        <v>6.621407059969546E-3</v>
      </c>
      <c r="L531" s="2" t="str">
        <f>IF(ISNUMBER(SEARCH("|",IMDB_Movies!$D531)),LEFT(IMDB_Movies!$D531,SEARCH("|",IMDB_Movies!$D531)-1),IMDB_Movies!$D531)</f>
        <v>Action</v>
      </c>
      <c r="V531" s="2"/>
      <c r="W531" s="2"/>
    </row>
    <row r="532" spans="1:23" ht="12.5" x14ac:dyDescent="0.25">
      <c r="A532" s="2" t="s">
        <v>1101</v>
      </c>
      <c r="B532" s="2">
        <v>93</v>
      </c>
      <c r="C532" s="2">
        <v>5409517</v>
      </c>
      <c r="D532" s="2" t="s">
        <v>1102</v>
      </c>
      <c r="E532" s="2" t="s">
        <v>1103</v>
      </c>
      <c r="F532" s="2" t="s">
        <v>14</v>
      </c>
      <c r="G532" s="2" t="s">
        <v>15</v>
      </c>
      <c r="H532" s="2">
        <v>75000000</v>
      </c>
      <c r="I532" s="2">
        <v>4.7</v>
      </c>
      <c r="J532" s="2">
        <f t="shared" si="4"/>
        <v>-69590483</v>
      </c>
      <c r="K532" s="2">
        <f t="shared" si="5"/>
        <v>6.6466833394702935E-3</v>
      </c>
      <c r="L532" s="2" t="str">
        <f>IF(ISNUMBER(SEARCH("|",IMDB_Movies!$D532)),LEFT(IMDB_Movies!$D532,SEARCH("|",IMDB_Movies!$D532)-1),IMDB_Movies!$D532)</f>
        <v>Animation</v>
      </c>
      <c r="V532" s="2"/>
      <c r="W532" s="2"/>
    </row>
    <row r="533" spans="1:23" ht="12.5" x14ac:dyDescent="0.25">
      <c r="A533" s="2" t="s">
        <v>737</v>
      </c>
      <c r="B533" s="2">
        <v>113</v>
      </c>
      <c r="C533" s="2">
        <v>21009180</v>
      </c>
      <c r="D533" s="2" t="s">
        <v>267</v>
      </c>
      <c r="E533" s="2" t="s">
        <v>1104</v>
      </c>
      <c r="F533" s="2" t="s">
        <v>14</v>
      </c>
      <c r="G533" s="2" t="s">
        <v>15</v>
      </c>
      <c r="H533" s="2">
        <v>45000000</v>
      </c>
      <c r="I533" s="2">
        <v>6.1</v>
      </c>
      <c r="J533" s="2">
        <f t="shared" si="4"/>
        <v>-23990820</v>
      </c>
      <c r="K533" s="2">
        <f t="shared" si="5"/>
        <v>6.6830896677299726E-3</v>
      </c>
      <c r="L533" s="2" t="str">
        <f>IF(ISNUMBER(SEARCH("|",IMDB_Movies!$D533)),LEFT(IMDB_Movies!$D533,SEARCH("|",IMDB_Movies!$D533)-1),IMDB_Movies!$D533)</f>
        <v>Action</v>
      </c>
      <c r="V533" s="2"/>
      <c r="W533" s="2"/>
    </row>
    <row r="534" spans="1:23" ht="12.5" x14ac:dyDescent="0.25">
      <c r="A534" s="2" t="s">
        <v>339</v>
      </c>
      <c r="B534" s="2">
        <v>106</v>
      </c>
      <c r="C534" s="2">
        <v>94999143</v>
      </c>
      <c r="D534" s="2" t="s">
        <v>788</v>
      </c>
      <c r="E534" s="2" t="s">
        <v>1105</v>
      </c>
      <c r="F534" s="2" t="s">
        <v>14</v>
      </c>
      <c r="G534" s="2" t="s">
        <v>15</v>
      </c>
      <c r="H534" s="2">
        <v>75000000</v>
      </c>
      <c r="I534" s="2">
        <v>7.2</v>
      </c>
      <c r="J534" s="2">
        <f t="shared" si="4"/>
        <v>19999143</v>
      </c>
      <c r="K534" s="2">
        <f t="shared" si="5"/>
        <v>6.6883000228748013E-3</v>
      </c>
      <c r="L534" s="2" t="str">
        <f>IF(ISNUMBER(SEARCH("|",IMDB_Movies!$D534)),LEFT(IMDB_Movies!$D534,SEARCH("|",IMDB_Movies!$D534)-1),IMDB_Movies!$D534)</f>
        <v>Drama</v>
      </c>
      <c r="V534" s="2"/>
      <c r="W534" s="2"/>
    </row>
    <row r="535" spans="1:23" ht="12.5" x14ac:dyDescent="0.25">
      <c r="A535" s="2" t="s">
        <v>1106</v>
      </c>
      <c r="B535" s="2">
        <v>91</v>
      </c>
      <c r="C535" s="2">
        <v>336029560</v>
      </c>
      <c r="D535" s="2" t="s">
        <v>456</v>
      </c>
      <c r="E535" s="2" t="s">
        <v>1107</v>
      </c>
      <c r="F535" s="2" t="s">
        <v>14</v>
      </c>
      <c r="G535" s="2" t="s">
        <v>15</v>
      </c>
      <c r="H535" s="2">
        <v>74000000</v>
      </c>
      <c r="I535" s="2">
        <v>6.4</v>
      </c>
      <c r="J535" s="2">
        <f t="shared" si="4"/>
        <v>262029560</v>
      </c>
      <c r="K535" s="2">
        <f t="shared" si="5"/>
        <v>6.6195063724623143E-3</v>
      </c>
      <c r="L535" s="2" t="str">
        <f>IF(ISNUMBER(SEARCH("|",IMDB_Movies!$D535)),LEFT(IMDB_Movies!$D535,SEARCH("|",IMDB_Movies!$D535)-1),IMDB_Movies!$D535)</f>
        <v>Action</v>
      </c>
      <c r="V535" s="2"/>
      <c r="W535" s="2"/>
    </row>
    <row r="536" spans="1:23" ht="12.5" x14ac:dyDescent="0.25">
      <c r="A536" s="2" t="s">
        <v>50</v>
      </c>
      <c r="B536" s="2">
        <v>128</v>
      </c>
      <c r="C536" s="2">
        <v>36381716</v>
      </c>
      <c r="D536" s="2" t="s">
        <v>1108</v>
      </c>
      <c r="E536" s="2" t="s">
        <v>1109</v>
      </c>
      <c r="F536" s="2" t="s">
        <v>14</v>
      </c>
      <c r="G536" s="2" t="s">
        <v>15</v>
      </c>
      <c r="H536" s="2">
        <v>82000000</v>
      </c>
      <c r="I536" s="2">
        <v>6.1</v>
      </c>
      <c r="J536" s="2">
        <f t="shared" si="4"/>
        <v>-45618284</v>
      </c>
      <c r="K536" s="2">
        <f t="shared" si="5"/>
        <v>6.3126779819522028E-3</v>
      </c>
      <c r="L536" s="2" t="str">
        <f>IF(ISNUMBER(SEARCH("|",IMDB_Movies!$D536)),LEFT(IMDB_Movies!$D536,SEARCH("|",IMDB_Movies!$D536)-1),IMDB_Movies!$D536)</f>
        <v>Action</v>
      </c>
      <c r="V536" s="2"/>
      <c r="W536" s="2"/>
    </row>
    <row r="537" spans="1:23" ht="12.5" x14ac:dyDescent="0.25">
      <c r="A537" s="2" t="s">
        <v>803</v>
      </c>
      <c r="B537" s="2">
        <v>98</v>
      </c>
      <c r="C537" s="2">
        <v>55585389</v>
      </c>
      <c r="D537" s="2" t="s">
        <v>793</v>
      </c>
      <c r="E537" s="2" t="s">
        <v>1110</v>
      </c>
      <c r="F537" s="2" t="s">
        <v>14</v>
      </c>
      <c r="G537" s="2" t="s">
        <v>15</v>
      </c>
      <c r="H537" s="2">
        <v>69000000</v>
      </c>
      <c r="I537" s="2">
        <v>5.9</v>
      </c>
      <c r="J537" s="2">
        <f t="shared" si="4"/>
        <v>-13414611</v>
      </c>
      <c r="K537" s="2">
        <f t="shared" si="5"/>
        <v>6.3115580201200498E-3</v>
      </c>
      <c r="L537" s="2" t="str">
        <f>IF(ISNUMBER(SEARCH("|",IMDB_Movies!$D537)),LEFT(IMDB_Movies!$D537,SEARCH("|",IMDB_Movies!$D537)-1),IMDB_Movies!$D537)</f>
        <v>Crime</v>
      </c>
      <c r="V537" s="2"/>
      <c r="W537" s="2"/>
    </row>
    <row r="538" spans="1:23" ht="12.5" x14ac:dyDescent="0.25">
      <c r="A538" s="2" t="s">
        <v>1081</v>
      </c>
      <c r="B538" s="2">
        <v>134</v>
      </c>
      <c r="C538" s="2">
        <v>36976367</v>
      </c>
      <c r="D538" s="2" t="s">
        <v>788</v>
      </c>
      <c r="E538" s="2" t="s">
        <v>1111</v>
      </c>
      <c r="F538" s="2" t="s">
        <v>14</v>
      </c>
      <c r="G538" s="2" t="s">
        <v>15</v>
      </c>
      <c r="H538" s="2">
        <v>75000000</v>
      </c>
      <c r="I538" s="2">
        <v>6</v>
      </c>
      <c r="J538" s="2">
        <f t="shared" si="4"/>
        <v>-38023633</v>
      </c>
      <c r="K538" s="2">
        <f t="shared" si="5"/>
        <v>6.2911519651044348E-3</v>
      </c>
      <c r="L538" s="2" t="str">
        <f>IF(ISNUMBER(SEARCH("|",IMDB_Movies!$D538)),LEFT(IMDB_Movies!$D538,SEARCH("|",IMDB_Movies!$D538)-1),IMDB_Movies!$D538)</f>
        <v>Drama</v>
      </c>
      <c r="V538" s="2"/>
      <c r="W538" s="2"/>
    </row>
    <row r="539" spans="1:23" ht="12.5" x14ac:dyDescent="0.25">
      <c r="A539" s="2" t="s">
        <v>1112</v>
      </c>
      <c r="B539" s="2">
        <v>97</v>
      </c>
      <c r="C539" s="2">
        <v>107225164</v>
      </c>
      <c r="D539" s="2" t="s">
        <v>1113</v>
      </c>
      <c r="E539" s="2" t="s">
        <v>1114</v>
      </c>
      <c r="F539" s="2" t="s">
        <v>14</v>
      </c>
      <c r="G539" s="2" t="s">
        <v>15</v>
      </c>
      <c r="H539" s="2">
        <v>73000000</v>
      </c>
      <c r="I539" s="2">
        <v>6.3</v>
      </c>
      <c r="J539" s="2">
        <f t="shared" si="4"/>
        <v>34225164</v>
      </c>
      <c r="K539" s="2">
        <f t="shared" si="5"/>
        <v>6.2894650272028877E-3</v>
      </c>
      <c r="L539" s="2" t="str">
        <f>IF(ISNUMBER(SEARCH("|",IMDB_Movies!$D539)),LEFT(IMDB_Movies!$D539,SEARCH("|",IMDB_Movies!$D539)-1),IMDB_Movies!$D539)</f>
        <v>Action</v>
      </c>
      <c r="V539" s="2"/>
      <c r="W539" s="2"/>
    </row>
    <row r="540" spans="1:23" ht="12.5" x14ac:dyDescent="0.25">
      <c r="A540" s="2" t="s">
        <v>1087</v>
      </c>
      <c r="B540" s="2">
        <v>112</v>
      </c>
      <c r="C540" s="2">
        <v>70224196</v>
      </c>
      <c r="D540" s="2" t="s">
        <v>1115</v>
      </c>
      <c r="E540" s="2" t="s">
        <v>1116</v>
      </c>
      <c r="F540" s="2" t="s">
        <v>14</v>
      </c>
      <c r="G540" s="2" t="s">
        <v>15</v>
      </c>
      <c r="H540" s="2">
        <v>70000000</v>
      </c>
      <c r="I540" s="2">
        <v>5.6</v>
      </c>
      <c r="J540" s="2">
        <f t="shared" si="4"/>
        <v>224196</v>
      </c>
      <c r="K540" s="2">
        <f t="shared" si="5"/>
        <v>6.2099725321496631E-3</v>
      </c>
      <c r="L540" s="2" t="str">
        <f>IF(ISNUMBER(SEARCH("|",IMDB_Movies!$D540)),LEFT(IMDB_Movies!$D540,SEARCH("|",IMDB_Movies!$D540)-1),IMDB_Movies!$D540)</f>
        <v>Action</v>
      </c>
      <c r="V540" s="2"/>
      <c r="W540" s="2"/>
    </row>
    <row r="541" spans="1:23" ht="12.5" x14ac:dyDescent="0.25">
      <c r="A541" s="2" t="s">
        <v>1117</v>
      </c>
      <c r="B541" s="2">
        <v>153</v>
      </c>
      <c r="C541" s="2">
        <v>51814190</v>
      </c>
      <c r="D541" s="2" t="s">
        <v>891</v>
      </c>
      <c r="E541" s="2" t="s">
        <v>1118</v>
      </c>
      <c r="F541" s="2" t="s">
        <v>14</v>
      </c>
      <c r="G541" s="2" t="s">
        <v>15</v>
      </c>
      <c r="H541" s="2">
        <v>75000000</v>
      </c>
      <c r="I541" s="2">
        <v>6.4</v>
      </c>
      <c r="J541" s="2">
        <f t="shared" si="4"/>
        <v>-23185810</v>
      </c>
      <c r="K541" s="2">
        <f t="shared" si="5"/>
        <v>6.1738110042170186E-3</v>
      </c>
      <c r="L541" s="2" t="str">
        <f>IF(ISNUMBER(SEARCH("|",IMDB_Movies!$D541)),LEFT(IMDB_Movies!$D541,SEARCH("|",IMDB_Movies!$D541)-1),IMDB_Movies!$D541)</f>
        <v>Comedy</v>
      </c>
      <c r="V541" s="2"/>
      <c r="W541" s="2"/>
    </row>
    <row r="542" spans="1:23" ht="12.5" x14ac:dyDescent="0.25">
      <c r="A542" s="2" t="s">
        <v>89</v>
      </c>
      <c r="B542" s="2">
        <v>110</v>
      </c>
      <c r="C542" s="2">
        <v>47456450</v>
      </c>
      <c r="D542" s="2" t="s">
        <v>342</v>
      </c>
      <c r="E542" s="2" t="s">
        <v>1119</v>
      </c>
      <c r="F542" s="2" t="s">
        <v>14</v>
      </c>
      <c r="G542" s="2" t="s">
        <v>15</v>
      </c>
      <c r="H542" s="2">
        <v>70000000</v>
      </c>
      <c r="I542" s="2">
        <v>7.1</v>
      </c>
      <c r="J542" s="2">
        <f t="shared" si="4"/>
        <v>-22543550</v>
      </c>
      <c r="K542" s="2">
        <f t="shared" si="5"/>
        <v>6.1543945606556657E-3</v>
      </c>
      <c r="L542" s="2" t="str">
        <f>IF(ISNUMBER(SEARCH("|",IMDB_Movies!$D542)),LEFT(IMDB_Movies!$D542,SEARCH("|",IMDB_Movies!$D542)-1),IMDB_Movies!$D542)</f>
        <v>Action</v>
      </c>
      <c r="V542" s="2"/>
      <c r="W542" s="2"/>
    </row>
    <row r="543" spans="1:23" ht="12.5" x14ac:dyDescent="0.25">
      <c r="A543" s="2" t="s">
        <v>622</v>
      </c>
      <c r="B543" s="2">
        <v>122</v>
      </c>
      <c r="C543" s="2">
        <v>148213377</v>
      </c>
      <c r="D543" s="2" t="s">
        <v>1120</v>
      </c>
      <c r="E543" s="2" t="s">
        <v>1121</v>
      </c>
      <c r="F543" s="2" t="s">
        <v>14</v>
      </c>
      <c r="G543" s="2" t="s">
        <v>15</v>
      </c>
      <c r="H543" s="2">
        <v>73000000</v>
      </c>
      <c r="I543" s="2">
        <v>6.6</v>
      </c>
      <c r="J543" s="2">
        <f t="shared" si="4"/>
        <v>75213377</v>
      </c>
      <c r="K543" s="2">
        <f t="shared" si="5"/>
        <v>6.1418204693380399E-3</v>
      </c>
      <c r="L543" s="2" t="str">
        <f>IF(ISNUMBER(SEARCH("|",IMDB_Movies!$D543)),LEFT(IMDB_Movies!$D543,SEARCH("|",IMDB_Movies!$D543)-1),IMDB_Movies!$D543)</f>
        <v>Action</v>
      </c>
      <c r="V543" s="2"/>
      <c r="W543" s="2"/>
    </row>
    <row r="544" spans="1:23" ht="12.5" x14ac:dyDescent="0.25">
      <c r="A544" s="2" t="s">
        <v>1122</v>
      </c>
      <c r="B544" s="2">
        <v>87</v>
      </c>
      <c r="C544" s="2">
        <v>112950721</v>
      </c>
      <c r="D544" s="2" t="s">
        <v>204</v>
      </c>
      <c r="E544" s="2" t="s">
        <v>1123</v>
      </c>
      <c r="F544" s="2" t="s">
        <v>14</v>
      </c>
      <c r="G544" s="2" t="s">
        <v>15</v>
      </c>
      <c r="H544" s="2">
        <v>72000000</v>
      </c>
      <c r="I544" s="2">
        <v>4.5999999999999996</v>
      </c>
      <c r="J544" s="2">
        <f t="shared" si="4"/>
        <v>40950721</v>
      </c>
      <c r="K544" s="2">
        <f t="shared" si="5"/>
        <v>6.0185559984731931E-3</v>
      </c>
      <c r="L544" s="2" t="str">
        <f>IF(ISNUMBER(SEARCH("|",IMDB_Movies!$D544)),LEFT(IMDB_Movies!$D544,SEARCH("|",IMDB_Movies!$D544)-1),IMDB_Movies!$D544)</f>
        <v>Comedy</v>
      </c>
      <c r="V544" s="2"/>
      <c r="W544" s="2"/>
    </row>
    <row r="545" spans="1:23" ht="12.5" x14ac:dyDescent="0.25">
      <c r="A545" s="2" t="s">
        <v>1124</v>
      </c>
      <c r="B545" s="2">
        <v>178</v>
      </c>
      <c r="C545" s="2">
        <v>75600000</v>
      </c>
      <c r="D545" s="2" t="s">
        <v>1125</v>
      </c>
      <c r="E545" s="2" t="s">
        <v>1126</v>
      </c>
      <c r="F545" s="2" t="s">
        <v>14</v>
      </c>
      <c r="G545" s="2" t="s">
        <v>15</v>
      </c>
      <c r="H545" s="2">
        <v>72000000</v>
      </c>
      <c r="I545" s="2">
        <v>8.4</v>
      </c>
      <c r="J545" s="2">
        <f t="shared" si="4"/>
        <v>3600000</v>
      </c>
      <c r="K545" s="2">
        <f t="shared" si="5"/>
        <v>5.9346419024217962E-3</v>
      </c>
      <c r="L545" s="2" t="str">
        <f>IF(ISNUMBER(SEARCH("|",IMDB_Movies!$D545)),LEFT(IMDB_Movies!$D545,SEARCH("|",IMDB_Movies!$D545)-1),IMDB_Movies!$D545)</f>
        <v>Biography</v>
      </c>
      <c r="V545" s="2"/>
      <c r="W545" s="2"/>
    </row>
    <row r="546" spans="1:23" ht="12.5" x14ac:dyDescent="0.25">
      <c r="A546" s="2" t="s">
        <v>19</v>
      </c>
      <c r="B546" s="2">
        <v>125</v>
      </c>
      <c r="C546" s="2">
        <v>62647540</v>
      </c>
      <c r="D546" s="2" t="s">
        <v>529</v>
      </c>
      <c r="E546" s="2" t="s">
        <v>1127</v>
      </c>
      <c r="F546" s="2" t="s">
        <v>14</v>
      </c>
      <c r="G546" s="2" t="s">
        <v>287</v>
      </c>
      <c r="H546" s="2">
        <v>70000000</v>
      </c>
      <c r="I546" s="2">
        <v>7.1</v>
      </c>
      <c r="J546" s="2">
        <f t="shared" si="4"/>
        <v>-7352460</v>
      </c>
      <c r="K546" s="2">
        <f t="shared" si="5"/>
        <v>5.8904599162291809E-3</v>
      </c>
      <c r="L546" s="2" t="str">
        <f>IF(ISNUMBER(SEARCH("|",IMDB_Movies!$D546)),LEFT(IMDB_Movies!$D546,SEARCH("|",IMDB_Movies!$D546)-1),IMDB_Movies!$D546)</f>
        <v>Action</v>
      </c>
      <c r="V546" s="2"/>
      <c r="W546" s="2"/>
    </row>
    <row r="547" spans="1:23" ht="12.5" x14ac:dyDescent="0.25">
      <c r="A547" s="2" t="s">
        <v>1128</v>
      </c>
      <c r="B547" s="2">
        <v>87</v>
      </c>
      <c r="C547" s="2">
        <v>183132370</v>
      </c>
      <c r="D547" s="2" t="s">
        <v>1129</v>
      </c>
      <c r="E547" s="2" t="s">
        <v>1130</v>
      </c>
      <c r="F547" s="2" t="s">
        <v>14</v>
      </c>
      <c r="G547" s="2" t="s">
        <v>15</v>
      </c>
      <c r="H547" s="2">
        <v>75000000</v>
      </c>
      <c r="I547" s="2">
        <v>7.4</v>
      </c>
      <c r="J547" s="2">
        <f t="shared" si="4"/>
        <v>108132370</v>
      </c>
      <c r="K547" s="2">
        <f t="shared" si="5"/>
        <v>5.8618887690913514E-3</v>
      </c>
      <c r="L547" s="2" t="str">
        <f>IF(ISNUMBER(SEARCH("|",IMDB_Movies!$D547)),LEFT(IMDB_Movies!$D547,SEARCH("|",IMDB_Movies!$D547)-1),IMDB_Movies!$D547)</f>
        <v>Adventure</v>
      </c>
      <c r="V547" s="2"/>
      <c r="W547" s="2"/>
    </row>
    <row r="548" spans="1:23" ht="12.5" x14ac:dyDescent="0.25">
      <c r="A548" s="2" t="s">
        <v>1131</v>
      </c>
      <c r="B548" s="2">
        <v>152</v>
      </c>
      <c r="C548" s="2">
        <v>27796042</v>
      </c>
      <c r="D548" s="2" t="s">
        <v>85</v>
      </c>
      <c r="E548" s="2" t="s">
        <v>1132</v>
      </c>
      <c r="F548" s="2" t="s">
        <v>14</v>
      </c>
      <c r="G548" s="2" t="s">
        <v>15</v>
      </c>
      <c r="H548" s="2">
        <v>72000000</v>
      </c>
      <c r="I548" s="2">
        <v>6.9</v>
      </c>
      <c r="J548" s="2">
        <f t="shared" si="4"/>
        <v>-44203958</v>
      </c>
      <c r="K548" s="2">
        <f t="shared" si="5"/>
        <v>5.6933452901444847E-3</v>
      </c>
      <c r="L548" s="2" t="str">
        <f>IF(ISNUMBER(SEARCH("|",IMDB_Movies!$D548)),LEFT(IMDB_Movies!$D548,SEARCH("|",IMDB_Movies!$D548)-1),IMDB_Movies!$D548)</f>
        <v>Drama</v>
      </c>
      <c r="V548" s="2"/>
      <c r="W548" s="2"/>
    </row>
    <row r="549" spans="1:23" ht="12.5" x14ac:dyDescent="0.25">
      <c r="A549" s="2" t="s">
        <v>744</v>
      </c>
      <c r="B549" s="2">
        <v>116</v>
      </c>
      <c r="C549" s="2">
        <v>32616869</v>
      </c>
      <c r="D549" s="2" t="s">
        <v>1133</v>
      </c>
      <c r="E549" s="2" t="s">
        <v>1134</v>
      </c>
      <c r="F549" s="2" t="s">
        <v>14</v>
      </c>
      <c r="G549" s="2" t="s">
        <v>15</v>
      </c>
      <c r="H549" s="2">
        <v>72000000</v>
      </c>
      <c r="I549" s="2">
        <v>4.5</v>
      </c>
      <c r="J549" s="2">
        <f t="shared" si="4"/>
        <v>-39383131</v>
      </c>
      <c r="K549" s="2">
        <f t="shared" si="5"/>
        <v>5.7018952938322461E-3</v>
      </c>
      <c r="L549" s="2" t="str">
        <f>IF(ISNUMBER(SEARCH("|",IMDB_Movies!$D549)),LEFT(IMDB_Movies!$D549,SEARCH("|",IMDB_Movies!$D549)-1),IMDB_Movies!$D549)</f>
        <v>Action</v>
      </c>
      <c r="V549" s="2"/>
      <c r="W549" s="2"/>
    </row>
    <row r="550" spans="1:23" ht="12.5" x14ac:dyDescent="0.25">
      <c r="A550" s="2" t="s">
        <v>853</v>
      </c>
      <c r="B550" s="2">
        <v>109</v>
      </c>
      <c r="C550" s="2">
        <v>18947630</v>
      </c>
      <c r="D550" s="2" t="s">
        <v>1135</v>
      </c>
      <c r="E550" s="2" t="s">
        <v>1136</v>
      </c>
      <c r="F550" s="2" t="s">
        <v>14</v>
      </c>
      <c r="G550" s="2" t="s">
        <v>686</v>
      </c>
      <c r="H550" s="2">
        <v>59660000</v>
      </c>
      <c r="I550" s="2">
        <v>7.1</v>
      </c>
      <c r="J550" s="2">
        <f t="shared" si="4"/>
        <v>-40712370</v>
      </c>
      <c r="K550" s="2">
        <f t="shared" si="5"/>
        <v>5.705020560301686E-3</v>
      </c>
      <c r="L550" s="2" t="str">
        <f>IF(ISNUMBER(SEARCH("|",IMDB_Movies!$D550)),LEFT(IMDB_Movies!$D550,SEARCH("|",IMDB_Movies!$D550)-1),IMDB_Movies!$D550)</f>
        <v>Adventure</v>
      </c>
      <c r="V550" s="2"/>
      <c r="W550" s="2"/>
    </row>
    <row r="551" spans="1:23" ht="12.5" x14ac:dyDescent="0.25">
      <c r="A551" s="2" t="s">
        <v>339</v>
      </c>
      <c r="B551" s="2">
        <v>108</v>
      </c>
      <c r="C551" s="2">
        <v>114195633</v>
      </c>
      <c r="D551" s="2" t="s">
        <v>1137</v>
      </c>
      <c r="E551" s="2" t="s">
        <v>1138</v>
      </c>
      <c r="F551" s="2" t="s">
        <v>14</v>
      </c>
      <c r="G551" s="2" t="s">
        <v>15</v>
      </c>
      <c r="H551" s="2">
        <v>60000000</v>
      </c>
      <c r="I551" s="2">
        <v>6.5</v>
      </c>
      <c r="J551" s="2">
        <f t="shared" si="4"/>
        <v>54195633</v>
      </c>
      <c r="K551" s="2">
        <f t="shared" si="5"/>
        <v>5.717848492956196E-3</v>
      </c>
      <c r="L551" s="2" t="str">
        <f>IF(ISNUMBER(SEARCH("|",IMDB_Movies!$D551)),LEFT(IMDB_Movies!$D551,SEARCH("|",IMDB_Movies!$D551)-1),IMDB_Movies!$D551)</f>
        <v>Drama</v>
      </c>
      <c r="V551" s="2"/>
      <c r="W551" s="2"/>
    </row>
    <row r="552" spans="1:23" ht="12.5" x14ac:dyDescent="0.25">
      <c r="A552" s="2" t="s">
        <v>1139</v>
      </c>
      <c r="B552" s="2">
        <v>85</v>
      </c>
      <c r="C552" s="2">
        <v>144156464</v>
      </c>
      <c r="D552" s="2" t="s">
        <v>204</v>
      </c>
      <c r="E552" s="2" t="s">
        <v>1140</v>
      </c>
      <c r="F552" s="2" t="s">
        <v>14</v>
      </c>
      <c r="G552" s="2" t="s">
        <v>15</v>
      </c>
      <c r="H552" s="2">
        <v>71500000</v>
      </c>
      <c r="I552" s="2">
        <v>5.3</v>
      </c>
      <c r="J552" s="2">
        <f t="shared" si="4"/>
        <v>72656464</v>
      </c>
      <c r="K552" s="2">
        <f t="shared" si="5"/>
        <v>5.658802477227191E-3</v>
      </c>
      <c r="L552" s="2" t="str">
        <f>IF(ISNUMBER(SEARCH("|",IMDB_Movies!$D552)),LEFT(IMDB_Movies!$D552,SEARCH("|",IMDB_Movies!$D552)-1),IMDB_Movies!$D552)</f>
        <v>Comedy</v>
      </c>
      <c r="V552" s="2"/>
      <c r="W552" s="2"/>
    </row>
    <row r="553" spans="1:23" ht="12.5" x14ac:dyDescent="0.25">
      <c r="A553" s="2" t="s">
        <v>339</v>
      </c>
      <c r="B553" s="2">
        <v>106</v>
      </c>
      <c r="C553" s="2">
        <v>227965690</v>
      </c>
      <c r="D553" s="2" t="s">
        <v>942</v>
      </c>
      <c r="E553" s="2" t="s">
        <v>1141</v>
      </c>
      <c r="F553" s="2" t="s">
        <v>14</v>
      </c>
      <c r="G553" s="2" t="s">
        <v>15</v>
      </c>
      <c r="H553" s="2">
        <v>72000000</v>
      </c>
      <c r="I553" s="2">
        <v>6.7</v>
      </c>
      <c r="J553" s="2">
        <f t="shared" si="4"/>
        <v>155965690</v>
      </c>
      <c r="K553" s="2">
        <f t="shared" si="5"/>
        <v>5.5430815209806649E-3</v>
      </c>
      <c r="L553" s="2" t="str">
        <f>IF(ISNUMBER(SEARCH("|",IMDB_Movies!$D553)),LEFT(IMDB_Movies!$D553,SEARCH("|",IMDB_Movies!$D553)-1),IMDB_Movies!$D553)</f>
        <v>Drama</v>
      </c>
      <c r="V553" s="2"/>
      <c r="W553" s="2"/>
    </row>
    <row r="554" spans="1:23" ht="12.5" x14ac:dyDescent="0.25">
      <c r="A554" s="2" t="s">
        <v>61</v>
      </c>
      <c r="B554" s="2">
        <v>93</v>
      </c>
      <c r="C554" s="2">
        <v>436471036</v>
      </c>
      <c r="D554" s="2" t="s">
        <v>1142</v>
      </c>
      <c r="E554" s="2" t="s">
        <v>1143</v>
      </c>
      <c r="F554" s="2" t="s">
        <v>14</v>
      </c>
      <c r="G554" s="2" t="s">
        <v>15</v>
      </c>
      <c r="H554" s="2">
        <v>150000000</v>
      </c>
      <c r="I554" s="2">
        <v>7.2</v>
      </c>
      <c r="J554" s="2">
        <f t="shared" si="4"/>
        <v>286471036</v>
      </c>
      <c r="K554" s="2">
        <f t="shared" si="5"/>
        <v>5.3413831928208824E-3</v>
      </c>
      <c r="L554" s="2" t="str">
        <f>IF(ISNUMBER(SEARCH("|",IMDB_Movies!$D554)),LEFT(IMDB_Movies!$D554,SEARCH("|",IMDB_Movies!$D554)-1),IMDB_Movies!$D554)</f>
        <v>Adventure</v>
      </c>
      <c r="V554" s="2"/>
      <c r="W554" s="2"/>
    </row>
    <row r="555" spans="1:23" ht="12.5" x14ac:dyDescent="0.25">
      <c r="A555" s="2" t="s">
        <v>115</v>
      </c>
      <c r="B555" s="2">
        <v>117</v>
      </c>
      <c r="C555" s="2">
        <v>244052771</v>
      </c>
      <c r="D555" s="2" t="s">
        <v>116</v>
      </c>
      <c r="E555" s="2" t="s">
        <v>1144</v>
      </c>
      <c r="F555" s="2" t="s">
        <v>14</v>
      </c>
      <c r="G555" s="2" t="s">
        <v>15</v>
      </c>
      <c r="H555" s="2">
        <v>120000000</v>
      </c>
      <c r="I555" s="2">
        <v>7.2</v>
      </c>
      <c r="J555" s="2">
        <f t="shared" si="4"/>
        <v>124052771</v>
      </c>
      <c r="K555" s="2">
        <f t="shared" si="5"/>
        <v>4.0488372978326904E-3</v>
      </c>
      <c r="L555" s="2" t="str">
        <f>IF(ISNUMBER(SEARCH("|",IMDB_Movies!$D555)),LEFT(IMDB_Movies!$D555,SEARCH("|",IMDB_Movies!$D555)-1),IMDB_Movies!$D555)</f>
        <v>Adventure</v>
      </c>
      <c r="V555" s="2"/>
      <c r="W555" s="2"/>
    </row>
    <row r="556" spans="1:23" ht="12.5" x14ac:dyDescent="0.25">
      <c r="A556" s="2" t="s">
        <v>1145</v>
      </c>
      <c r="B556" s="2">
        <v>116</v>
      </c>
      <c r="C556" s="2">
        <v>152149590</v>
      </c>
      <c r="D556" s="2" t="s">
        <v>600</v>
      </c>
      <c r="E556" s="2" t="s">
        <v>1146</v>
      </c>
      <c r="F556" s="2" t="s">
        <v>14</v>
      </c>
      <c r="G556" s="2" t="s">
        <v>15</v>
      </c>
      <c r="H556" s="2">
        <v>70000000</v>
      </c>
      <c r="I556" s="2">
        <v>5.5</v>
      </c>
      <c r="J556" s="2">
        <f t="shared" si="4"/>
        <v>82149590</v>
      </c>
      <c r="K556" s="2">
        <f t="shared" si="5"/>
        <v>3.5334126501415193E-3</v>
      </c>
      <c r="L556" s="2" t="str">
        <f>IF(ISNUMBER(SEARCH("|",IMDB_Movies!$D556)),LEFT(IMDB_Movies!$D556,SEARCH("|",IMDB_Movies!$D556)-1),IMDB_Movies!$D556)</f>
        <v>Comedy</v>
      </c>
      <c r="V556" s="2"/>
      <c r="W556" s="2"/>
    </row>
    <row r="557" spans="1:23" ht="12.5" x14ac:dyDescent="0.25">
      <c r="A557" s="2" t="s">
        <v>197</v>
      </c>
      <c r="B557" s="2">
        <v>132</v>
      </c>
      <c r="C557" s="2">
        <v>141204016</v>
      </c>
      <c r="D557" s="2" t="s">
        <v>20</v>
      </c>
      <c r="E557" s="2" t="s">
        <v>1147</v>
      </c>
      <c r="F557" s="2" t="s">
        <v>14</v>
      </c>
      <c r="G557" s="2" t="s">
        <v>15</v>
      </c>
      <c r="H557" s="2">
        <v>70000000</v>
      </c>
      <c r="I557" s="2">
        <v>5.8</v>
      </c>
      <c r="J557" s="2">
        <f t="shared" si="4"/>
        <v>71204016</v>
      </c>
      <c r="K557" s="2">
        <f t="shared" si="5"/>
        <v>3.4094429871626194E-3</v>
      </c>
      <c r="L557" s="2" t="str">
        <f>IF(ISNUMBER(SEARCH("|",IMDB_Movies!$D557)),LEFT(IMDB_Movies!$D557,SEARCH("|",IMDB_Movies!$D557)-1),IMDB_Movies!$D557)</f>
        <v>Action</v>
      </c>
      <c r="V557" s="2"/>
      <c r="W557" s="2"/>
    </row>
    <row r="558" spans="1:23" ht="12.5" x14ac:dyDescent="0.25">
      <c r="A558" s="2" t="s">
        <v>1148</v>
      </c>
      <c r="B558" s="2">
        <v>92</v>
      </c>
      <c r="C558" s="2">
        <v>162495848</v>
      </c>
      <c r="D558" s="2" t="s">
        <v>106</v>
      </c>
      <c r="E558" s="2" t="s">
        <v>1149</v>
      </c>
      <c r="F558" s="2" t="s">
        <v>14</v>
      </c>
      <c r="G558" s="2" t="s">
        <v>15</v>
      </c>
      <c r="H558" s="2">
        <v>74000000</v>
      </c>
      <c r="I558" s="2">
        <v>6</v>
      </c>
      <c r="J558" s="2">
        <f t="shared" si="4"/>
        <v>88495848</v>
      </c>
      <c r="K558" s="2">
        <f t="shared" si="5"/>
        <v>3.2964637049228466E-3</v>
      </c>
      <c r="L558" s="2" t="str">
        <f>IF(ISNUMBER(SEARCH("|",IMDB_Movies!$D558)),LEFT(IMDB_Movies!$D558,SEARCH("|",IMDB_Movies!$D558)-1),IMDB_Movies!$D558)</f>
        <v>Adventure</v>
      </c>
      <c r="V558" s="2"/>
      <c r="W558" s="2"/>
    </row>
    <row r="559" spans="1:23" ht="12.5" x14ac:dyDescent="0.25">
      <c r="A559" s="2" t="s">
        <v>314</v>
      </c>
      <c r="B559" s="2">
        <v>139</v>
      </c>
      <c r="C559" s="2">
        <v>136448821</v>
      </c>
      <c r="D559" s="2" t="s">
        <v>550</v>
      </c>
      <c r="E559" s="2" t="s">
        <v>1150</v>
      </c>
      <c r="F559" s="2" t="s">
        <v>14</v>
      </c>
      <c r="G559" s="2" t="s">
        <v>15</v>
      </c>
      <c r="H559" s="2">
        <v>80000000</v>
      </c>
      <c r="I559" s="2">
        <v>6.6</v>
      </c>
      <c r="J559" s="2">
        <f t="shared" si="4"/>
        <v>56448821</v>
      </c>
      <c r="K559" s="2">
        <f t="shared" si="5"/>
        <v>3.1463845786135836E-3</v>
      </c>
      <c r="L559" s="2" t="str">
        <f>IF(ISNUMBER(SEARCH("|",IMDB_Movies!$D559)),LEFT(IMDB_Movies!$D559,SEARCH("|",IMDB_Movies!$D559)-1),IMDB_Movies!$D559)</f>
        <v>Crime</v>
      </c>
      <c r="V559" s="2"/>
      <c r="W559" s="2"/>
    </row>
    <row r="560" spans="1:23" ht="12.5" x14ac:dyDescent="0.25">
      <c r="A560" s="2" t="s">
        <v>628</v>
      </c>
      <c r="B560" s="2">
        <v>153</v>
      </c>
      <c r="C560" s="2">
        <v>120523073</v>
      </c>
      <c r="D560" s="2" t="s">
        <v>1151</v>
      </c>
      <c r="E560" s="2" t="s">
        <v>1152</v>
      </c>
      <c r="F560" s="2" t="s">
        <v>14</v>
      </c>
      <c r="G560" s="2" t="s">
        <v>15</v>
      </c>
      <c r="H560" s="2">
        <v>75000000</v>
      </c>
      <c r="I560" s="2">
        <v>8.3000000000000007</v>
      </c>
      <c r="J560" s="2">
        <f t="shared" si="4"/>
        <v>45523073</v>
      </c>
      <c r="K560" s="2">
        <f t="shared" si="5"/>
        <v>3.008332853729573E-3</v>
      </c>
      <c r="L560" s="2" t="str">
        <f>IF(ISNUMBER(SEARCH("|",IMDB_Movies!$D560)),LEFT(IMDB_Movies!$D560,SEARCH("|",IMDB_Movies!$D560)-1),IMDB_Movies!$D560)</f>
        <v>Adventure</v>
      </c>
      <c r="V560" s="2"/>
      <c r="W560" s="2"/>
    </row>
    <row r="561" spans="1:23" ht="12.5" x14ac:dyDescent="0.25">
      <c r="A561" s="2" t="s">
        <v>141</v>
      </c>
      <c r="B561" s="2">
        <v>142</v>
      </c>
      <c r="C561" s="2">
        <v>119654900</v>
      </c>
      <c r="D561" s="2" t="s">
        <v>294</v>
      </c>
      <c r="E561" s="2" t="s">
        <v>1153</v>
      </c>
      <c r="F561" s="2" t="s">
        <v>14</v>
      </c>
      <c r="G561" s="2" t="s">
        <v>15</v>
      </c>
      <c r="H561" s="2">
        <v>70000000</v>
      </c>
      <c r="I561" s="2">
        <v>6.7</v>
      </c>
      <c r="J561" s="2">
        <f t="shared" si="4"/>
        <v>49654900</v>
      </c>
      <c r="K561" s="2">
        <f t="shared" si="5"/>
        <v>2.9037990694416914E-3</v>
      </c>
      <c r="L561" s="2" t="str">
        <f>IF(ISNUMBER(SEARCH("|",IMDB_Movies!$D561)),LEFT(IMDB_Movies!$D561,SEARCH("|",IMDB_Movies!$D561)-1),IMDB_Movies!$D561)</f>
        <v>Adventure</v>
      </c>
      <c r="V561" s="2"/>
      <c r="W561" s="2"/>
    </row>
    <row r="562" spans="1:23" ht="12.5" x14ac:dyDescent="0.25">
      <c r="A562" s="2" t="s">
        <v>744</v>
      </c>
      <c r="B562" s="2">
        <v>124</v>
      </c>
      <c r="C562" s="2">
        <v>117541000</v>
      </c>
      <c r="D562" s="2" t="s">
        <v>25</v>
      </c>
      <c r="E562" s="2" t="s">
        <v>1154</v>
      </c>
      <c r="F562" s="2" t="s">
        <v>14</v>
      </c>
      <c r="G562" s="2" t="s">
        <v>15</v>
      </c>
      <c r="H562" s="2">
        <v>70000000</v>
      </c>
      <c r="I562" s="2">
        <v>7.1</v>
      </c>
      <c r="J562" s="2">
        <f t="shared" si="4"/>
        <v>47541000</v>
      </c>
      <c r="K562" s="2">
        <f t="shared" si="5"/>
        <v>2.8124248477298147E-3</v>
      </c>
      <c r="L562" s="2" t="str">
        <f>IF(ISNUMBER(SEARCH("|",IMDB_Movies!$D562)),LEFT(IMDB_Movies!$D562,SEARCH("|",IMDB_Movies!$D562)-1),IMDB_Movies!$D562)</f>
        <v>Action</v>
      </c>
      <c r="V562" s="2"/>
      <c r="W562" s="2"/>
    </row>
    <row r="563" spans="1:23" ht="12.5" x14ac:dyDescent="0.25">
      <c r="A563" s="2" t="s">
        <v>1155</v>
      </c>
      <c r="B563" s="2">
        <v>117</v>
      </c>
      <c r="C563" s="2">
        <v>116643346</v>
      </c>
      <c r="D563" s="2" t="s">
        <v>1156</v>
      </c>
      <c r="E563" s="2" t="s">
        <v>1157</v>
      </c>
      <c r="F563" s="2" t="s">
        <v>14</v>
      </c>
      <c r="G563" s="2" t="s">
        <v>15</v>
      </c>
      <c r="H563" s="2">
        <v>80000000</v>
      </c>
      <c r="I563" s="2">
        <v>6</v>
      </c>
      <c r="J563" s="2">
        <f t="shared" si="4"/>
        <v>36643346</v>
      </c>
      <c r="K563" s="2">
        <f t="shared" si="5"/>
        <v>2.7231369432567068E-3</v>
      </c>
      <c r="L563" s="2" t="str">
        <f>IF(ISNUMBER(SEARCH("|",IMDB_Movies!$D563)),LEFT(IMDB_Movies!$D563,SEARCH("|",IMDB_Movies!$D563)-1),IMDB_Movies!$D563)</f>
        <v>Action</v>
      </c>
      <c r="V563" s="2"/>
      <c r="W563" s="2"/>
    </row>
    <row r="564" spans="1:23" ht="12.5" x14ac:dyDescent="0.25">
      <c r="A564" s="2" t="s">
        <v>1158</v>
      </c>
      <c r="B564" s="2">
        <v>141</v>
      </c>
      <c r="C564" s="2">
        <v>100614858</v>
      </c>
      <c r="D564" s="2" t="s">
        <v>1159</v>
      </c>
      <c r="E564" s="2" t="s">
        <v>1160</v>
      </c>
      <c r="F564" s="2" t="s">
        <v>14</v>
      </c>
      <c r="G564" s="2" t="s">
        <v>15</v>
      </c>
      <c r="H564" s="2">
        <v>68000000</v>
      </c>
      <c r="I564" s="2">
        <v>6.9</v>
      </c>
      <c r="J564" s="2">
        <f t="shared" si="4"/>
        <v>32614858</v>
      </c>
      <c r="K564" s="2">
        <f t="shared" si="5"/>
        <v>2.6108894267167317E-3</v>
      </c>
      <c r="L564" s="2" t="str">
        <f>IF(ISNUMBER(SEARCH("|",IMDB_Movies!$D564)),LEFT(IMDB_Movies!$D564,SEARCH("|",IMDB_Movies!$D564)-1),IMDB_Movies!$D564)</f>
        <v>Fantasy</v>
      </c>
      <c r="V564" s="2"/>
      <c r="W564" s="2"/>
    </row>
    <row r="565" spans="1:23" ht="12.5" x14ac:dyDescent="0.25">
      <c r="A565" s="2" t="s">
        <v>339</v>
      </c>
      <c r="B565" s="2">
        <v>110</v>
      </c>
      <c r="C565" s="2">
        <v>42272747</v>
      </c>
      <c r="D565" s="2" t="s">
        <v>1161</v>
      </c>
      <c r="E565" s="2" t="s">
        <v>1162</v>
      </c>
      <c r="F565" s="2" t="s">
        <v>14</v>
      </c>
      <c r="G565" s="2" t="s">
        <v>15</v>
      </c>
      <c r="H565" s="2">
        <v>70000000</v>
      </c>
      <c r="I565" s="2">
        <v>5.6</v>
      </c>
      <c r="J565" s="2">
        <f t="shared" si="4"/>
        <v>-27727253</v>
      </c>
      <c r="K565" s="2">
        <f t="shared" si="5"/>
        <v>2.5432278638003432E-3</v>
      </c>
      <c r="L565" s="2" t="str">
        <f>IF(ISNUMBER(SEARCH("|",IMDB_Movies!$D565)),LEFT(IMDB_Movies!$D565,SEARCH("|",IMDB_Movies!$D565)-1),IMDB_Movies!$D565)</f>
        <v>Drama</v>
      </c>
      <c r="V565" s="2"/>
      <c r="W565" s="2"/>
    </row>
    <row r="566" spans="1:23" ht="12.5" x14ac:dyDescent="0.25">
      <c r="A566" s="2" t="s">
        <v>831</v>
      </c>
      <c r="B566" s="2">
        <v>109</v>
      </c>
      <c r="C566" s="2">
        <v>80281096</v>
      </c>
      <c r="D566" s="2" t="s">
        <v>790</v>
      </c>
      <c r="E566" s="2" t="s">
        <v>1163</v>
      </c>
      <c r="F566" s="2" t="s">
        <v>14</v>
      </c>
      <c r="G566" s="2" t="s">
        <v>15</v>
      </c>
      <c r="H566" s="2">
        <v>60000000</v>
      </c>
      <c r="I566" s="2">
        <v>5.6</v>
      </c>
      <c r="J566" s="2">
        <f t="shared" si="4"/>
        <v>20281096</v>
      </c>
      <c r="K566" s="2">
        <f t="shared" si="5"/>
        <v>2.5350377876174868E-3</v>
      </c>
      <c r="L566" s="2" t="str">
        <f>IF(ISNUMBER(SEARCH("|",IMDB_Movies!$D566)),LEFT(IMDB_Movies!$D566,SEARCH("|",IMDB_Movies!$D566)-1),IMDB_Movies!$D566)</f>
        <v>Action</v>
      </c>
      <c r="V566" s="2"/>
      <c r="W566" s="2"/>
    </row>
    <row r="567" spans="1:23" ht="12.5" x14ac:dyDescent="0.25">
      <c r="A567" s="2" t="s">
        <v>1139</v>
      </c>
      <c r="B567" s="2">
        <v>88</v>
      </c>
      <c r="C567" s="2">
        <v>219613391</v>
      </c>
      <c r="D567" s="2" t="s">
        <v>1164</v>
      </c>
      <c r="E567" s="2" t="s">
        <v>1165</v>
      </c>
      <c r="F567" s="2" t="s">
        <v>14</v>
      </c>
      <c r="G567" s="2" t="s">
        <v>15</v>
      </c>
      <c r="H567" s="2">
        <v>75000000</v>
      </c>
      <c r="I567" s="2">
        <v>4.5</v>
      </c>
      <c r="J567" s="2">
        <f t="shared" si="4"/>
        <v>144613391</v>
      </c>
      <c r="K567" s="2">
        <f t="shared" si="5"/>
        <v>2.498603497774996E-3</v>
      </c>
      <c r="L567" s="2" t="str">
        <f>IF(ISNUMBER(SEARCH("|",IMDB_Movies!$D567)),LEFT(IMDB_Movies!$D567,SEARCH("|",IMDB_Movies!$D567)-1),IMDB_Movies!$D567)</f>
        <v>Animation</v>
      </c>
      <c r="V567" s="2"/>
      <c r="W567" s="2"/>
    </row>
    <row r="568" spans="1:23" ht="12.5" x14ac:dyDescent="0.25">
      <c r="A568" s="2" t="s">
        <v>1166</v>
      </c>
      <c r="B568" s="2">
        <v>124</v>
      </c>
      <c r="C568" s="2">
        <v>78120196</v>
      </c>
      <c r="D568" s="2" t="s">
        <v>378</v>
      </c>
      <c r="E568" s="2" t="s">
        <v>1167</v>
      </c>
      <c r="F568" s="2" t="s">
        <v>14</v>
      </c>
      <c r="G568" s="2" t="s">
        <v>15</v>
      </c>
      <c r="H568" s="2">
        <v>75000000</v>
      </c>
      <c r="I568" s="2">
        <v>7.1</v>
      </c>
      <c r="J568" s="2">
        <f t="shared" si="4"/>
        <v>3120196</v>
      </c>
      <c r="K568" s="2">
        <f t="shared" si="5"/>
        <v>2.2743120933861835E-3</v>
      </c>
      <c r="L568" s="2" t="str">
        <f>IF(ISNUMBER(SEARCH("|",IMDB_Movies!$D568)),LEFT(IMDB_Movies!$D568,SEARCH("|",IMDB_Movies!$D568)-1),IMDB_Movies!$D568)</f>
        <v>Action</v>
      </c>
      <c r="V568" s="2"/>
      <c r="W568" s="2"/>
    </row>
    <row r="569" spans="1:23" ht="12.5" x14ac:dyDescent="0.25">
      <c r="A569" s="2" t="s">
        <v>1071</v>
      </c>
      <c r="B569" s="2">
        <v>119</v>
      </c>
      <c r="C569" s="2">
        <v>98895417</v>
      </c>
      <c r="D569" s="2" t="s">
        <v>25</v>
      </c>
      <c r="E569" s="2" t="s">
        <v>1168</v>
      </c>
      <c r="F569" s="2" t="s">
        <v>14</v>
      </c>
      <c r="G569" s="2" t="s">
        <v>15</v>
      </c>
      <c r="H569" s="2">
        <v>70000000</v>
      </c>
      <c r="I569" s="2">
        <v>6.5</v>
      </c>
      <c r="J569" s="2">
        <f t="shared" si="4"/>
        <v>28895417</v>
      </c>
      <c r="K569" s="2">
        <f t="shared" si="5"/>
        <v>2.2203974166696478E-3</v>
      </c>
      <c r="L569" s="2" t="str">
        <f>IF(ISNUMBER(SEARCH("|",IMDB_Movies!$D569)),LEFT(IMDB_Movies!$D569,SEARCH("|",IMDB_Movies!$D569)-1),IMDB_Movies!$D569)</f>
        <v>Action</v>
      </c>
      <c r="V569" s="2"/>
      <c r="W569" s="2"/>
    </row>
    <row r="570" spans="1:23" ht="12.5" x14ac:dyDescent="0.25">
      <c r="A570" s="2" t="s">
        <v>1169</v>
      </c>
      <c r="B570" s="2">
        <v>103</v>
      </c>
      <c r="C570" s="2">
        <v>70117571</v>
      </c>
      <c r="D570" s="2" t="s">
        <v>90</v>
      </c>
      <c r="E570" s="2" t="s">
        <v>1170</v>
      </c>
      <c r="F570" s="2" t="s">
        <v>14</v>
      </c>
      <c r="G570" s="2" t="s">
        <v>15</v>
      </c>
      <c r="H570" s="2">
        <v>58000000</v>
      </c>
      <c r="I570" s="2">
        <v>6.4</v>
      </c>
      <c r="J570" s="2">
        <f t="shared" si="4"/>
        <v>12117571</v>
      </c>
      <c r="K570" s="2">
        <f t="shared" si="5"/>
        <v>2.1501705449804274E-3</v>
      </c>
      <c r="L570" s="2" t="str">
        <f>IF(ISNUMBER(SEARCH("|",IMDB_Movies!$D570)),LEFT(IMDB_Movies!$D570,SEARCH("|",IMDB_Movies!$D570)-1),IMDB_Movies!$D570)</f>
        <v>Action</v>
      </c>
      <c r="V570" s="2"/>
      <c r="W570" s="2"/>
    </row>
    <row r="571" spans="1:23" ht="12.5" x14ac:dyDescent="0.25">
      <c r="A571" s="2" t="s">
        <v>325</v>
      </c>
      <c r="B571" s="2">
        <v>116</v>
      </c>
      <c r="C571" s="2">
        <v>83552429</v>
      </c>
      <c r="D571" s="2" t="s">
        <v>246</v>
      </c>
      <c r="E571" s="2" t="s">
        <v>1171</v>
      </c>
      <c r="F571" s="2" t="s">
        <v>14</v>
      </c>
      <c r="G571" s="2" t="s">
        <v>15</v>
      </c>
      <c r="H571" s="2">
        <v>70000000</v>
      </c>
      <c r="I571" s="2">
        <v>5.8</v>
      </c>
      <c r="J571" s="2">
        <f t="shared" si="4"/>
        <v>13552429</v>
      </c>
      <c r="K571" s="2">
        <f t="shared" si="5"/>
        <v>2.1236102178060156E-3</v>
      </c>
      <c r="L571" s="2" t="str">
        <f>IF(ISNUMBER(SEARCH("|",IMDB_Movies!$D571)),LEFT(IMDB_Movies!$D571,SEARCH("|",IMDB_Movies!$D571)-1),IMDB_Movies!$D571)</f>
        <v>Action</v>
      </c>
      <c r="V571" s="2"/>
      <c r="W571" s="2"/>
    </row>
    <row r="572" spans="1:23" ht="12.5" x14ac:dyDescent="0.25">
      <c r="A572" s="2" t="s">
        <v>99</v>
      </c>
      <c r="B572" s="2">
        <v>125</v>
      </c>
      <c r="C572" s="2">
        <v>66257002</v>
      </c>
      <c r="D572" s="2" t="s">
        <v>492</v>
      </c>
      <c r="E572" s="2" t="s">
        <v>1172</v>
      </c>
      <c r="F572" s="2" t="s">
        <v>14</v>
      </c>
      <c r="G572" s="2" t="s">
        <v>15</v>
      </c>
      <c r="H572" s="2">
        <v>70000000</v>
      </c>
      <c r="I572" s="2">
        <v>8</v>
      </c>
      <c r="J572" s="2">
        <f t="shared" si="4"/>
        <v>-3742998</v>
      </c>
      <c r="K572" s="2">
        <f t="shared" si="5"/>
        <v>2.0699478163727111E-3</v>
      </c>
      <c r="L572" s="2" t="str">
        <f>IF(ISNUMBER(SEARCH("|",IMDB_Movies!$D572)),LEFT(IMDB_Movies!$D572,SEARCH("|",IMDB_Movies!$D572)-1),IMDB_Movies!$D572)</f>
        <v>Adventure</v>
      </c>
      <c r="V572" s="2"/>
      <c r="W572" s="2"/>
    </row>
    <row r="573" spans="1:23" ht="12.5" x14ac:dyDescent="0.25">
      <c r="A573" s="2" t="s">
        <v>1061</v>
      </c>
      <c r="B573" s="2">
        <v>125</v>
      </c>
      <c r="C573" s="2">
        <v>65012000</v>
      </c>
      <c r="D573" s="2" t="s">
        <v>1173</v>
      </c>
      <c r="E573" s="2" t="s">
        <v>1174</v>
      </c>
      <c r="F573" s="2" t="s">
        <v>14</v>
      </c>
      <c r="G573" s="2" t="s">
        <v>15</v>
      </c>
      <c r="H573" s="2">
        <v>70000000</v>
      </c>
      <c r="I573" s="2">
        <v>6.2</v>
      </c>
      <c r="J573" s="2">
        <f t="shared" si="4"/>
        <v>-4988000</v>
      </c>
      <c r="K573" s="2">
        <f t="shared" si="5"/>
        <v>2.0351575466599171E-3</v>
      </c>
      <c r="L573" s="2" t="str">
        <f>IF(ISNUMBER(SEARCH("|",IMDB_Movies!$D573)),LEFT(IMDB_Movies!$D573,SEARCH("|",IMDB_Movies!$D573)-1),IMDB_Movies!$D573)</f>
        <v>Drama</v>
      </c>
      <c r="V573" s="2"/>
      <c r="W573" s="2"/>
    </row>
    <row r="574" spans="1:23" ht="12.5" x14ac:dyDescent="0.25">
      <c r="A574" s="2" t="s">
        <v>141</v>
      </c>
      <c r="B574" s="2">
        <v>146</v>
      </c>
      <c r="C574" s="2">
        <v>79883359</v>
      </c>
      <c r="D574" s="2" t="s">
        <v>1175</v>
      </c>
      <c r="E574" s="2" t="s">
        <v>1176</v>
      </c>
      <c r="F574" s="2" t="s">
        <v>14</v>
      </c>
      <c r="G574" s="2" t="s">
        <v>15</v>
      </c>
      <c r="H574" s="2">
        <v>66000000</v>
      </c>
      <c r="I574" s="2">
        <v>7.2</v>
      </c>
      <c r="J574" s="2">
        <f t="shared" si="4"/>
        <v>13883359</v>
      </c>
      <c r="K574" s="2">
        <f t="shared" si="5"/>
        <v>2.0017065729402953E-3</v>
      </c>
      <c r="L574" s="2" t="str">
        <f>IF(ISNUMBER(SEARCH("|",IMDB_Movies!$D574)),LEFT(IMDB_Movies!$D574,SEARCH("|",IMDB_Movies!$D574)-1),IMDB_Movies!$D574)</f>
        <v>Drama</v>
      </c>
      <c r="V574" s="2"/>
      <c r="W574" s="2"/>
    </row>
    <row r="575" spans="1:23" ht="12.5" x14ac:dyDescent="0.25">
      <c r="A575" s="2" t="s">
        <v>1177</v>
      </c>
      <c r="B575" s="2">
        <v>118</v>
      </c>
      <c r="C575" s="2">
        <v>78031620</v>
      </c>
      <c r="D575" s="2" t="s">
        <v>1175</v>
      </c>
      <c r="E575" s="2" t="s">
        <v>1178</v>
      </c>
      <c r="F575" s="2" t="s">
        <v>14</v>
      </c>
      <c r="G575" s="2" t="s">
        <v>15</v>
      </c>
      <c r="H575" s="2">
        <v>70000000</v>
      </c>
      <c r="I575" s="2">
        <v>6.1</v>
      </c>
      <c r="J575" s="2">
        <f t="shared" si="4"/>
        <v>8031620</v>
      </c>
      <c r="K575" s="2">
        <f t="shared" si="5"/>
        <v>1.9572046812234441E-3</v>
      </c>
      <c r="L575" s="2" t="str">
        <f>IF(ISNUMBER(SEARCH("|",IMDB_Movies!$D575)),LEFT(IMDB_Movies!$D575,SEARCH("|",IMDB_Movies!$D575)-1),IMDB_Movies!$D575)</f>
        <v>Drama</v>
      </c>
      <c r="V575" s="2"/>
      <c r="W575" s="2"/>
    </row>
    <row r="576" spans="1:23" ht="12.5" x14ac:dyDescent="0.25">
      <c r="A576" s="2" t="s">
        <v>11</v>
      </c>
      <c r="B576" s="2">
        <v>171</v>
      </c>
      <c r="C576" s="2">
        <v>54222000</v>
      </c>
      <c r="D576" s="2" t="s">
        <v>534</v>
      </c>
      <c r="E576" s="2" t="s">
        <v>1179</v>
      </c>
      <c r="F576" s="2" t="s">
        <v>14</v>
      </c>
      <c r="G576" s="2" t="s">
        <v>15</v>
      </c>
      <c r="H576" s="2">
        <v>69500000</v>
      </c>
      <c r="I576" s="2">
        <v>7.6</v>
      </c>
      <c r="J576" s="2">
        <f t="shared" si="4"/>
        <v>-15278000</v>
      </c>
      <c r="K576" s="2">
        <f t="shared" si="5"/>
        <v>1.9094068587664841E-3</v>
      </c>
      <c r="L576" s="2" t="str">
        <f>IF(ISNUMBER(SEARCH("|",IMDB_Movies!$D576)),LEFT(IMDB_Movies!$D576,SEARCH("|",IMDB_Movies!$D576)-1),IMDB_Movies!$D576)</f>
        <v>Adventure</v>
      </c>
      <c r="V576" s="2"/>
      <c r="W576" s="2"/>
    </row>
    <row r="577" spans="1:23" ht="12.5" x14ac:dyDescent="0.25">
      <c r="A577" s="2" t="s">
        <v>284</v>
      </c>
      <c r="B577" s="2">
        <v>136</v>
      </c>
      <c r="C577" s="2">
        <v>52474616</v>
      </c>
      <c r="D577" s="2" t="s">
        <v>1180</v>
      </c>
      <c r="E577" s="2" t="s">
        <v>1181</v>
      </c>
      <c r="F577" s="2" t="s">
        <v>14</v>
      </c>
      <c r="G577" s="2" t="s">
        <v>15</v>
      </c>
      <c r="H577" s="2">
        <v>70000000</v>
      </c>
      <c r="I577" s="2">
        <v>6.3</v>
      </c>
      <c r="J577" s="2">
        <f t="shared" si="4"/>
        <v>-17525384</v>
      </c>
      <c r="K577" s="2">
        <f t="shared" si="5"/>
        <v>1.8880336156102116E-3</v>
      </c>
      <c r="L577" s="2" t="str">
        <f>IF(ISNUMBER(SEARCH("|",IMDB_Movies!$D577)),LEFT(IMDB_Movies!$D577,SEARCH("|",IMDB_Movies!$D577)-1),IMDB_Movies!$D577)</f>
        <v>Drama</v>
      </c>
      <c r="V577" s="2"/>
      <c r="W577" s="2"/>
    </row>
    <row r="578" spans="1:23" ht="12.5" x14ac:dyDescent="0.25">
      <c r="A578" s="2" t="s">
        <v>1182</v>
      </c>
      <c r="B578" s="2">
        <v>92</v>
      </c>
      <c r="C578" s="2">
        <v>55942830</v>
      </c>
      <c r="D578" s="2" t="s">
        <v>1183</v>
      </c>
      <c r="E578" s="2" t="s">
        <v>1184</v>
      </c>
      <c r="F578" s="2" t="s">
        <v>14</v>
      </c>
      <c r="G578" s="2" t="s">
        <v>15</v>
      </c>
      <c r="H578" s="2">
        <v>70000000</v>
      </c>
      <c r="I578" s="2">
        <v>6.3</v>
      </c>
      <c r="J578" s="2">
        <f t="shared" si="4"/>
        <v>-14057170</v>
      </c>
      <c r="K578" s="2">
        <f t="shared" si="5"/>
        <v>1.8682885582584671E-3</v>
      </c>
      <c r="L578" s="2" t="str">
        <f>IF(ISNUMBER(SEARCH("|",IMDB_Movies!$D578)),LEFT(IMDB_Movies!$D578,SEARCH("|",IMDB_Movies!$D578)-1),IMDB_Movies!$D578)</f>
        <v>Action</v>
      </c>
      <c r="V578" s="2"/>
      <c r="W578" s="2"/>
    </row>
    <row r="579" spans="1:23" ht="12.5" x14ac:dyDescent="0.25">
      <c r="A579" s="2" t="s">
        <v>377</v>
      </c>
      <c r="B579" s="2">
        <v>116</v>
      </c>
      <c r="C579" s="2">
        <v>40932372</v>
      </c>
      <c r="D579" s="2" t="s">
        <v>25</v>
      </c>
      <c r="E579" s="2" t="s">
        <v>1185</v>
      </c>
      <c r="F579" s="2" t="s">
        <v>14</v>
      </c>
      <c r="G579" s="2" t="s">
        <v>15</v>
      </c>
      <c r="H579" s="2">
        <v>70000000</v>
      </c>
      <c r="I579" s="2">
        <v>6.3</v>
      </c>
      <c r="J579" s="2">
        <f t="shared" si="4"/>
        <v>-29067628</v>
      </c>
      <c r="K579" s="2">
        <f t="shared" si="5"/>
        <v>1.8447010091229505E-3</v>
      </c>
      <c r="L579" s="2" t="str">
        <f>IF(ISNUMBER(SEARCH("|",IMDB_Movies!$D579)),LEFT(IMDB_Movies!$D579,SEARCH("|",IMDB_Movies!$D579)-1),IMDB_Movies!$D579)</f>
        <v>Action</v>
      </c>
      <c r="V579" s="2"/>
      <c r="W579" s="2"/>
    </row>
    <row r="580" spans="1:23" ht="12.5" x14ac:dyDescent="0.25">
      <c r="A580" s="2" t="s">
        <v>258</v>
      </c>
      <c r="B580" s="2">
        <v>127</v>
      </c>
      <c r="C580" s="2">
        <v>38345403</v>
      </c>
      <c r="D580" s="2" t="s">
        <v>1186</v>
      </c>
      <c r="E580" s="2" t="s">
        <v>1187</v>
      </c>
      <c r="F580" s="2" t="s">
        <v>14</v>
      </c>
      <c r="G580" s="2" t="s">
        <v>22</v>
      </c>
      <c r="H580" s="2">
        <v>70000000</v>
      </c>
      <c r="I580" s="2">
        <v>7.7</v>
      </c>
      <c r="J580" s="2">
        <f t="shared" si="4"/>
        <v>-31654597</v>
      </c>
      <c r="K580" s="2">
        <f t="shared" si="5"/>
        <v>1.8377006786642054E-3</v>
      </c>
      <c r="L580" s="2" t="str">
        <f>IF(ISNUMBER(SEARCH("|",IMDB_Movies!$D580)),LEFT(IMDB_Movies!$D580,SEARCH("|",IMDB_Movies!$D580)-1),IMDB_Movies!$D580)</f>
        <v>Adventure</v>
      </c>
      <c r="V580" s="2"/>
      <c r="W580" s="2"/>
    </row>
    <row r="581" spans="1:23" ht="12.5" x14ac:dyDescent="0.25">
      <c r="A581" s="2" t="s">
        <v>853</v>
      </c>
      <c r="B581" s="2">
        <v>136</v>
      </c>
      <c r="C581" s="2">
        <v>37901509</v>
      </c>
      <c r="D581" s="2" t="s">
        <v>1188</v>
      </c>
      <c r="E581" s="2" t="s">
        <v>1189</v>
      </c>
      <c r="F581" s="2" t="s">
        <v>14</v>
      </c>
      <c r="G581" s="2" t="s">
        <v>15</v>
      </c>
      <c r="H581" s="2">
        <v>70000000</v>
      </c>
      <c r="I581" s="2">
        <v>7</v>
      </c>
      <c r="J581" s="2">
        <f t="shared" si="4"/>
        <v>-32098491</v>
      </c>
      <c r="K581" s="2">
        <f t="shared" si="5"/>
        <v>1.8335649645583208E-3</v>
      </c>
      <c r="L581" s="2" t="str">
        <f>IF(ISNUMBER(SEARCH("|",IMDB_Movies!$D581)),LEFT(IMDB_Movies!$D581,SEARCH("|",IMDB_Movies!$D581)-1),IMDB_Movies!$D581)</f>
        <v>Adventure</v>
      </c>
      <c r="V581" s="2"/>
      <c r="W581" s="2"/>
    </row>
    <row r="582" spans="1:23" ht="12.5" x14ac:dyDescent="0.25">
      <c r="A582" s="2" t="s">
        <v>314</v>
      </c>
      <c r="B582" s="2">
        <v>111</v>
      </c>
      <c r="C582" s="2">
        <v>48430355</v>
      </c>
      <c r="D582" s="2" t="s">
        <v>891</v>
      </c>
      <c r="E582" s="2" t="s">
        <v>1190</v>
      </c>
      <c r="F582" s="2" t="s">
        <v>14</v>
      </c>
      <c r="G582" s="2" t="s">
        <v>15</v>
      </c>
      <c r="H582" s="2">
        <v>70000000</v>
      </c>
      <c r="I582" s="2">
        <v>5.3</v>
      </c>
      <c r="J582" s="2">
        <f t="shared" si="4"/>
        <v>-21569645</v>
      </c>
      <c r="K582" s="2">
        <f t="shared" si="5"/>
        <v>1.8299192832378095E-3</v>
      </c>
      <c r="L582" s="2" t="str">
        <f>IF(ISNUMBER(SEARCH("|",IMDB_Movies!$D582)),LEFT(IMDB_Movies!$D582,SEARCH("|",IMDB_Movies!$D582)-1),IMDB_Movies!$D582)</f>
        <v>Comedy</v>
      </c>
      <c r="V582" s="2"/>
      <c r="W582" s="2"/>
    </row>
    <row r="583" spans="1:23" ht="12.5" x14ac:dyDescent="0.25">
      <c r="A583" s="2" t="s">
        <v>482</v>
      </c>
      <c r="B583" s="2">
        <v>116</v>
      </c>
      <c r="C583" s="2">
        <v>30157016</v>
      </c>
      <c r="D583" s="2" t="s">
        <v>398</v>
      </c>
      <c r="E583" s="2" t="s">
        <v>1191</v>
      </c>
      <c r="F583" s="2" t="s">
        <v>14</v>
      </c>
      <c r="G583" s="2" t="s">
        <v>15</v>
      </c>
      <c r="H583" s="2">
        <v>70000000</v>
      </c>
      <c r="I583" s="2">
        <v>5.6</v>
      </c>
      <c r="J583" s="2">
        <f t="shared" si="4"/>
        <v>-39842984</v>
      </c>
      <c r="K583" s="2">
        <f t="shared" si="5"/>
        <v>1.8145974844998561E-3</v>
      </c>
      <c r="L583" s="2" t="str">
        <f>IF(ISNUMBER(SEARCH("|",IMDB_Movies!$D583)),LEFT(IMDB_Movies!$D583,SEARCH("|",IMDB_Movies!$D583)-1),IMDB_Movies!$D583)</f>
        <v>Action</v>
      </c>
      <c r="V583" s="2"/>
      <c r="W583" s="2"/>
    </row>
    <row r="584" spans="1:23" ht="12.5" x14ac:dyDescent="0.25">
      <c r="A584" s="2" t="s">
        <v>1192</v>
      </c>
      <c r="B584" s="2">
        <v>113</v>
      </c>
      <c r="C584" s="2">
        <v>28031250</v>
      </c>
      <c r="D584" s="2" t="s">
        <v>1193</v>
      </c>
      <c r="E584" s="2" t="s">
        <v>1194</v>
      </c>
      <c r="F584" s="2" t="s">
        <v>14</v>
      </c>
      <c r="G584" s="2" t="s">
        <v>22</v>
      </c>
      <c r="H584" s="2">
        <v>60000000</v>
      </c>
      <c r="I584" s="2">
        <v>5.2</v>
      </c>
      <c r="J584" s="2">
        <f t="shared" si="4"/>
        <v>-31968750</v>
      </c>
      <c r="K584" s="2">
        <f t="shared" si="5"/>
        <v>1.819553434932799E-3</v>
      </c>
      <c r="L584" s="2" t="str">
        <f>IF(ISNUMBER(SEARCH("|",IMDB_Movies!$D584)),LEFT(IMDB_Movies!$D584,SEARCH("|",IMDB_Movies!$D584)-1),IMDB_Movies!$D584)</f>
        <v>Action</v>
      </c>
      <c r="V584" s="2"/>
      <c r="W584" s="2"/>
    </row>
    <row r="585" spans="1:23" ht="12.5" x14ac:dyDescent="0.25">
      <c r="A585" s="2" t="s">
        <v>1139</v>
      </c>
      <c r="B585" s="2">
        <v>97</v>
      </c>
      <c r="C585" s="2">
        <v>33105600</v>
      </c>
      <c r="D585" s="2" t="s">
        <v>398</v>
      </c>
      <c r="E585" s="2" t="s">
        <v>1195</v>
      </c>
      <c r="F585" s="2" t="s">
        <v>14</v>
      </c>
      <c r="G585" s="2" t="s">
        <v>15</v>
      </c>
      <c r="H585" s="2">
        <v>70000000</v>
      </c>
      <c r="I585" s="2">
        <v>5.4</v>
      </c>
      <c r="J585" s="2">
        <f t="shared" si="4"/>
        <v>-36894400</v>
      </c>
      <c r="K585" s="2">
        <f t="shared" si="5"/>
        <v>1.8249560602638167E-3</v>
      </c>
      <c r="L585" s="2" t="str">
        <f>IF(ISNUMBER(SEARCH("|",IMDB_Movies!$D585)),LEFT(IMDB_Movies!$D585,SEARCH("|",IMDB_Movies!$D585)-1),IMDB_Movies!$D585)</f>
        <v>Action</v>
      </c>
      <c r="V585" s="2"/>
      <c r="W585" s="2"/>
    </row>
    <row r="586" spans="1:23" ht="12.5" x14ac:dyDescent="0.25">
      <c r="A586" s="2" t="s">
        <v>1196</v>
      </c>
      <c r="B586" s="2">
        <v>88</v>
      </c>
      <c r="C586" s="2">
        <v>62321039</v>
      </c>
      <c r="D586" s="2" t="s">
        <v>1197</v>
      </c>
      <c r="E586" s="2" t="s">
        <v>1198</v>
      </c>
      <c r="F586" s="2" t="s">
        <v>14</v>
      </c>
      <c r="G586" s="2" t="s">
        <v>15</v>
      </c>
      <c r="H586" s="2">
        <v>70000000</v>
      </c>
      <c r="I586" s="2">
        <v>6.4</v>
      </c>
      <c r="J586" s="2">
        <f t="shared" si="4"/>
        <v>-7678961</v>
      </c>
      <c r="K586" s="2">
        <f t="shared" si="5"/>
        <v>1.8266366478252149E-3</v>
      </c>
      <c r="L586" s="2" t="str">
        <f>IF(ISNUMBER(SEARCH("|",IMDB_Movies!$D586)),LEFT(IMDB_Movies!$D586,SEARCH("|",IMDB_Movies!$D586)-1),IMDB_Movies!$D586)</f>
        <v>Action</v>
      </c>
      <c r="V586" s="2"/>
      <c r="W586" s="2"/>
    </row>
    <row r="587" spans="1:23" ht="12.5" x14ac:dyDescent="0.25">
      <c r="A587" s="2" t="s">
        <v>918</v>
      </c>
      <c r="B587" s="2">
        <v>136</v>
      </c>
      <c r="C587" s="2">
        <v>38509342</v>
      </c>
      <c r="D587" s="2" t="s">
        <v>1199</v>
      </c>
      <c r="E587" s="2" t="s">
        <v>1200</v>
      </c>
      <c r="F587" s="2" t="s">
        <v>14</v>
      </c>
      <c r="G587" s="2" t="s">
        <v>15</v>
      </c>
      <c r="H587" s="2">
        <v>75000000</v>
      </c>
      <c r="I587" s="2">
        <v>5.9</v>
      </c>
      <c r="J587" s="2">
        <f t="shared" si="4"/>
        <v>-36490658</v>
      </c>
      <c r="K587" s="2">
        <f t="shared" si="5"/>
        <v>1.7959241771926049E-3</v>
      </c>
      <c r="L587" s="2" t="str">
        <f>IF(ISNUMBER(SEARCH("|",IMDB_Movies!$D587)),LEFT(IMDB_Movies!$D587,SEARCH("|",IMDB_Movies!$D587)-1),IMDB_Movies!$D587)</f>
        <v>Comedy</v>
      </c>
      <c r="V587" s="2"/>
      <c r="W587" s="2"/>
    </row>
    <row r="588" spans="1:23" ht="12.5" x14ac:dyDescent="0.25">
      <c r="A588" s="2" t="s">
        <v>1201</v>
      </c>
      <c r="B588" s="2">
        <v>125</v>
      </c>
      <c r="C588" s="2">
        <v>19076815</v>
      </c>
      <c r="D588" s="2" t="s">
        <v>1175</v>
      </c>
      <c r="E588" s="2" t="s">
        <v>1202</v>
      </c>
      <c r="F588" s="2" t="s">
        <v>14</v>
      </c>
      <c r="G588" s="2" t="s">
        <v>15</v>
      </c>
      <c r="H588" s="2">
        <v>60000000</v>
      </c>
      <c r="I588" s="2">
        <v>6.3</v>
      </c>
      <c r="J588" s="2">
        <f t="shared" si="4"/>
        <v>-40923185</v>
      </c>
      <c r="K588" s="2">
        <f t="shared" si="5"/>
        <v>1.7910157156062314E-3</v>
      </c>
      <c r="L588" s="2" t="str">
        <f>IF(ISNUMBER(SEARCH("|",IMDB_Movies!$D588)),LEFT(IMDB_Movies!$D588,SEARCH("|",IMDB_Movies!$D588)-1),IMDB_Movies!$D588)</f>
        <v>Drama</v>
      </c>
      <c r="V588" s="2"/>
      <c r="W588" s="2"/>
    </row>
    <row r="589" spans="1:23" ht="12.5" x14ac:dyDescent="0.25">
      <c r="A589" s="2" t="s">
        <v>1203</v>
      </c>
      <c r="B589" s="2">
        <v>116</v>
      </c>
      <c r="C589" s="2">
        <v>25093607</v>
      </c>
      <c r="D589" s="2" t="s">
        <v>125</v>
      </c>
      <c r="E589" s="2" t="s">
        <v>1204</v>
      </c>
      <c r="F589" s="2" t="s">
        <v>14</v>
      </c>
      <c r="G589" s="2" t="s">
        <v>22</v>
      </c>
      <c r="H589" s="2">
        <v>35000000</v>
      </c>
      <c r="I589" s="2">
        <v>6.5</v>
      </c>
      <c r="J589" s="2">
        <f t="shared" si="4"/>
        <v>-9906393</v>
      </c>
      <c r="K589" s="2">
        <f t="shared" si="5"/>
        <v>1.8038046788014582E-3</v>
      </c>
      <c r="L589" s="2" t="str">
        <f>IF(ISNUMBER(SEARCH("|",IMDB_Movies!$D589)),LEFT(IMDB_Movies!$D589,SEARCH("|",IMDB_Movies!$D589)-1),IMDB_Movies!$D589)</f>
        <v>Action</v>
      </c>
      <c r="V589" s="2"/>
      <c r="W589" s="2"/>
    </row>
    <row r="590" spans="1:23" ht="12.5" x14ac:dyDescent="0.25">
      <c r="A590" s="2" t="s">
        <v>477</v>
      </c>
      <c r="B590" s="2">
        <v>98</v>
      </c>
      <c r="C590" s="2">
        <v>18990542</v>
      </c>
      <c r="D590" s="2" t="s">
        <v>1205</v>
      </c>
      <c r="E590" s="2" t="s">
        <v>1206</v>
      </c>
      <c r="F590" s="2" t="s">
        <v>14</v>
      </c>
      <c r="G590" s="2" t="s">
        <v>15</v>
      </c>
      <c r="H590" s="2">
        <v>70000000</v>
      </c>
      <c r="I590" s="2">
        <v>3</v>
      </c>
      <c r="J590" s="2">
        <f t="shared" si="4"/>
        <v>-51009458</v>
      </c>
      <c r="K590" s="2">
        <f t="shared" si="5"/>
        <v>1.8046885784218181E-3</v>
      </c>
      <c r="L590" s="2" t="str">
        <f>IF(ISNUMBER(SEARCH("|",IMDB_Movies!$D590)),LEFT(IMDB_Movies!$D590,SEARCH("|",IMDB_Movies!$D590)-1),IMDB_Movies!$D590)</f>
        <v>Action</v>
      </c>
      <c r="V590" s="2"/>
      <c r="W590" s="2"/>
    </row>
    <row r="591" spans="1:23" ht="12.5" x14ac:dyDescent="0.25">
      <c r="A591" s="2" t="s">
        <v>1207</v>
      </c>
      <c r="B591" s="2">
        <v>91</v>
      </c>
      <c r="C591" s="2">
        <v>14294842</v>
      </c>
      <c r="D591" s="2" t="s">
        <v>509</v>
      </c>
      <c r="E591" s="2" t="s">
        <v>1208</v>
      </c>
      <c r="F591" s="2" t="s">
        <v>14</v>
      </c>
      <c r="G591" s="2" t="s">
        <v>15</v>
      </c>
      <c r="H591" s="2">
        <v>70000000</v>
      </c>
      <c r="I591" s="2">
        <v>3.6</v>
      </c>
      <c r="J591" s="2">
        <f t="shared" si="4"/>
        <v>-55705158</v>
      </c>
      <c r="K591" s="2">
        <f t="shared" si="5"/>
        <v>1.8221246154882203E-3</v>
      </c>
      <c r="L591" s="2" t="str">
        <f>IF(ISNUMBER(SEARCH("|",IMDB_Movies!$D591)),LEFT(IMDB_Movies!$D591,SEARCH("|",IMDB_Movies!$D591)-1),IMDB_Movies!$D591)</f>
        <v>Action</v>
      </c>
      <c r="V591" s="2"/>
      <c r="W591" s="2"/>
    </row>
    <row r="592" spans="1:23" ht="12.5" x14ac:dyDescent="0.25">
      <c r="A592" s="2" t="s">
        <v>1209</v>
      </c>
      <c r="B592" s="2">
        <v>97</v>
      </c>
      <c r="C592" s="2">
        <v>19819494</v>
      </c>
      <c r="D592" s="2" t="s">
        <v>177</v>
      </c>
      <c r="E592" s="2" t="s">
        <v>1210</v>
      </c>
      <c r="F592" s="2" t="s">
        <v>14</v>
      </c>
      <c r="G592" s="2" t="s">
        <v>15</v>
      </c>
      <c r="H592" s="2">
        <v>70000000</v>
      </c>
      <c r="I592" s="2">
        <v>5.8</v>
      </c>
      <c r="J592" s="2">
        <f t="shared" si="4"/>
        <v>-50180506</v>
      </c>
      <c r="K592" s="2">
        <f t="shared" si="5"/>
        <v>1.84482867740494E-3</v>
      </c>
      <c r="L592" s="2" t="str">
        <f>IF(ISNUMBER(SEARCH("|",IMDB_Movies!$D592)),LEFT(IMDB_Movies!$D592,SEARCH("|",IMDB_Movies!$D592)-1),IMDB_Movies!$D592)</f>
        <v>Action</v>
      </c>
      <c r="V592" s="2"/>
      <c r="W592" s="2"/>
    </row>
    <row r="593" spans="1:23" ht="12.5" x14ac:dyDescent="0.25">
      <c r="A593" s="2" t="s">
        <v>1211</v>
      </c>
      <c r="B593" s="2">
        <v>95</v>
      </c>
      <c r="C593" s="2">
        <v>13596911</v>
      </c>
      <c r="D593" s="2" t="s">
        <v>1212</v>
      </c>
      <c r="E593" s="2" t="s">
        <v>1213</v>
      </c>
      <c r="F593" s="2" t="s">
        <v>14</v>
      </c>
      <c r="G593" s="2" t="s">
        <v>15</v>
      </c>
      <c r="H593" s="2">
        <v>70000000</v>
      </c>
      <c r="I593" s="2">
        <v>6.2</v>
      </c>
      <c r="J593" s="2">
        <f t="shared" si="4"/>
        <v>-56403089</v>
      </c>
      <c r="K593" s="2">
        <f t="shared" si="5"/>
        <v>1.861362582477875E-3</v>
      </c>
      <c r="L593" s="2" t="str">
        <f>IF(ISNUMBER(SEARCH("|",IMDB_Movies!$D593)),LEFT(IMDB_Movies!$D593,SEARCH("|",IMDB_Movies!$D593)-1),IMDB_Movies!$D593)</f>
        <v>Action</v>
      </c>
      <c r="V593" s="2"/>
      <c r="W593" s="2"/>
    </row>
    <row r="594" spans="1:23" ht="12.5" x14ac:dyDescent="0.25">
      <c r="A594" s="2" t="s">
        <v>566</v>
      </c>
      <c r="B594" s="2">
        <v>88</v>
      </c>
      <c r="C594" s="2">
        <v>8460990</v>
      </c>
      <c r="D594" s="2" t="s">
        <v>1214</v>
      </c>
      <c r="E594" s="2" t="s">
        <v>1215</v>
      </c>
      <c r="F594" s="2" t="s">
        <v>14</v>
      </c>
      <c r="G594" s="2" t="s">
        <v>15</v>
      </c>
      <c r="H594" s="2">
        <v>70000000</v>
      </c>
      <c r="I594" s="2">
        <v>5.6</v>
      </c>
      <c r="J594" s="2">
        <f t="shared" si="4"/>
        <v>-61539010</v>
      </c>
      <c r="K594" s="2">
        <f t="shared" si="5"/>
        <v>1.8848783645082584E-3</v>
      </c>
      <c r="L594" s="2" t="str">
        <f>IF(ISNUMBER(SEARCH("|",IMDB_Movies!$D594)),LEFT(IMDB_Movies!$D594,SEARCH("|",IMDB_Movies!$D594)-1),IMDB_Movies!$D594)</f>
        <v>Adventure</v>
      </c>
      <c r="V594" s="2"/>
      <c r="W594" s="2"/>
    </row>
    <row r="595" spans="1:23" ht="12.5" x14ac:dyDescent="0.25">
      <c r="A595" s="2" t="s">
        <v>584</v>
      </c>
      <c r="B595" s="2">
        <v>133</v>
      </c>
      <c r="C595" s="2">
        <v>7097125</v>
      </c>
      <c r="D595" s="2" t="s">
        <v>845</v>
      </c>
      <c r="E595" s="2" t="s">
        <v>1216</v>
      </c>
      <c r="F595" s="2" t="s">
        <v>14</v>
      </c>
      <c r="G595" s="2" t="s">
        <v>15</v>
      </c>
      <c r="H595" s="2">
        <v>70000000</v>
      </c>
      <c r="I595" s="2">
        <v>5.4</v>
      </c>
      <c r="J595" s="2">
        <f t="shared" si="4"/>
        <v>-62902875</v>
      </c>
      <c r="K595" s="2">
        <f t="shared" si="5"/>
        <v>1.9141756919953488E-3</v>
      </c>
      <c r="L595" s="2" t="str">
        <f>IF(ISNUMBER(SEARCH("|",IMDB_Movies!$D595)),LEFT(IMDB_Movies!$D595,SEARCH("|",IMDB_Movies!$D595)-1),IMDB_Movies!$D595)</f>
        <v>Action</v>
      </c>
      <c r="V595" s="2"/>
      <c r="W595" s="2"/>
    </row>
    <row r="596" spans="1:23" ht="12.5" x14ac:dyDescent="0.25">
      <c r="A596" s="2" t="s">
        <v>1217</v>
      </c>
      <c r="B596" s="2">
        <v>106</v>
      </c>
      <c r="C596" s="2">
        <v>37760080</v>
      </c>
      <c r="D596" s="2" t="s">
        <v>569</v>
      </c>
      <c r="E596" s="2" t="s">
        <v>1218</v>
      </c>
      <c r="F596" s="2" t="s">
        <v>14</v>
      </c>
      <c r="G596" s="2" t="s">
        <v>15</v>
      </c>
      <c r="H596" s="2">
        <v>70000000</v>
      </c>
      <c r="I596" s="2">
        <v>6.1</v>
      </c>
      <c r="J596" s="2">
        <f t="shared" si="4"/>
        <v>-32239920</v>
      </c>
      <c r="K596" s="2">
        <f t="shared" si="5"/>
        <v>1.9450278641177847E-3</v>
      </c>
      <c r="L596" s="2" t="str">
        <f>IF(ISNUMBER(SEARCH("|",IMDB_Movies!$D596)),LEFT(IMDB_Movies!$D596,SEARCH("|",IMDB_Movies!$D596)-1),IMDB_Movies!$D596)</f>
        <v>Action</v>
      </c>
      <c r="V596" s="2"/>
      <c r="W596" s="2"/>
    </row>
    <row r="597" spans="1:23" ht="12.5" x14ac:dyDescent="0.25">
      <c r="A597" s="2" t="s">
        <v>1219</v>
      </c>
      <c r="B597" s="2">
        <v>116</v>
      </c>
      <c r="C597" s="2">
        <v>5851188</v>
      </c>
      <c r="D597" s="2" t="s">
        <v>793</v>
      </c>
      <c r="E597" s="2" t="s">
        <v>1220</v>
      </c>
      <c r="F597" s="2" t="s">
        <v>14</v>
      </c>
      <c r="G597" s="2" t="s">
        <v>22</v>
      </c>
      <c r="H597" s="2">
        <v>70000000</v>
      </c>
      <c r="I597" s="2">
        <v>4.2</v>
      </c>
      <c r="J597" s="2">
        <f t="shared" si="4"/>
        <v>-64148812</v>
      </c>
      <c r="K597" s="2">
        <f t="shared" si="5"/>
        <v>1.9415633272824866E-3</v>
      </c>
      <c r="L597" s="2" t="str">
        <f>IF(ISNUMBER(SEARCH("|",IMDB_Movies!$D597)),LEFT(IMDB_Movies!$D597,SEARCH("|",IMDB_Movies!$D597)-1),IMDB_Movies!$D597)</f>
        <v>Crime</v>
      </c>
      <c r="V597" s="2"/>
      <c r="W597" s="2"/>
    </row>
    <row r="598" spans="1:23" ht="12.5" x14ac:dyDescent="0.25">
      <c r="A598" s="2" t="s">
        <v>1221</v>
      </c>
      <c r="B598" s="2">
        <v>115</v>
      </c>
      <c r="C598" s="2">
        <v>25121291</v>
      </c>
      <c r="D598" s="2" t="s">
        <v>1222</v>
      </c>
      <c r="E598" s="2" t="s">
        <v>1223</v>
      </c>
      <c r="F598" s="2" t="s">
        <v>14</v>
      </c>
      <c r="G598" s="2" t="s">
        <v>15</v>
      </c>
      <c r="H598" s="2">
        <v>50000000</v>
      </c>
      <c r="I598" s="2">
        <v>6.7</v>
      </c>
      <c r="J598" s="2">
        <f t="shared" si="4"/>
        <v>-24878709</v>
      </c>
      <c r="K598" s="2">
        <f t="shared" si="5"/>
        <v>1.9738494299705329E-3</v>
      </c>
      <c r="L598" s="2" t="str">
        <f>IF(ISNUMBER(SEARCH("|",IMDB_Movies!$D598)),LEFT(IMDB_Movies!$D598,SEARCH("|",IMDB_Movies!$D598)-1),IMDB_Movies!$D598)</f>
        <v>Action</v>
      </c>
      <c r="V598" s="2"/>
      <c r="W598" s="2"/>
    </row>
    <row r="599" spans="1:23" ht="12.5" x14ac:dyDescent="0.25">
      <c r="A599" s="2" t="s">
        <v>744</v>
      </c>
      <c r="B599" s="2">
        <v>99</v>
      </c>
      <c r="C599" s="2">
        <v>18821279</v>
      </c>
      <c r="D599" s="2" t="s">
        <v>17</v>
      </c>
      <c r="E599" s="2" t="s">
        <v>1224</v>
      </c>
      <c r="F599" s="2" t="s">
        <v>14</v>
      </c>
      <c r="G599" s="2" t="s">
        <v>15</v>
      </c>
      <c r="H599" s="2">
        <v>70000000</v>
      </c>
      <c r="I599" s="2">
        <v>4.2</v>
      </c>
      <c r="J599" s="2">
        <f t="shared" si="4"/>
        <v>-51178721</v>
      </c>
      <c r="K599" s="2">
        <f t="shared" si="5"/>
        <v>1.9789435175996874E-3</v>
      </c>
      <c r="L599" s="2" t="str">
        <f>IF(ISNUMBER(SEARCH("|",IMDB_Movies!$D599)),LEFT(IMDB_Movies!$D599,SEARCH("|",IMDB_Movies!$D599)-1),IMDB_Movies!$D599)</f>
        <v>Action</v>
      </c>
      <c r="V599" s="2"/>
      <c r="W599" s="2"/>
    </row>
    <row r="600" spans="1:23" ht="12.5" x14ac:dyDescent="0.25">
      <c r="A600" s="2" t="s">
        <v>1225</v>
      </c>
      <c r="B600" s="2">
        <v>124</v>
      </c>
      <c r="C600" s="2">
        <v>118471320</v>
      </c>
      <c r="D600" s="2" t="s">
        <v>342</v>
      </c>
      <c r="E600" s="2" t="s">
        <v>1226</v>
      </c>
      <c r="F600" s="2" t="s">
        <v>14</v>
      </c>
      <c r="G600" s="2" t="s">
        <v>15</v>
      </c>
      <c r="H600" s="2">
        <v>68000000</v>
      </c>
      <c r="I600" s="2">
        <v>6.4</v>
      </c>
      <c r="J600" s="2">
        <f t="shared" si="4"/>
        <v>50471320</v>
      </c>
      <c r="K600" s="2">
        <f t="shared" si="5"/>
        <v>1.9966820230553524E-3</v>
      </c>
      <c r="L600" s="2" t="str">
        <f>IF(ISNUMBER(SEARCH("|",IMDB_Movies!$D600)),LEFT(IMDB_Movies!$D600,SEARCH("|",IMDB_Movies!$D600)-1),IMDB_Movies!$D600)</f>
        <v>Action</v>
      </c>
      <c r="V600" s="2"/>
      <c r="W600" s="2"/>
    </row>
    <row r="601" spans="1:23" ht="12.5" x14ac:dyDescent="0.25">
      <c r="A601" s="2" t="s">
        <v>1227</v>
      </c>
      <c r="B601" s="2">
        <v>124</v>
      </c>
      <c r="C601" s="2">
        <v>300523113</v>
      </c>
      <c r="D601" s="2" t="s">
        <v>409</v>
      </c>
      <c r="E601" s="2" t="s">
        <v>1228</v>
      </c>
      <c r="F601" s="2" t="s">
        <v>14</v>
      </c>
      <c r="G601" s="2" t="s">
        <v>15</v>
      </c>
      <c r="H601" s="2">
        <v>68000000</v>
      </c>
      <c r="I601" s="2">
        <v>4.9000000000000004</v>
      </c>
      <c r="J601" s="2">
        <f t="shared" si="4"/>
        <v>232523113</v>
      </c>
      <c r="K601" s="2">
        <f t="shared" si="5"/>
        <v>1.9090104875748083E-3</v>
      </c>
      <c r="L601" s="2" t="str">
        <f>IF(ISNUMBER(SEARCH("|",IMDB_Movies!$D601)),LEFT(IMDB_Movies!$D601,SEARCH("|",IMDB_Movies!$D601)-1),IMDB_Movies!$D601)</f>
        <v>Adventure</v>
      </c>
      <c r="V601" s="2"/>
      <c r="W601" s="2"/>
    </row>
    <row r="602" spans="1:23" ht="12.5" x14ac:dyDescent="0.25">
      <c r="A602" s="2" t="s">
        <v>703</v>
      </c>
      <c r="B602" s="2">
        <v>124</v>
      </c>
      <c r="C602" s="2">
        <v>71069884</v>
      </c>
      <c r="D602" s="2" t="s">
        <v>763</v>
      </c>
      <c r="E602" s="2" t="s">
        <v>1229</v>
      </c>
      <c r="F602" s="2" t="s">
        <v>14</v>
      </c>
      <c r="G602" s="2" t="s">
        <v>15</v>
      </c>
      <c r="H602" s="2">
        <v>68000000</v>
      </c>
      <c r="I602" s="2">
        <v>6.8</v>
      </c>
      <c r="J602" s="2">
        <f t="shared" si="4"/>
        <v>3069884</v>
      </c>
      <c r="K602" s="2">
        <f t="shared" si="5"/>
        <v>1.6364821739046883E-3</v>
      </c>
      <c r="L602" s="2" t="str">
        <f>IF(ISNUMBER(SEARCH("|",IMDB_Movies!$D602)),LEFT(IMDB_Movies!$D602,SEARCH("|",IMDB_Movies!$D602)-1),IMDB_Movies!$D602)</f>
        <v>Crime</v>
      </c>
      <c r="V602" s="2"/>
      <c r="W602" s="2"/>
    </row>
    <row r="603" spans="1:23" ht="12.5" x14ac:dyDescent="0.25">
      <c r="A603" s="2" t="s">
        <v>1035</v>
      </c>
      <c r="B603" s="2">
        <v>87</v>
      </c>
      <c r="C603" s="2">
        <v>251501645</v>
      </c>
      <c r="D603" s="2" t="s">
        <v>1030</v>
      </c>
      <c r="E603" s="2" t="s">
        <v>1230</v>
      </c>
      <c r="F603" s="2" t="s">
        <v>14</v>
      </c>
      <c r="G603" s="2" t="s">
        <v>15</v>
      </c>
      <c r="H603" s="2">
        <v>69000000</v>
      </c>
      <c r="I603" s="2">
        <v>7.7</v>
      </c>
      <c r="J603" s="2">
        <f t="shared" si="4"/>
        <v>182501645</v>
      </c>
      <c r="K603" s="2">
        <f t="shared" si="5"/>
        <v>1.5977238878734973E-3</v>
      </c>
      <c r="L603" s="2" t="str">
        <f>IF(ISNUMBER(SEARCH("|",IMDB_Movies!$D603)),LEFT(IMDB_Movies!$D603,SEARCH("|",IMDB_Movies!$D603)-1),IMDB_Movies!$D603)</f>
        <v>Animation</v>
      </c>
      <c r="V603" s="2"/>
      <c r="W603" s="2"/>
    </row>
    <row r="604" spans="1:23" ht="12.5" x14ac:dyDescent="0.25">
      <c r="A604" s="2" t="s">
        <v>1231</v>
      </c>
      <c r="B604" s="2">
        <v>105</v>
      </c>
      <c r="C604" s="2">
        <v>35324232</v>
      </c>
      <c r="D604" s="2" t="s">
        <v>1232</v>
      </c>
      <c r="E604" s="2" t="s">
        <v>1233</v>
      </c>
      <c r="F604" s="2" t="s">
        <v>14</v>
      </c>
      <c r="G604" s="2" t="s">
        <v>15</v>
      </c>
      <c r="H604" s="2">
        <v>68000000</v>
      </c>
      <c r="I604" s="2">
        <v>5.6</v>
      </c>
      <c r="J604" s="2">
        <f t="shared" si="4"/>
        <v>-32675768</v>
      </c>
      <c r="K604" s="2">
        <f t="shared" si="5"/>
        <v>1.3651210149331634E-3</v>
      </c>
      <c r="L604" s="2" t="str">
        <f>IF(ISNUMBER(SEARCH("|",IMDB_Movies!$D604)),LEFT(IMDB_Movies!$D604,SEARCH("|",IMDB_Movies!$D604)-1),IMDB_Movies!$D604)</f>
        <v>Action</v>
      </c>
      <c r="V604" s="2"/>
      <c r="W604" s="2"/>
    </row>
    <row r="605" spans="1:23" ht="12.5" x14ac:dyDescent="0.25">
      <c r="A605" s="2" t="s">
        <v>1234</v>
      </c>
      <c r="B605" s="2">
        <v>125</v>
      </c>
      <c r="C605" s="2">
        <v>81257500</v>
      </c>
      <c r="D605" s="2" t="s">
        <v>709</v>
      </c>
      <c r="E605" s="2" t="s">
        <v>1235</v>
      </c>
      <c r="F605" s="2" t="s">
        <v>14</v>
      </c>
      <c r="G605" s="2" t="s">
        <v>15</v>
      </c>
      <c r="H605" s="2">
        <v>68000000</v>
      </c>
      <c r="I605" s="2">
        <v>6.4</v>
      </c>
      <c r="J605" s="2">
        <f t="shared" si="4"/>
        <v>13257500</v>
      </c>
      <c r="K605" s="2">
        <f t="shared" si="5"/>
        <v>1.3642155175722591E-3</v>
      </c>
      <c r="L605" s="2" t="str">
        <f>IF(ISNUMBER(SEARCH("|",IMDB_Movies!$D605)),LEFT(IMDB_Movies!$D605,SEARCH("|",IMDB_Movies!$D605)-1),IMDB_Movies!$D605)</f>
        <v>Comedy</v>
      </c>
      <c r="V605" s="2"/>
      <c r="W605" s="2"/>
    </row>
    <row r="606" spans="1:23" ht="12.5" x14ac:dyDescent="0.25">
      <c r="A606" s="2" t="s">
        <v>1236</v>
      </c>
      <c r="B606" s="2">
        <v>141</v>
      </c>
      <c r="C606" s="2">
        <v>617840</v>
      </c>
      <c r="D606" s="2" t="s">
        <v>1237</v>
      </c>
      <c r="E606" s="2" t="s">
        <v>1238</v>
      </c>
      <c r="F606" s="2" t="s">
        <v>14</v>
      </c>
      <c r="G606" s="2" t="s">
        <v>1239</v>
      </c>
      <c r="H606" s="2">
        <v>70000000</v>
      </c>
      <c r="I606" s="2">
        <v>7.2</v>
      </c>
      <c r="J606" s="2">
        <f t="shared" si="4"/>
        <v>-69382160</v>
      </c>
      <c r="K606" s="2">
        <f t="shared" si="5"/>
        <v>1.3143257822229657E-3</v>
      </c>
      <c r="L606" s="2" t="str">
        <f>IF(ISNUMBER(SEARCH("|",IMDB_Movies!$D606)),LEFT(IMDB_Movies!$D606,SEARCH("|",IMDB_Movies!$D606)-1),IMDB_Movies!$D606)</f>
        <v>Adventure</v>
      </c>
      <c r="V606" s="2"/>
      <c r="W606" s="2"/>
    </row>
    <row r="607" spans="1:23" ht="12.5" x14ac:dyDescent="0.25">
      <c r="A607" s="2" t="s">
        <v>1240</v>
      </c>
      <c r="B607" s="2">
        <v>121</v>
      </c>
      <c r="C607" s="2">
        <v>29655590</v>
      </c>
      <c r="D607" s="2" t="s">
        <v>359</v>
      </c>
      <c r="E607" s="2" t="s">
        <v>1241</v>
      </c>
      <c r="F607" s="2" t="s">
        <v>14</v>
      </c>
      <c r="G607" s="2" t="s">
        <v>15</v>
      </c>
      <c r="H607" s="2">
        <v>65000000</v>
      </c>
      <c r="I607" s="2">
        <v>6</v>
      </c>
      <c r="J607" s="2">
        <f t="shared" si="4"/>
        <v>-35344410</v>
      </c>
      <c r="K607" s="2">
        <f t="shared" si="5"/>
        <v>1.3527348362764493E-3</v>
      </c>
      <c r="L607" s="2" t="str">
        <f>IF(ISNUMBER(SEARCH("|",IMDB_Movies!$D607)),LEFT(IMDB_Movies!$D607,SEARCH("|",IMDB_Movies!$D607)-1),IMDB_Movies!$D607)</f>
        <v>Action</v>
      </c>
      <c r="V607" s="2"/>
      <c r="W607" s="2"/>
    </row>
    <row r="608" spans="1:23" ht="12.5" x14ac:dyDescent="0.25">
      <c r="A608" s="2" t="s">
        <v>1211</v>
      </c>
      <c r="B608" s="2">
        <v>111</v>
      </c>
      <c r="C608" s="2">
        <v>45045037</v>
      </c>
      <c r="D608" s="2" t="s">
        <v>600</v>
      </c>
      <c r="E608" s="2" t="s">
        <v>1242</v>
      </c>
      <c r="F608" s="2" t="s">
        <v>14</v>
      </c>
      <c r="G608" s="2" t="s">
        <v>15</v>
      </c>
      <c r="H608" s="2">
        <v>36000000</v>
      </c>
      <c r="I608" s="2">
        <v>5.9</v>
      </c>
      <c r="J608" s="2">
        <f t="shared" si="4"/>
        <v>9045037</v>
      </c>
      <c r="K608" s="2">
        <f t="shared" si="5"/>
        <v>1.3574785222297521E-3</v>
      </c>
      <c r="L608" s="2" t="str">
        <f>IF(ISNUMBER(SEARCH("|",IMDB_Movies!$D608)),LEFT(IMDB_Movies!$D608,SEARCH("|",IMDB_Movies!$D608)-1),IMDB_Movies!$D608)</f>
        <v>Comedy</v>
      </c>
      <c r="V608" s="2"/>
      <c r="W608" s="2"/>
    </row>
    <row r="609" spans="1:23" ht="12.5" x14ac:dyDescent="0.25">
      <c r="A609" s="2" t="s">
        <v>584</v>
      </c>
      <c r="B609" s="2">
        <v>157</v>
      </c>
      <c r="C609" s="2">
        <v>28965197</v>
      </c>
      <c r="D609" s="2" t="s">
        <v>1243</v>
      </c>
      <c r="E609" s="2" t="s">
        <v>1244</v>
      </c>
      <c r="F609" s="2" t="s">
        <v>14</v>
      </c>
      <c r="G609" s="2" t="s">
        <v>15</v>
      </c>
      <c r="H609" s="2">
        <v>68000000</v>
      </c>
      <c r="I609" s="2">
        <v>7.9</v>
      </c>
      <c r="J609" s="2">
        <f t="shared" si="4"/>
        <v>-39034803</v>
      </c>
      <c r="K609" s="2">
        <f t="shared" si="5"/>
        <v>1.3561360944817024E-3</v>
      </c>
      <c r="L609" s="2" t="str">
        <f>IF(ISNUMBER(SEARCH("|",IMDB_Movies!$D609)),LEFT(IMDB_Movies!$D609,SEARCH("|",IMDB_Movies!$D609)-1),IMDB_Movies!$D609)</f>
        <v>Biography</v>
      </c>
      <c r="V609" s="2"/>
      <c r="W609" s="2"/>
    </row>
    <row r="610" spans="1:23" ht="12.5" x14ac:dyDescent="0.25">
      <c r="A610" s="2" t="s">
        <v>76</v>
      </c>
      <c r="B610" s="2">
        <v>128</v>
      </c>
      <c r="C610" s="2">
        <v>39380442</v>
      </c>
      <c r="D610" s="2" t="s">
        <v>342</v>
      </c>
      <c r="E610" s="2" t="s">
        <v>1245</v>
      </c>
      <c r="F610" s="2" t="s">
        <v>14</v>
      </c>
      <c r="G610" s="2" t="s">
        <v>15</v>
      </c>
      <c r="H610" s="2">
        <v>70000000</v>
      </c>
      <c r="I610" s="2">
        <v>7.1</v>
      </c>
      <c r="J610" s="2">
        <f t="shared" si="4"/>
        <v>-30619558</v>
      </c>
      <c r="K610" s="2">
        <f t="shared" si="5"/>
        <v>1.3620482484191774E-3</v>
      </c>
      <c r="L610" s="2" t="str">
        <f>IF(ISNUMBER(SEARCH("|",IMDB_Movies!$D610)),LEFT(IMDB_Movies!$D610,SEARCH("|",IMDB_Movies!$D610)-1),IMDB_Movies!$D610)</f>
        <v>Action</v>
      </c>
      <c r="V610" s="2"/>
      <c r="W610" s="2"/>
    </row>
    <row r="611" spans="1:23" ht="12.5" x14ac:dyDescent="0.25">
      <c r="A611" s="2" t="s">
        <v>1042</v>
      </c>
      <c r="B611" s="2">
        <v>105</v>
      </c>
      <c r="C611" s="2">
        <v>37516013</v>
      </c>
      <c r="D611" s="2" t="s">
        <v>1197</v>
      </c>
      <c r="E611" s="2" t="s">
        <v>1246</v>
      </c>
      <c r="F611" s="2" t="s">
        <v>14</v>
      </c>
      <c r="G611" s="2" t="s">
        <v>15</v>
      </c>
      <c r="H611" s="2">
        <v>69000000</v>
      </c>
      <c r="I611" s="2">
        <v>5.9</v>
      </c>
      <c r="J611" s="2">
        <f t="shared" si="4"/>
        <v>-31483987</v>
      </c>
      <c r="K611" s="2">
        <f t="shared" si="5"/>
        <v>1.3564962981961169E-3</v>
      </c>
      <c r="L611" s="2" t="str">
        <f>IF(ISNUMBER(SEARCH("|",IMDB_Movies!$D611)),LEFT(IMDB_Movies!$D611,SEARCH("|",IMDB_Movies!$D611)-1),IMDB_Movies!$D611)</f>
        <v>Action</v>
      </c>
      <c r="V611" s="2"/>
      <c r="W611" s="2"/>
    </row>
    <row r="612" spans="1:23" ht="12.5" x14ac:dyDescent="0.25">
      <c r="A612" s="2" t="s">
        <v>872</v>
      </c>
      <c r="B612" s="2">
        <v>113</v>
      </c>
      <c r="C612" s="2">
        <v>87704396</v>
      </c>
      <c r="D612" s="2" t="s">
        <v>575</v>
      </c>
      <c r="E612" s="2" t="s">
        <v>1247</v>
      </c>
      <c r="F612" s="2" t="s">
        <v>14</v>
      </c>
      <c r="G612" s="2" t="s">
        <v>15</v>
      </c>
      <c r="H612" s="2">
        <v>66000000</v>
      </c>
      <c r="I612" s="2">
        <v>6.2</v>
      </c>
      <c r="J612" s="2">
        <f t="shared" si="4"/>
        <v>21704396</v>
      </c>
      <c r="K612" s="2">
        <f t="shared" si="5"/>
        <v>1.3531405434798671E-3</v>
      </c>
      <c r="L612" s="2" t="str">
        <f>IF(ISNUMBER(SEARCH("|",IMDB_Movies!$D612)),LEFT(IMDB_Movies!$D612,SEARCH("|",IMDB_Movies!$D612)-1),IMDB_Movies!$D612)</f>
        <v>Action</v>
      </c>
      <c r="V612" s="2"/>
      <c r="W612" s="2"/>
    </row>
    <row r="613" spans="1:23" ht="12.5" x14ac:dyDescent="0.25">
      <c r="A613" s="2" t="s">
        <v>1248</v>
      </c>
      <c r="B613" s="2">
        <v>121</v>
      </c>
      <c r="C613" s="2">
        <v>83892374</v>
      </c>
      <c r="D613" s="2" t="s">
        <v>788</v>
      </c>
      <c r="E613" s="2" t="s">
        <v>1249</v>
      </c>
      <c r="F613" s="2" t="s">
        <v>14</v>
      </c>
      <c r="G613" s="2" t="s">
        <v>15</v>
      </c>
      <c r="H613" s="2">
        <v>66000000</v>
      </c>
      <c r="I613" s="2">
        <v>7</v>
      </c>
      <c r="J613" s="2">
        <f t="shared" si="4"/>
        <v>17892374</v>
      </c>
      <c r="K613" s="2">
        <f t="shared" si="5"/>
        <v>1.2994158414731029E-3</v>
      </c>
      <c r="L613" s="2" t="str">
        <f>IF(ISNUMBER(SEARCH("|",IMDB_Movies!$D613)),LEFT(IMDB_Movies!$D613,SEARCH("|",IMDB_Movies!$D613)-1),IMDB_Movies!$D613)</f>
        <v>Drama</v>
      </c>
      <c r="V613" s="2"/>
      <c r="W613" s="2"/>
    </row>
    <row r="614" spans="1:23" ht="12.5" x14ac:dyDescent="0.25">
      <c r="A614" s="2" t="s">
        <v>1250</v>
      </c>
      <c r="B614" s="2">
        <v>102</v>
      </c>
      <c r="C614" s="2">
        <v>5932060</v>
      </c>
      <c r="D614" s="2" t="s">
        <v>1251</v>
      </c>
      <c r="E614" s="2" t="s">
        <v>1252</v>
      </c>
      <c r="F614" s="2" t="s">
        <v>14</v>
      </c>
      <c r="G614" s="2" t="s">
        <v>22</v>
      </c>
      <c r="H614" s="2">
        <v>35000000</v>
      </c>
      <c r="I614" s="2">
        <v>5.4</v>
      </c>
      <c r="J614" s="2">
        <f t="shared" si="4"/>
        <v>-29067940</v>
      </c>
      <c r="K614" s="2">
        <f t="shared" si="5"/>
        <v>1.2494639860811643E-3</v>
      </c>
      <c r="L614" s="2" t="str">
        <f>IF(ISNUMBER(SEARCH("|",IMDB_Movies!$D614)),LEFT(IMDB_Movies!$D614,SEARCH("|",IMDB_Movies!$D614)-1),IMDB_Movies!$D614)</f>
        <v>Action</v>
      </c>
      <c r="V614" s="2"/>
      <c r="W614" s="2"/>
    </row>
    <row r="615" spans="1:23" ht="12.5" x14ac:dyDescent="0.25">
      <c r="A615" s="2" t="s">
        <v>141</v>
      </c>
      <c r="B615" s="2">
        <v>169</v>
      </c>
      <c r="C615" s="2">
        <v>216119491</v>
      </c>
      <c r="D615" s="2" t="s">
        <v>529</v>
      </c>
      <c r="E615" s="2" t="s">
        <v>1253</v>
      </c>
      <c r="F615" s="2" t="s">
        <v>14</v>
      </c>
      <c r="G615" s="2" t="s">
        <v>15</v>
      </c>
      <c r="H615" s="2">
        <v>70000000</v>
      </c>
      <c r="I615" s="2">
        <v>8.6</v>
      </c>
      <c r="J615" s="2">
        <f t="shared" si="4"/>
        <v>146119491</v>
      </c>
      <c r="K615" s="2">
        <f t="shared" si="5"/>
        <v>1.2524083323039617E-3</v>
      </c>
      <c r="L615" s="2" t="str">
        <f>IF(ISNUMBER(SEARCH("|",IMDB_Movies!$D615)),LEFT(IMDB_Movies!$D615,SEARCH("|",IMDB_Movies!$D615)-1),IMDB_Movies!$D615)</f>
        <v>Action</v>
      </c>
      <c r="V615" s="2"/>
      <c r="W615" s="2"/>
    </row>
    <row r="616" spans="1:23" ht="12.5" x14ac:dyDescent="0.25">
      <c r="A616" s="2" t="s">
        <v>1254</v>
      </c>
      <c r="B616" s="2">
        <v>132</v>
      </c>
      <c r="C616" s="2">
        <v>43568507</v>
      </c>
      <c r="D616" s="2" t="s">
        <v>177</v>
      </c>
      <c r="E616" s="2" t="s">
        <v>1255</v>
      </c>
      <c r="F616" s="2" t="s">
        <v>14</v>
      </c>
      <c r="G616" s="2" t="s">
        <v>15</v>
      </c>
      <c r="H616" s="2">
        <v>66000000</v>
      </c>
      <c r="I616" s="2">
        <v>6.5</v>
      </c>
      <c r="J616" s="2">
        <f t="shared" si="4"/>
        <v>-22431493</v>
      </c>
      <c r="K616" s="2">
        <f t="shared" si="5"/>
        <v>1.0491852630784113E-3</v>
      </c>
      <c r="L616" s="2" t="str">
        <f>IF(ISNUMBER(SEARCH("|",IMDB_Movies!$D616)),LEFT(IMDB_Movies!$D616,SEARCH("|",IMDB_Movies!$D616)-1),IMDB_Movies!$D616)</f>
        <v>Action</v>
      </c>
      <c r="V616" s="2"/>
      <c r="W616" s="2"/>
    </row>
    <row r="617" spans="1:23" ht="12.5" x14ac:dyDescent="0.25">
      <c r="A617" s="2" t="s">
        <v>843</v>
      </c>
      <c r="B617" s="2">
        <v>127</v>
      </c>
      <c r="C617" s="2">
        <v>182805123</v>
      </c>
      <c r="D617" s="2" t="s">
        <v>1256</v>
      </c>
      <c r="E617" s="2" t="s">
        <v>1257</v>
      </c>
      <c r="F617" s="2" t="s">
        <v>14</v>
      </c>
      <c r="G617" s="2" t="s">
        <v>15</v>
      </c>
      <c r="H617" s="2">
        <v>70000000</v>
      </c>
      <c r="I617" s="2">
        <v>6.4</v>
      </c>
      <c r="J617" s="2">
        <f t="shared" si="4"/>
        <v>112805123</v>
      </c>
      <c r="K617" s="2">
        <f t="shared" si="5"/>
        <v>1.0398379553698837E-3</v>
      </c>
      <c r="L617" s="2" t="str">
        <f>IF(ISNUMBER(SEARCH("|",IMDB_Movies!$D617)),LEFT(IMDB_Movies!$D617,SEARCH("|",IMDB_Movies!$D617)-1),IMDB_Movies!$D617)</f>
        <v>Comedy</v>
      </c>
      <c r="V617" s="2"/>
      <c r="W617" s="2"/>
    </row>
    <row r="618" spans="1:23" ht="12.5" x14ac:dyDescent="0.25">
      <c r="A618" s="2" t="s">
        <v>644</v>
      </c>
      <c r="B618" s="2">
        <v>103</v>
      </c>
      <c r="C618" s="2">
        <v>176387405</v>
      </c>
      <c r="D618" s="2" t="s">
        <v>181</v>
      </c>
      <c r="E618" s="2" t="s">
        <v>1258</v>
      </c>
      <c r="F618" s="2" t="s">
        <v>14</v>
      </c>
      <c r="G618" s="2" t="s">
        <v>15</v>
      </c>
      <c r="H618" s="2">
        <v>59000000</v>
      </c>
      <c r="I618" s="2">
        <v>7.6</v>
      </c>
      <c r="J618" s="2">
        <f t="shared" si="4"/>
        <v>117387405</v>
      </c>
      <c r="K618" s="2">
        <f t="shared" si="5"/>
        <v>8.7252072164682119E-4</v>
      </c>
      <c r="L618" s="2" t="str">
        <f>IF(ISNUMBER(SEARCH("|",IMDB_Movies!$D618)),LEFT(IMDB_Movies!$D618,SEARCH("|",IMDB_Movies!$D618)-1),IMDB_Movies!$D618)</f>
        <v>Adventure</v>
      </c>
      <c r="V618" s="2"/>
      <c r="W618" s="2"/>
    </row>
    <row r="619" spans="1:23" ht="12.5" x14ac:dyDescent="0.25">
      <c r="A619" s="2" t="s">
        <v>1259</v>
      </c>
      <c r="B619" s="2">
        <v>136</v>
      </c>
      <c r="C619" s="2">
        <v>33685268</v>
      </c>
      <c r="D619" s="2" t="s">
        <v>1260</v>
      </c>
      <c r="E619" s="2" t="s">
        <v>1261</v>
      </c>
      <c r="F619" s="2" t="s">
        <v>14</v>
      </c>
      <c r="G619" s="2" t="s">
        <v>15</v>
      </c>
      <c r="H619" s="2">
        <v>68000000</v>
      </c>
      <c r="I619" s="2">
        <v>5.5</v>
      </c>
      <c r="J619" s="2">
        <f t="shared" si="4"/>
        <v>-34314732</v>
      </c>
      <c r="K619" s="2">
        <f t="shared" si="5"/>
        <v>7.581513908014075E-4</v>
      </c>
      <c r="L619" s="2" t="str">
        <f>IF(ISNUMBER(SEARCH("|",IMDB_Movies!$D619)),LEFT(IMDB_Movies!$D619,SEARCH("|",IMDB_Movies!$D619)-1),IMDB_Movies!$D619)</f>
        <v>Drama</v>
      </c>
      <c r="V619" s="2"/>
      <c r="W619" s="2"/>
    </row>
    <row r="620" spans="1:23" ht="12.5" x14ac:dyDescent="0.25">
      <c r="A620" s="2" t="s">
        <v>141</v>
      </c>
      <c r="B620" s="2">
        <v>150</v>
      </c>
      <c r="C620" s="2">
        <v>182204440</v>
      </c>
      <c r="D620" s="2" t="s">
        <v>1125</v>
      </c>
      <c r="E620" s="2" t="s">
        <v>1262</v>
      </c>
      <c r="F620" s="2" t="s">
        <v>14</v>
      </c>
      <c r="G620" s="2" t="s">
        <v>15</v>
      </c>
      <c r="H620" s="2">
        <v>65000000</v>
      </c>
      <c r="I620" s="2">
        <v>7.4</v>
      </c>
      <c r="J620" s="2">
        <f t="shared" si="4"/>
        <v>117204440</v>
      </c>
      <c r="K620" s="2">
        <f t="shared" si="5"/>
        <v>7.5881153855208701E-4</v>
      </c>
      <c r="L620" s="2" t="str">
        <f>IF(ISNUMBER(SEARCH("|",IMDB_Movies!$D620)),LEFT(IMDB_Movies!$D620,SEARCH("|",IMDB_Movies!$D620)-1),IMDB_Movies!$D620)</f>
        <v>Biography</v>
      </c>
      <c r="V620" s="2"/>
      <c r="W620" s="2"/>
    </row>
    <row r="621" spans="1:23" ht="12.5" x14ac:dyDescent="0.25">
      <c r="A621" s="2" t="s">
        <v>165</v>
      </c>
      <c r="B621" s="2">
        <v>136</v>
      </c>
      <c r="C621" s="2">
        <v>171383253</v>
      </c>
      <c r="D621" s="2" t="s">
        <v>246</v>
      </c>
      <c r="E621" s="2" t="s">
        <v>1263</v>
      </c>
      <c r="F621" s="2" t="s">
        <v>14</v>
      </c>
      <c r="G621" s="2" t="s">
        <v>15</v>
      </c>
      <c r="H621" s="2">
        <v>63000000</v>
      </c>
      <c r="I621" s="2">
        <v>8.6999999999999993</v>
      </c>
      <c r="J621" s="2">
        <f t="shared" si="4"/>
        <v>108383253</v>
      </c>
      <c r="K621" s="2">
        <f t="shared" si="5"/>
        <v>6.1285264226467395E-4</v>
      </c>
      <c r="L621" s="2" t="str">
        <f>IF(ISNUMBER(SEARCH("|",IMDB_Movies!$D621)),LEFT(IMDB_Movies!$D621,SEARCH("|",IMDB_Movies!$D621)-1),IMDB_Movies!$D621)</f>
        <v>Action</v>
      </c>
      <c r="V621" s="2"/>
      <c r="W621" s="2"/>
    </row>
    <row r="622" spans="1:23" ht="12.5" x14ac:dyDescent="0.25">
      <c r="A622" s="2" t="s">
        <v>314</v>
      </c>
      <c r="B622" s="2">
        <v>140</v>
      </c>
      <c r="C622" s="2">
        <v>172071312</v>
      </c>
      <c r="D622" s="2" t="s">
        <v>1264</v>
      </c>
      <c r="E622" s="2" t="s">
        <v>1265</v>
      </c>
      <c r="F622" s="2" t="s">
        <v>14</v>
      </c>
      <c r="G622" s="2" t="s">
        <v>15</v>
      </c>
      <c r="H622" s="2">
        <v>62000000</v>
      </c>
      <c r="I622" s="2">
        <v>7.6</v>
      </c>
      <c r="J622" s="2">
        <f t="shared" si="4"/>
        <v>110071312</v>
      </c>
      <c r="K622" s="2">
        <f t="shared" si="5"/>
        <v>4.8513012488753186E-4</v>
      </c>
      <c r="L622" s="2" t="str">
        <f>IF(ISNUMBER(SEARCH("|",IMDB_Movies!$D622)),LEFT(IMDB_Movies!$D622,SEARCH("|",IMDB_Movies!$D622)-1),IMDB_Movies!$D622)</f>
        <v>Adventure</v>
      </c>
      <c r="V622" s="2"/>
      <c r="W622" s="2"/>
    </row>
    <row r="623" spans="1:23" ht="12.5" x14ac:dyDescent="0.25">
      <c r="A623" s="2" t="s">
        <v>1266</v>
      </c>
      <c r="B623" s="2">
        <v>104</v>
      </c>
      <c r="C623" s="2">
        <v>139225854</v>
      </c>
      <c r="D623" s="2" t="s">
        <v>204</v>
      </c>
      <c r="E623" s="2" t="s">
        <v>1267</v>
      </c>
      <c r="F623" s="2" t="s">
        <v>14</v>
      </c>
      <c r="G623" s="2" t="s">
        <v>15</v>
      </c>
      <c r="H623" s="2">
        <v>60000000</v>
      </c>
      <c r="I623" s="2">
        <v>5.5</v>
      </c>
      <c r="J623" s="2">
        <f t="shared" si="4"/>
        <v>79225854</v>
      </c>
      <c r="K623" s="2">
        <f t="shared" si="5"/>
        <v>3.6040325024006584E-4</v>
      </c>
      <c r="L623" s="2" t="str">
        <f>IF(ISNUMBER(SEARCH("|",IMDB_Movies!$D623)),LEFT(IMDB_Movies!$D623,SEARCH("|",IMDB_Movies!$D623)-1),IMDB_Movies!$D623)</f>
        <v>Comedy</v>
      </c>
      <c r="V623" s="2"/>
      <c r="W623" s="2"/>
    </row>
    <row r="624" spans="1:23" ht="12.5" x14ac:dyDescent="0.25">
      <c r="A624" s="2" t="s">
        <v>1268</v>
      </c>
      <c r="B624" s="2">
        <v>158</v>
      </c>
      <c r="C624" s="2">
        <v>148775460</v>
      </c>
      <c r="D624" s="2" t="s">
        <v>993</v>
      </c>
      <c r="E624" s="2" t="s">
        <v>1269</v>
      </c>
      <c r="F624" s="2" t="s">
        <v>14</v>
      </c>
      <c r="G624" s="2" t="s">
        <v>15</v>
      </c>
      <c r="H624" s="2">
        <v>61000000</v>
      </c>
      <c r="I624" s="2">
        <v>7.6</v>
      </c>
      <c r="J624" s="2">
        <f t="shared" si="4"/>
        <v>87775460</v>
      </c>
      <c r="K624" s="2">
        <f t="shared" si="5"/>
        <v>2.7126125156345606E-4</v>
      </c>
      <c r="L624" s="2" t="str">
        <f>IF(ISNUMBER(SEARCH("|",IMDB_Movies!$D624)),LEFT(IMDB_Movies!$D624,SEARCH("|",IMDB_Movies!$D624)-1),IMDB_Movies!$D624)</f>
        <v>Drama</v>
      </c>
      <c r="V624" s="2"/>
      <c r="W624" s="2"/>
    </row>
    <row r="625" spans="1:23" ht="12.5" x14ac:dyDescent="0.25">
      <c r="A625" s="2" t="s">
        <v>1270</v>
      </c>
      <c r="B625" s="2">
        <v>119</v>
      </c>
      <c r="C625" s="2">
        <v>115731542</v>
      </c>
      <c r="D625" s="2" t="s">
        <v>514</v>
      </c>
      <c r="E625" s="2" t="s">
        <v>1271</v>
      </c>
      <c r="F625" s="2" t="s">
        <v>14</v>
      </c>
      <c r="G625" s="2" t="s">
        <v>15</v>
      </c>
      <c r="H625" s="2">
        <v>65000000</v>
      </c>
      <c r="I625" s="2">
        <v>6.5</v>
      </c>
      <c r="J625" s="2">
        <f t="shared" si="4"/>
        <v>50731542</v>
      </c>
      <c r="K625" s="2">
        <f t="shared" si="5"/>
        <v>1.7035441737654077E-4</v>
      </c>
      <c r="L625" s="2" t="str">
        <f>IF(ISNUMBER(SEARCH("|",IMDB_Movies!$D625)),LEFT(IMDB_Movies!$D625,SEARCH("|",IMDB_Movies!$D625)-1),IMDB_Movies!$D625)</f>
        <v>Comedy</v>
      </c>
      <c r="V625" s="2"/>
      <c r="W625" s="2"/>
    </row>
    <row r="626" spans="1:23" ht="12.5" x14ac:dyDescent="0.25">
      <c r="A626" s="2" t="s">
        <v>622</v>
      </c>
      <c r="B626" s="2">
        <v>106</v>
      </c>
      <c r="C626" s="2">
        <v>100468793</v>
      </c>
      <c r="D626" s="2" t="s">
        <v>709</v>
      </c>
      <c r="E626" s="2" t="s">
        <v>1272</v>
      </c>
      <c r="F626" s="2" t="s">
        <v>14</v>
      </c>
      <c r="G626" s="2" t="s">
        <v>15</v>
      </c>
      <c r="H626" s="2">
        <v>65000000</v>
      </c>
      <c r="I626" s="2">
        <v>6.9</v>
      </c>
      <c r="J626" s="2">
        <f t="shared" si="4"/>
        <v>35468793</v>
      </c>
      <c r="K626" s="2">
        <f t="shared" si="5"/>
        <v>8.85384721615956E-5</v>
      </c>
      <c r="L626" s="2" t="str">
        <f>IF(ISNUMBER(SEARCH("|",IMDB_Movies!$D626)),LEFT(IMDB_Movies!$D626,SEARCH("|",IMDB_Movies!$D626)-1),IMDB_Movies!$D626)</f>
        <v>Comedy</v>
      </c>
      <c r="V626" s="2"/>
      <c r="W626" s="2"/>
    </row>
    <row r="627" spans="1:23" ht="12.5" x14ac:dyDescent="0.25">
      <c r="A627" s="2" t="s">
        <v>118</v>
      </c>
      <c r="B627" s="2">
        <v>136</v>
      </c>
      <c r="C627" s="2">
        <v>93771072</v>
      </c>
      <c r="D627" s="2" t="s">
        <v>1273</v>
      </c>
      <c r="E627" s="2" t="s">
        <v>1274</v>
      </c>
      <c r="F627" s="2" t="s">
        <v>14</v>
      </c>
      <c r="G627" s="2" t="s">
        <v>15</v>
      </c>
      <c r="H627" s="2">
        <v>65000000</v>
      </c>
      <c r="I627" s="2">
        <v>6.7</v>
      </c>
      <c r="J627" s="2">
        <f t="shared" si="4"/>
        <v>28771072</v>
      </c>
      <c r="K627" s="2">
        <f t="shared" si="5"/>
        <v>2.1901087434054899E-5</v>
      </c>
      <c r="L627" s="2" t="str">
        <f>IF(ISNUMBER(SEARCH("|",IMDB_Movies!$D627)),LEFT(IMDB_Movies!$D627,SEARCH("|",IMDB_Movies!$D627)-1),IMDB_Movies!$D627)</f>
        <v>Action</v>
      </c>
      <c r="V627" s="2"/>
      <c r="W627" s="2"/>
    </row>
    <row r="628" spans="1:23" ht="12.5" x14ac:dyDescent="0.25">
      <c r="A628" s="2" t="s">
        <v>897</v>
      </c>
      <c r="B628" s="2">
        <v>95</v>
      </c>
      <c r="C628" s="2">
        <v>100448498</v>
      </c>
      <c r="D628" s="2" t="s">
        <v>891</v>
      </c>
      <c r="E628" s="2" t="s">
        <v>1275</v>
      </c>
      <c r="F628" s="2" t="s">
        <v>14</v>
      </c>
      <c r="G628" s="2" t="s">
        <v>15</v>
      </c>
      <c r="H628" s="2">
        <v>65000000</v>
      </c>
      <c r="I628" s="2">
        <v>6.6</v>
      </c>
      <c r="J628" s="2">
        <f t="shared" si="4"/>
        <v>35448498</v>
      </c>
      <c r="K628" s="2">
        <f t="shared" si="5"/>
        <v>-3.8096472939535119E-5</v>
      </c>
      <c r="L628" s="2" t="str">
        <f>IF(ISNUMBER(SEARCH("|",IMDB_Movies!$D628)),LEFT(IMDB_Movies!$D628,SEARCH("|",IMDB_Movies!$D628)-1),IMDB_Movies!$D628)</f>
        <v>Comedy</v>
      </c>
      <c r="V628" s="2"/>
      <c r="W628" s="2"/>
    </row>
    <row r="629" spans="1:23" ht="12.5" x14ac:dyDescent="0.25">
      <c r="A629" s="2" t="s">
        <v>1276</v>
      </c>
      <c r="B629" s="2">
        <v>137</v>
      </c>
      <c r="C629" s="2">
        <v>115603980</v>
      </c>
      <c r="D629" s="2" t="s">
        <v>1277</v>
      </c>
      <c r="E629" s="2" t="s">
        <v>1278</v>
      </c>
      <c r="F629" s="2" t="s">
        <v>14</v>
      </c>
      <c r="G629" s="2" t="s">
        <v>15</v>
      </c>
      <c r="H629" s="2">
        <v>65000000</v>
      </c>
      <c r="I629" s="2">
        <v>7.2</v>
      </c>
      <c r="J629" s="2">
        <f t="shared" si="4"/>
        <v>50603980</v>
      </c>
      <c r="K629" s="2">
        <f t="shared" si="5"/>
        <v>-1.048882369224337E-4</v>
      </c>
      <c r="L629" s="2" t="str">
        <f>IF(ISNUMBER(SEARCH("|",IMDB_Movies!$D629)),LEFT(IMDB_Movies!$D629,SEARCH("|",IMDB_Movies!$D629)-1),IMDB_Movies!$D629)</f>
        <v>Biography</v>
      </c>
      <c r="V629" s="2"/>
      <c r="W629" s="2"/>
    </row>
    <row r="630" spans="1:23" ht="12.5" x14ac:dyDescent="0.25">
      <c r="A630" s="2" t="s">
        <v>1279</v>
      </c>
      <c r="B630" s="2">
        <v>130</v>
      </c>
      <c r="C630" s="2">
        <v>90454043</v>
      </c>
      <c r="D630" s="2" t="s">
        <v>20</v>
      </c>
      <c r="E630" s="2" t="s">
        <v>1280</v>
      </c>
      <c r="F630" s="2" t="s">
        <v>14</v>
      </c>
      <c r="G630" s="2" t="s">
        <v>15</v>
      </c>
      <c r="H630" s="2">
        <v>65000000</v>
      </c>
      <c r="I630" s="2">
        <v>6.4</v>
      </c>
      <c r="J630" s="2">
        <f t="shared" si="4"/>
        <v>25454043</v>
      </c>
      <c r="K630" s="2">
        <f t="shared" si="5"/>
        <v>-1.8705415858972897E-4</v>
      </c>
      <c r="L630" s="2" t="str">
        <f>IF(ISNUMBER(SEARCH("|",IMDB_Movies!$D630)),LEFT(IMDB_Movies!$D630,SEARCH("|",IMDB_Movies!$D630)-1),IMDB_Movies!$D630)</f>
        <v>Action</v>
      </c>
      <c r="V630" s="2"/>
      <c r="W630" s="2"/>
    </row>
    <row r="631" spans="1:23" ht="12.5" x14ac:dyDescent="0.25">
      <c r="A631" s="2" t="s">
        <v>744</v>
      </c>
      <c r="B631" s="2">
        <v>124</v>
      </c>
      <c r="C631" s="2">
        <v>84049211</v>
      </c>
      <c r="D631" s="2" t="s">
        <v>20</v>
      </c>
      <c r="E631" s="2" t="s">
        <v>1281</v>
      </c>
      <c r="F631" s="2" t="s">
        <v>14</v>
      </c>
      <c r="G631" s="2" t="s">
        <v>15</v>
      </c>
      <c r="H631" s="2">
        <v>70000000</v>
      </c>
      <c r="I631" s="2">
        <v>6.4</v>
      </c>
      <c r="J631" s="2">
        <f t="shared" si="4"/>
        <v>14049211</v>
      </c>
      <c r="K631" s="2">
        <f t="shared" si="5"/>
        <v>-2.439655062817665E-4</v>
      </c>
      <c r="L631" s="2" t="str">
        <f>IF(ISNUMBER(SEARCH("|",IMDB_Movies!$D631)),LEFT(IMDB_Movies!$D631,SEARCH("|",IMDB_Movies!$D631)-1),IMDB_Movies!$D631)</f>
        <v>Action</v>
      </c>
      <c r="V631" s="2"/>
      <c r="W631" s="2"/>
    </row>
    <row r="632" spans="1:23" ht="12.5" x14ac:dyDescent="0.25">
      <c r="A632" s="2" t="s">
        <v>487</v>
      </c>
      <c r="B632" s="2">
        <v>108</v>
      </c>
      <c r="C632" s="2">
        <v>70450000</v>
      </c>
      <c r="D632" s="2" t="s">
        <v>125</v>
      </c>
      <c r="E632" s="2" t="s">
        <v>1282</v>
      </c>
      <c r="F632" s="2" t="s">
        <v>14</v>
      </c>
      <c r="G632" s="2" t="s">
        <v>15</v>
      </c>
      <c r="H632" s="2">
        <v>50000000</v>
      </c>
      <c r="I632" s="2">
        <v>6</v>
      </c>
      <c r="J632" s="2">
        <f t="shared" si="4"/>
        <v>20450000</v>
      </c>
      <c r="K632" s="2">
        <f t="shared" si="5"/>
        <v>-3.0199096132356939E-4</v>
      </c>
      <c r="L632" s="2" t="str">
        <f>IF(ISNUMBER(SEARCH("|",IMDB_Movies!$D632)),LEFT(IMDB_Movies!$D632,SEARCH("|",IMDB_Movies!$D632)-1),IMDB_Movies!$D632)</f>
        <v>Action</v>
      </c>
      <c r="V632" s="2"/>
      <c r="W632" s="2"/>
    </row>
    <row r="633" spans="1:23" ht="12.5" x14ac:dyDescent="0.25">
      <c r="A633" s="2" t="s">
        <v>264</v>
      </c>
      <c r="B633" s="2">
        <v>104</v>
      </c>
      <c r="C633" s="2">
        <v>69688384</v>
      </c>
      <c r="D633" s="2" t="s">
        <v>204</v>
      </c>
      <c r="E633" s="2" t="s">
        <v>1283</v>
      </c>
      <c r="F633" s="2" t="s">
        <v>14</v>
      </c>
      <c r="G633" s="2" t="s">
        <v>15</v>
      </c>
      <c r="H633" s="2">
        <v>60000000</v>
      </c>
      <c r="I633" s="2">
        <v>6.1</v>
      </c>
      <c r="J633" s="2">
        <f t="shared" si="4"/>
        <v>9688384</v>
      </c>
      <c r="K633" s="2">
        <f t="shared" si="5"/>
        <v>-3.2238203966287283E-4</v>
      </c>
      <c r="L633" s="2" t="str">
        <f>IF(ISNUMBER(SEARCH("|",IMDB_Movies!$D633)),LEFT(IMDB_Movies!$D633,SEARCH("|",IMDB_Movies!$D633)-1),IMDB_Movies!$D633)</f>
        <v>Comedy</v>
      </c>
      <c r="V633" s="2"/>
      <c r="W633" s="2"/>
    </row>
    <row r="634" spans="1:23" ht="12.5" x14ac:dyDescent="0.25">
      <c r="A634" s="2" t="s">
        <v>284</v>
      </c>
      <c r="B634" s="2">
        <v>129</v>
      </c>
      <c r="C634" s="2">
        <v>70236496</v>
      </c>
      <c r="D634" s="2" t="s">
        <v>983</v>
      </c>
      <c r="E634" s="2" t="s">
        <v>1284</v>
      </c>
      <c r="F634" s="2" t="s">
        <v>14</v>
      </c>
      <c r="G634" s="2" t="s">
        <v>15</v>
      </c>
      <c r="H634" s="2">
        <v>63000000</v>
      </c>
      <c r="I634" s="2">
        <v>6</v>
      </c>
      <c r="J634" s="2">
        <f t="shared" si="4"/>
        <v>7236496</v>
      </c>
      <c r="K634" s="2">
        <f t="shared" si="5"/>
        <v>-3.5309736327118551E-4</v>
      </c>
      <c r="L634" s="2" t="str">
        <f>IF(ISNUMBER(SEARCH("|",IMDB_Movies!$D634)),LEFT(IMDB_Movies!$D634,SEARCH("|",IMDB_Movies!$D634)-1),IMDB_Movies!$D634)</f>
        <v>Drama</v>
      </c>
      <c r="V634" s="2"/>
      <c r="W634" s="2"/>
    </row>
    <row r="635" spans="1:23" ht="12.5" x14ac:dyDescent="0.25">
      <c r="A635" s="2" t="s">
        <v>136</v>
      </c>
      <c r="B635" s="2">
        <v>117</v>
      </c>
      <c r="C635" s="2">
        <v>63695760</v>
      </c>
      <c r="D635" s="2" t="s">
        <v>1180</v>
      </c>
      <c r="E635" s="2" t="s">
        <v>1285</v>
      </c>
      <c r="F635" s="2" t="s">
        <v>14</v>
      </c>
      <c r="G635" s="2" t="s">
        <v>15</v>
      </c>
      <c r="H635" s="2">
        <v>65000000</v>
      </c>
      <c r="I635" s="2">
        <v>6.4</v>
      </c>
      <c r="J635" s="2">
        <f t="shared" si="4"/>
        <v>-1304240</v>
      </c>
      <c r="K635" s="2">
        <f t="shared" si="5"/>
        <v>-3.8758145548954307E-4</v>
      </c>
      <c r="L635" s="2" t="str">
        <f>IF(ISNUMBER(SEARCH("|",IMDB_Movies!$D635)),LEFT(IMDB_Movies!$D635,SEARCH("|",IMDB_Movies!$D635)-1),IMDB_Movies!$D635)</f>
        <v>Drama</v>
      </c>
      <c r="V635" s="2"/>
      <c r="W635" s="2"/>
    </row>
    <row r="636" spans="1:23" ht="12.5" x14ac:dyDescent="0.25">
      <c r="A636" s="2" t="s">
        <v>1286</v>
      </c>
      <c r="B636" s="2">
        <v>99</v>
      </c>
      <c r="C636" s="2">
        <v>59617068</v>
      </c>
      <c r="D636" s="2" t="s">
        <v>600</v>
      </c>
      <c r="E636" s="2" t="s">
        <v>1287</v>
      </c>
      <c r="F636" s="2" t="s">
        <v>14</v>
      </c>
      <c r="G636" s="2" t="s">
        <v>15</v>
      </c>
      <c r="H636" s="2">
        <v>65000000</v>
      </c>
      <c r="I636" s="2">
        <v>6.4</v>
      </c>
      <c r="J636" s="2">
        <f t="shared" si="4"/>
        <v>-5382932</v>
      </c>
      <c r="K636" s="2">
        <f t="shared" si="5"/>
        <v>-4.1766261381527727E-4</v>
      </c>
      <c r="L636" s="2" t="str">
        <f>IF(ISNUMBER(SEARCH("|",IMDB_Movies!$D636)),LEFT(IMDB_Movies!$D636,SEARCH("|",IMDB_Movies!$D636)-1),IMDB_Movies!$D636)</f>
        <v>Comedy</v>
      </c>
      <c r="V636" s="2"/>
      <c r="W636" s="2"/>
    </row>
    <row r="637" spans="1:23" ht="12.5" x14ac:dyDescent="0.25">
      <c r="A637" s="2" t="s">
        <v>1288</v>
      </c>
      <c r="B637" s="2">
        <v>159</v>
      </c>
      <c r="C637" s="2">
        <v>55637680</v>
      </c>
      <c r="D637" s="2" t="s">
        <v>690</v>
      </c>
      <c r="E637" s="2" t="s">
        <v>1289</v>
      </c>
      <c r="F637" s="2" t="s">
        <v>14</v>
      </c>
      <c r="G637" s="2" t="s">
        <v>22</v>
      </c>
      <c r="H637" s="2">
        <v>65000000</v>
      </c>
      <c r="I637" s="2">
        <v>7.3</v>
      </c>
      <c r="J637" s="2">
        <f t="shared" si="4"/>
        <v>-9362320</v>
      </c>
      <c r="K637" s="2">
        <f t="shared" si="5"/>
        <v>-4.4364263595510607E-4</v>
      </c>
      <c r="L637" s="2" t="str">
        <f>IF(ISNUMBER(SEARCH("|",IMDB_Movies!$D637)),LEFT(IMDB_Movies!$D637,SEARCH("|",IMDB_Movies!$D637)-1),IMDB_Movies!$D637)</f>
        <v>Drama</v>
      </c>
      <c r="V637" s="2"/>
      <c r="W637" s="2"/>
    </row>
    <row r="638" spans="1:23" ht="12.5" x14ac:dyDescent="0.25">
      <c r="A638" s="2" t="s">
        <v>1290</v>
      </c>
      <c r="B638" s="2">
        <v>118</v>
      </c>
      <c r="C638" s="2">
        <v>85911262</v>
      </c>
      <c r="D638" s="2" t="s">
        <v>1291</v>
      </c>
      <c r="E638" s="2" t="s">
        <v>1292</v>
      </c>
      <c r="F638" s="2" t="s">
        <v>14</v>
      </c>
      <c r="G638" s="2" t="s">
        <v>15</v>
      </c>
      <c r="H638" s="2">
        <v>65000000</v>
      </c>
      <c r="I638" s="2">
        <v>5.2</v>
      </c>
      <c r="J638" s="2">
        <f t="shared" si="4"/>
        <v>20911262</v>
      </c>
      <c r="K638" s="2">
        <f t="shared" si="5"/>
        <v>-4.6561713515043044E-4</v>
      </c>
      <c r="L638" s="2" t="str">
        <f>IF(ISNUMBER(SEARCH("|",IMDB_Movies!$D638)),LEFT(IMDB_Movies!$D638,SEARCH("|",IMDB_Movies!$D638)-1),IMDB_Movies!$D638)</f>
        <v>Comedy</v>
      </c>
      <c r="V638" s="2"/>
      <c r="W638" s="2"/>
    </row>
    <row r="639" spans="1:23" ht="12.5" x14ac:dyDescent="0.25">
      <c r="A639" s="2" t="s">
        <v>1293</v>
      </c>
      <c r="B639" s="2">
        <v>105</v>
      </c>
      <c r="C639" s="2">
        <v>53846915</v>
      </c>
      <c r="D639" s="2" t="s">
        <v>1082</v>
      </c>
      <c r="E639" s="2" t="s">
        <v>1294</v>
      </c>
      <c r="F639" s="2" t="s">
        <v>14</v>
      </c>
      <c r="G639" s="2" t="s">
        <v>15</v>
      </c>
      <c r="H639" s="2">
        <v>50100000</v>
      </c>
      <c r="I639" s="2">
        <v>6.6</v>
      </c>
      <c r="J639" s="2">
        <f t="shared" si="4"/>
        <v>3746915</v>
      </c>
      <c r="K639" s="2">
        <f t="shared" si="5"/>
        <v>-5.1828040656344944E-4</v>
      </c>
      <c r="L639" s="2" t="str">
        <f>IF(ISNUMBER(SEARCH("|",IMDB_Movies!$D639)),LEFT(IMDB_Movies!$D639,SEARCH("|",IMDB_Movies!$D639)-1),IMDB_Movies!$D639)</f>
        <v>Comedy</v>
      </c>
      <c r="V639" s="2"/>
      <c r="W639" s="2"/>
    </row>
    <row r="640" spans="1:23" ht="12.5" x14ac:dyDescent="0.25">
      <c r="A640" s="2" t="s">
        <v>122</v>
      </c>
      <c r="B640" s="2">
        <v>103</v>
      </c>
      <c r="C640" s="2">
        <v>54758461</v>
      </c>
      <c r="D640" s="2" t="s">
        <v>517</v>
      </c>
      <c r="E640" s="2" t="s">
        <v>1295</v>
      </c>
      <c r="F640" s="2" t="s">
        <v>14</v>
      </c>
      <c r="G640" s="2" t="s">
        <v>15</v>
      </c>
      <c r="H640" s="2">
        <v>65000000</v>
      </c>
      <c r="I640" s="2">
        <v>6.3</v>
      </c>
      <c r="J640" s="2">
        <f t="shared" si="4"/>
        <v>-10241539</v>
      </c>
      <c r="K640" s="2">
        <f t="shared" si="5"/>
        <v>-5.295472263425054E-4</v>
      </c>
      <c r="L640" s="2" t="str">
        <f>IF(ISNUMBER(SEARCH("|",IMDB_Movies!$D640)),LEFT(IMDB_Movies!$D640,SEARCH("|",IMDB_Movies!$D640)-1),IMDB_Movies!$D640)</f>
        <v>Action</v>
      </c>
      <c r="V640" s="2"/>
      <c r="W640" s="2"/>
    </row>
    <row r="641" spans="1:23" ht="12.5" x14ac:dyDescent="0.25">
      <c r="A641" s="2" t="s">
        <v>1296</v>
      </c>
      <c r="B641" s="2">
        <v>122</v>
      </c>
      <c r="C641" s="2">
        <v>52397389</v>
      </c>
      <c r="D641" s="2" t="s">
        <v>1297</v>
      </c>
      <c r="E641" s="2" t="s">
        <v>1298</v>
      </c>
      <c r="F641" s="2" t="s">
        <v>14</v>
      </c>
      <c r="G641" s="2" t="s">
        <v>15</v>
      </c>
      <c r="H641" s="2">
        <v>65000000</v>
      </c>
      <c r="I641" s="2">
        <v>5.9</v>
      </c>
      <c r="J641" s="2">
        <f t="shared" si="4"/>
        <v>-12602611</v>
      </c>
      <c r="K641" s="2">
        <f t="shared" si="5"/>
        <v>-5.5068980910470266E-4</v>
      </c>
      <c r="L641" s="2" t="str">
        <f>IF(ISNUMBER(SEARCH("|",IMDB_Movies!$D641)),LEFT(IMDB_Movies!$D641,SEARCH("|",IMDB_Movies!$D641)-1),IMDB_Movies!$D641)</f>
        <v>Action</v>
      </c>
      <c r="V641" s="2"/>
      <c r="W641" s="2"/>
    </row>
    <row r="642" spans="1:23" ht="12.5" x14ac:dyDescent="0.25">
      <c r="A642" s="2" t="s">
        <v>1061</v>
      </c>
      <c r="B642" s="2">
        <v>143</v>
      </c>
      <c r="C642" s="2">
        <v>38966057</v>
      </c>
      <c r="D642" s="2" t="s">
        <v>891</v>
      </c>
      <c r="E642" s="2" t="s">
        <v>1299</v>
      </c>
      <c r="F642" s="2" t="s">
        <v>14</v>
      </c>
      <c r="G642" s="2" t="s">
        <v>686</v>
      </c>
      <c r="H642" s="2">
        <v>65000000</v>
      </c>
      <c r="I642" s="2">
        <v>6.7</v>
      </c>
      <c r="J642" s="2">
        <f t="shared" si="4"/>
        <v>-26033943</v>
      </c>
      <c r="K642" s="2">
        <f t="shared" si="5"/>
        <v>-5.6945578347016327E-4</v>
      </c>
      <c r="L642" s="2" t="str">
        <f>IF(ISNUMBER(SEARCH("|",IMDB_Movies!$D642)),LEFT(IMDB_Movies!$D642,SEARCH("|",IMDB_Movies!$D642)-1),IMDB_Movies!$D642)</f>
        <v>Comedy</v>
      </c>
      <c r="V642" s="2"/>
      <c r="W642" s="2"/>
    </row>
    <row r="643" spans="1:23" ht="12.5" x14ac:dyDescent="0.25">
      <c r="A643" s="2" t="s">
        <v>831</v>
      </c>
      <c r="B643" s="2">
        <v>96</v>
      </c>
      <c r="C643" s="2">
        <v>42345531</v>
      </c>
      <c r="D643" s="2" t="s">
        <v>790</v>
      </c>
      <c r="E643" s="2" t="s">
        <v>1300</v>
      </c>
      <c r="F643" s="2" t="s">
        <v>14</v>
      </c>
      <c r="G643" s="2" t="s">
        <v>287</v>
      </c>
      <c r="H643" s="2">
        <v>65000000</v>
      </c>
      <c r="I643" s="2">
        <v>5.4</v>
      </c>
      <c r="J643" s="2">
        <f t="shared" si="4"/>
        <v>-22654469</v>
      </c>
      <c r="K643" s="2">
        <f t="shared" si="5"/>
        <v>-5.7463451670882609E-4</v>
      </c>
      <c r="L643" s="2" t="str">
        <f>IF(ISNUMBER(SEARCH("|",IMDB_Movies!$D643)),LEFT(IMDB_Movies!$D643,SEARCH("|",IMDB_Movies!$D643)-1),IMDB_Movies!$D643)</f>
        <v>Action</v>
      </c>
      <c r="V643" s="2"/>
      <c r="W643" s="2"/>
    </row>
    <row r="644" spans="1:23" ht="12.5" x14ac:dyDescent="0.25">
      <c r="A644" s="2" t="s">
        <v>831</v>
      </c>
      <c r="B644" s="2">
        <v>111</v>
      </c>
      <c r="C644" s="2">
        <v>36064910</v>
      </c>
      <c r="D644" s="2" t="s">
        <v>981</v>
      </c>
      <c r="E644" s="2" t="s">
        <v>1301</v>
      </c>
      <c r="F644" s="2" t="s">
        <v>14</v>
      </c>
      <c r="G644" s="2" t="s">
        <v>15</v>
      </c>
      <c r="H644" s="2">
        <v>45000000</v>
      </c>
      <c r="I644" s="2">
        <v>6.4</v>
      </c>
      <c r="J644" s="2">
        <f t="shared" si="4"/>
        <v>-8935090</v>
      </c>
      <c r="K644" s="2">
        <f t="shared" si="5"/>
        <v>-5.8323800632429452E-4</v>
      </c>
      <c r="L644" s="2" t="str">
        <f>IF(ISNUMBER(SEARCH("|",IMDB_Movies!$D644)),LEFT(IMDB_Movies!$D644,SEARCH("|",IMDB_Movies!$D644)-1),IMDB_Movies!$D644)</f>
        <v>Action</v>
      </c>
      <c r="V644" s="2"/>
      <c r="W644" s="2"/>
    </row>
    <row r="645" spans="1:23" ht="12.5" x14ac:dyDescent="0.25">
      <c r="A645" s="2" t="s">
        <v>744</v>
      </c>
      <c r="B645" s="2">
        <v>121</v>
      </c>
      <c r="C645" s="2">
        <v>33328051</v>
      </c>
      <c r="D645" s="2" t="s">
        <v>845</v>
      </c>
      <c r="E645" s="2" t="s">
        <v>1302</v>
      </c>
      <c r="F645" s="2" t="s">
        <v>14</v>
      </c>
      <c r="G645" s="2" t="s">
        <v>15</v>
      </c>
      <c r="H645" s="2">
        <v>65000000</v>
      </c>
      <c r="I645" s="2">
        <v>6.7</v>
      </c>
      <c r="J645" s="2">
        <f t="shared" si="4"/>
        <v>-31671949</v>
      </c>
      <c r="K645" s="2">
        <f t="shared" si="5"/>
        <v>-5.8415198209833407E-4</v>
      </c>
      <c r="L645" s="2" t="str">
        <f>IF(ISNUMBER(SEARCH("|",IMDB_Movies!$D645)),LEFT(IMDB_Movies!$D645,SEARCH("|",IMDB_Movies!$D645)-1),IMDB_Movies!$D645)</f>
        <v>Action</v>
      </c>
      <c r="V645" s="2"/>
      <c r="W645" s="2"/>
    </row>
    <row r="646" spans="1:23" ht="12.5" x14ac:dyDescent="0.25">
      <c r="A646" s="2" t="s">
        <v>1303</v>
      </c>
      <c r="B646" s="2">
        <v>135</v>
      </c>
      <c r="C646" s="2">
        <v>32598931</v>
      </c>
      <c r="D646" s="2" t="s">
        <v>342</v>
      </c>
      <c r="E646" s="2" t="s">
        <v>1304</v>
      </c>
      <c r="F646" s="2" t="s">
        <v>14</v>
      </c>
      <c r="G646" s="2" t="s">
        <v>15</v>
      </c>
      <c r="H646" s="2">
        <v>65000000</v>
      </c>
      <c r="I646" s="2">
        <v>6.2</v>
      </c>
      <c r="J646" s="2">
        <f t="shared" si="4"/>
        <v>-32401069</v>
      </c>
      <c r="K646" s="2">
        <f t="shared" si="5"/>
        <v>-5.8363186400096445E-4</v>
      </c>
      <c r="L646" s="2" t="str">
        <f>IF(ISNUMBER(SEARCH("|",IMDB_Movies!$D646)),LEFT(IMDB_Movies!$D646,SEARCH("|",IMDB_Movies!$D646)-1),IMDB_Movies!$D646)</f>
        <v>Action</v>
      </c>
      <c r="V646" s="2"/>
      <c r="W646" s="2"/>
    </row>
    <row r="647" spans="1:23" ht="12.5" x14ac:dyDescent="0.25">
      <c r="A647" s="2" t="s">
        <v>188</v>
      </c>
      <c r="B647" s="2">
        <v>101</v>
      </c>
      <c r="C647" s="2">
        <v>28045540</v>
      </c>
      <c r="D647" s="2" t="s">
        <v>68</v>
      </c>
      <c r="E647" s="2" t="s">
        <v>1305</v>
      </c>
      <c r="F647" s="2" t="s">
        <v>14</v>
      </c>
      <c r="G647" s="2" t="s">
        <v>15</v>
      </c>
      <c r="H647" s="2">
        <v>65000000</v>
      </c>
      <c r="I647" s="2">
        <v>6.1</v>
      </c>
      <c r="J647" s="2">
        <f t="shared" si="4"/>
        <v>-36954460</v>
      </c>
      <c r="K647" s="2">
        <f t="shared" si="5"/>
        <v>-5.8237322306974569E-4</v>
      </c>
      <c r="L647" s="2" t="str">
        <f>IF(ISNUMBER(SEARCH("|",IMDB_Movies!$D647)),LEFT(IMDB_Movies!$D647,SEARCH("|",IMDB_Movies!$D647)-1),IMDB_Movies!$D647)</f>
        <v>Action</v>
      </c>
      <c r="V647" s="2"/>
      <c r="W647" s="2"/>
    </row>
    <row r="648" spans="1:23" ht="12.5" x14ac:dyDescent="0.25">
      <c r="A648" s="2" t="s">
        <v>255</v>
      </c>
      <c r="B648" s="2">
        <v>151</v>
      </c>
      <c r="C648" s="2">
        <v>37023395</v>
      </c>
      <c r="D648" s="2" t="s">
        <v>1180</v>
      </c>
      <c r="E648" s="2" t="s">
        <v>1306</v>
      </c>
      <c r="F648" s="2" t="s">
        <v>14</v>
      </c>
      <c r="G648" s="2" t="s">
        <v>15</v>
      </c>
      <c r="H648" s="2">
        <v>63000000</v>
      </c>
      <c r="I648" s="2">
        <v>8.8000000000000007</v>
      </c>
      <c r="J648" s="2">
        <f t="shared" si="4"/>
        <v>-25976605</v>
      </c>
      <c r="K648" s="2">
        <f t="shared" si="5"/>
        <v>-5.7650343173613948E-4</v>
      </c>
      <c r="L648" s="2" t="str">
        <f>IF(ISNUMBER(SEARCH("|",IMDB_Movies!$D648)),LEFT(IMDB_Movies!$D648,SEARCH("|",IMDB_Movies!$D648)-1),IMDB_Movies!$D648)</f>
        <v>Drama</v>
      </c>
      <c r="V648" s="2"/>
      <c r="W648" s="2"/>
    </row>
    <row r="649" spans="1:23" ht="12.5" x14ac:dyDescent="0.25">
      <c r="A649" s="2" t="s">
        <v>122</v>
      </c>
      <c r="B649" s="2">
        <v>131</v>
      </c>
      <c r="C649" s="2">
        <v>43532294</v>
      </c>
      <c r="D649" s="2" t="s">
        <v>1307</v>
      </c>
      <c r="E649" s="2" t="s">
        <v>1308</v>
      </c>
      <c r="F649" s="2" t="s">
        <v>14</v>
      </c>
      <c r="G649" s="2" t="s">
        <v>15</v>
      </c>
      <c r="H649" s="2">
        <v>65000000</v>
      </c>
      <c r="I649" s="2">
        <v>7.1</v>
      </c>
      <c r="J649" s="2">
        <f t="shared" si="4"/>
        <v>-21467706</v>
      </c>
      <c r="K649" s="2">
        <f t="shared" si="5"/>
        <v>-5.7953380427109484E-4</v>
      </c>
      <c r="L649" s="2" t="str">
        <f>IF(ISNUMBER(SEARCH("|",IMDB_Movies!$D649)),LEFT(IMDB_Movies!$D649,SEARCH("|",IMDB_Movies!$D649)-1),IMDB_Movies!$D649)</f>
        <v>Drama</v>
      </c>
      <c r="V649" s="2"/>
      <c r="W649" s="2"/>
    </row>
    <row r="650" spans="1:23" ht="12.5" x14ac:dyDescent="0.25">
      <c r="A650" s="2" t="s">
        <v>1309</v>
      </c>
      <c r="B650" s="2">
        <v>100</v>
      </c>
      <c r="C650" s="2">
        <v>17218080</v>
      </c>
      <c r="D650" s="2" t="s">
        <v>582</v>
      </c>
      <c r="E650" s="2" t="s">
        <v>1310</v>
      </c>
      <c r="F650" s="2" t="s">
        <v>14</v>
      </c>
      <c r="G650" s="2" t="s">
        <v>15</v>
      </c>
      <c r="H650" s="2">
        <v>70000000</v>
      </c>
      <c r="I650" s="2">
        <v>5.7</v>
      </c>
      <c r="J650" s="2">
        <f t="shared" si="4"/>
        <v>-52781920</v>
      </c>
      <c r="K650" s="2">
        <f t="shared" si="5"/>
        <v>-5.8935810937913173E-4</v>
      </c>
      <c r="L650" s="2" t="str">
        <f>IF(ISNUMBER(SEARCH("|",IMDB_Movies!$D650)),LEFT(IMDB_Movies!$D650,SEARCH("|",IMDB_Movies!$D650)-1),IMDB_Movies!$D650)</f>
        <v>Action</v>
      </c>
      <c r="V650" s="2"/>
      <c r="W650" s="2"/>
    </row>
    <row r="651" spans="1:23" ht="12.5" x14ac:dyDescent="0.25">
      <c r="A651" s="2" t="s">
        <v>1270</v>
      </c>
      <c r="B651" s="2">
        <v>105</v>
      </c>
      <c r="C651" s="2">
        <v>10014234</v>
      </c>
      <c r="D651" s="2" t="s">
        <v>375</v>
      </c>
      <c r="E651" s="2" t="s">
        <v>1311</v>
      </c>
      <c r="F651" s="2" t="s">
        <v>14</v>
      </c>
      <c r="G651" s="2" t="s">
        <v>686</v>
      </c>
      <c r="H651" s="2">
        <v>65000000</v>
      </c>
      <c r="I651" s="2">
        <v>5</v>
      </c>
      <c r="J651" s="2">
        <f t="shared" si="4"/>
        <v>-54985766</v>
      </c>
      <c r="K651" s="2">
        <f t="shared" si="5"/>
        <v>-5.700235317600221E-4</v>
      </c>
      <c r="L651" s="2" t="str">
        <f>IF(ISNUMBER(SEARCH("|",IMDB_Movies!$D651)),LEFT(IMDB_Movies!$D651,SEARCH("|",IMDB_Movies!$D651)-1),IMDB_Movies!$D651)</f>
        <v>Comedy</v>
      </c>
      <c r="V651" s="2"/>
      <c r="W651" s="2"/>
    </row>
    <row r="652" spans="1:23" ht="12.5" x14ac:dyDescent="0.25">
      <c r="A652" s="2" t="s">
        <v>1312</v>
      </c>
      <c r="B652" s="2">
        <v>92</v>
      </c>
      <c r="C652" s="2">
        <v>19059018</v>
      </c>
      <c r="D652" s="2" t="s">
        <v>1313</v>
      </c>
      <c r="E652" s="2" t="s">
        <v>1314</v>
      </c>
      <c r="F652" s="2" t="s">
        <v>14</v>
      </c>
      <c r="G652" s="2" t="s">
        <v>135</v>
      </c>
      <c r="H652" s="2">
        <v>65000000</v>
      </c>
      <c r="I652" s="2">
        <v>5.0999999999999996</v>
      </c>
      <c r="J652" s="2">
        <f t="shared" si="4"/>
        <v>-45940982</v>
      </c>
      <c r="K652" s="2">
        <f t="shared" si="5"/>
        <v>-5.4587952912459221E-4</v>
      </c>
      <c r="L652" s="2" t="str">
        <f>IF(ISNUMBER(SEARCH("|",IMDB_Movies!$D652)),LEFT(IMDB_Movies!$D652,SEARCH("|",IMDB_Movies!$D652)-1),IMDB_Movies!$D652)</f>
        <v>Action</v>
      </c>
      <c r="V652" s="2"/>
      <c r="W652" s="2"/>
    </row>
    <row r="653" spans="1:23" ht="12.5" x14ac:dyDescent="0.25">
      <c r="A653" s="2" t="s">
        <v>1315</v>
      </c>
      <c r="B653" s="2">
        <v>130</v>
      </c>
      <c r="C653" s="2">
        <v>1987287</v>
      </c>
      <c r="D653" s="2" t="s">
        <v>694</v>
      </c>
      <c r="E653" s="2" t="s">
        <v>1316</v>
      </c>
      <c r="F653" s="2" t="s">
        <v>14</v>
      </c>
      <c r="G653" s="2" t="s">
        <v>22</v>
      </c>
      <c r="H653" s="2">
        <v>50000000</v>
      </c>
      <c r="I653" s="2">
        <v>6.9</v>
      </c>
      <c r="J653" s="2">
        <f t="shared" si="4"/>
        <v>-48012713</v>
      </c>
      <c r="K653" s="2">
        <f t="shared" si="5"/>
        <v>-5.3087921974777721E-4</v>
      </c>
      <c r="L653" s="2" t="str">
        <f>IF(ISNUMBER(SEARCH("|",IMDB_Movies!$D653)),LEFT(IMDB_Movies!$D653,SEARCH("|",IMDB_Movies!$D653)-1),IMDB_Movies!$D653)</f>
        <v>Crime</v>
      </c>
      <c r="V653" s="2"/>
      <c r="W653" s="2"/>
    </row>
    <row r="654" spans="1:23" ht="12.5" x14ac:dyDescent="0.25">
      <c r="A654" s="2" t="s">
        <v>1248</v>
      </c>
      <c r="B654" s="2">
        <v>100</v>
      </c>
      <c r="C654" s="2">
        <v>24407944</v>
      </c>
      <c r="D654" s="2" t="s">
        <v>1043</v>
      </c>
      <c r="E654" s="2" t="s">
        <v>1317</v>
      </c>
      <c r="F654" s="2" t="s">
        <v>14</v>
      </c>
      <c r="G654" s="2" t="s">
        <v>104</v>
      </c>
      <c r="H654" s="2">
        <v>43000000</v>
      </c>
      <c r="I654" s="2">
        <v>4.8</v>
      </c>
      <c r="J654" s="2">
        <f t="shared" si="4"/>
        <v>-18592056</v>
      </c>
      <c r="K654" s="2">
        <f t="shared" si="5"/>
        <v>-5.1293654393115031E-4</v>
      </c>
      <c r="L654" s="2" t="str">
        <f>IF(ISNUMBER(SEARCH("|",IMDB_Movies!$D654)),LEFT(IMDB_Movies!$D654,SEARCH("|",IMDB_Movies!$D654)-1),IMDB_Movies!$D654)</f>
        <v>Action</v>
      </c>
      <c r="V654" s="2"/>
      <c r="W654" s="2"/>
    </row>
    <row r="655" spans="1:23" ht="12.5" x14ac:dyDescent="0.25">
      <c r="A655" s="2" t="s">
        <v>1318</v>
      </c>
      <c r="B655" s="2">
        <v>102</v>
      </c>
      <c r="C655" s="2">
        <v>13750556</v>
      </c>
      <c r="D655" s="2" t="s">
        <v>125</v>
      </c>
      <c r="E655" s="2" t="s">
        <v>1319</v>
      </c>
      <c r="F655" s="2" t="s">
        <v>14</v>
      </c>
      <c r="G655" s="2" t="s">
        <v>15</v>
      </c>
      <c r="H655" s="2">
        <v>65000000</v>
      </c>
      <c r="I655" s="2">
        <v>6.5</v>
      </c>
      <c r="J655" s="2">
        <f t="shared" si="4"/>
        <v>-51249444</v>
      </c>
      <c r="K655" s="2">
        <f t="shared" si="5"/>
        <v>-5.0958837729165067E-4</v>
      </c>
      <c r="L655" s="2" t="str">
        <f>IF(ISNUMBER(SEARCH("|",IMDB_Movies!$D655)),LEFT(IMDB_Movies!$D655,SEARCH("|",IMDB_Movies!$D655)-1),IMDB_Movies!$D655)</f>
        <v>Action</v>
      </c>
      <c r="V655" s="2"/>
      <c r="W655" s="2"/>
    </row>
    <row r="656" spans="1:23" ht="12.5" x14ac:dyDescent="0.25">
      <c r="A656" s="2" t="s">
        <v>792</v>
      </c>
      <c r="B656" s="2">
        <v>133</v>
      </c>
      <c r="C656" s="2">
        <v>31054924</v>
      </c>
      <c r="D656" s="2" t="s">
        <v>1320</v>
      </c>
      <c r="E656" s="2" t="s">
        <v>1321</v>
      </c>
      <c r="F656" s="2" t="s">
        <v>14</v>
      </c>
      <c r="G656" s="2" t="s">
        <v>15</v>
      </c>
      <c r="H656" s="2">
        <v>64000000</v>
      </c>
      <c r="I656" s="2">
        <v>5.0999999999999996</v>
      </c>
      <c r="J656" s="2">
        <f t="shared" si="4"/>
        <v>-32945076</v>
      </c>
      <c r="K656" s="2">
        <f t="shared" si="5"/>
        <v>-4.8917597796736378E-4</v>
      </c>
      <c r="L656" s="2" t="str">
        <f>IF(ISNUMBER(SEARCH("|",IMDB_Movies!$D656)),LEFT(IMDB_Movies!$D656,SEARCH("|",IMDB_Movies!$D656)-1),IMDB_Movies!$D656)</f>
        <v>Drama</v>
      </c>
      <c r="V656" s="2"/>
      <c r="W656" s="2"/>
    </row>
    <row r="657" spans="1:23" ht="12.5" x14ac:dyDescent="0.25">
      <c r="A657" s="2" t="s">
        <v>1322</v>
      </c>
      <c r="B657" s="2">
        <v>121</v>
      </c>
      <c r="C657" s="2">
        <v>43247140</v>
      </c>
      <c r="D657" s="2" t="s">
        <v>1323</v>
      </c>
      <c r="E657" s="2" t="s">
        <v>1324</v>
      </c>
      <c r="F657" s="2" t="s">
        <v>14</v>
      </c>
      <c r="G657" s="2" t="s">
        <v>22</v>
      </c>
      <c r="H657" s="2">
        <v>55000000</v>
      </c>
      <c r="I657" s="2">
        <v>7.1</v>
      </c>
      <c r="J657" s="2">
        <f t="shared" si="4"/>
        <v>-11752860</v>
      </c>
      <c r="K657" s="2">
        <f t="shared" si="5"/>
        <v>-4.8639396473424058E-4</v>
      </c>
      <c r="L657" s="2" t="str">
        <f>IF(ISNUMBER(SEARCH("|",IMDB_Movies!$D657)),LEFT(IMDB_Movies!$D657,SEARCH("|",IMDB_Movies!$D657)-1),IMDB_Movies!$D657)</f>
        <v>Adventure</v>
      </c>
      <c r="V657" s="2"/>
      <c r="W657" s="2"/>
    </row>
    <row r="658" spans="1:23" ht="12.5" x14ac:dyDescent="0.25">
      <c r="A658" s="2" t="s">
        <v>659</v>
      </c>
      <c r="B658" s="2">
        <v>147</v>
      </c>
      <c r="C658" s="2">
        <v>2208939</v>
      </c>
      <c r="D658" s="2" t="s">
        <v>1325</v>
      </c>
      <c r="E658" s="2" t="s">
        <v>1326</v>
      </c>
      <c r="F658" s="2" t="s">
        <v>14</v>
      </c>
      <c r="G658" s="2" t="s">
        <v>287</v>
      </c>
      <c r="H658" s="2">
        <v>50000000</v>
      </c>
      <c r="I658" s="2">
        <v>7.5</v>
      </c>
      <c r="J658" s="2">
        <f t="shared" si="4"/>
        <v>-47791061</v>
      </c>
      <c r="K658" s="2">
        <f t="shared" si="5"/>
        <v>-4.93101181703479E-4</v>
      </c>
      <c r="L658" s="2" t="str">
        <f>IF(ISNUMBER(SEARCH("|",IMDB_Movies!$D658)),LEFT(IMDB_Movies!$D658,SEARCH("|",IMDB_Movies!$D658)-1),IMDB_Movies!$D658)</f>
        <v>Crime</v>
      </c>
      <c r="V658" s="2"/>
      <c r="W658" s="2"/>
    </row>
    <row r="659" spans="1:23" ht="12.5" x14ac:dyDescent="0.25">
      <c r="A659" s="2" t="s">
        <v>708</v>
      </c>
      <c r="B659" s="2">
        <v>94</v>
      </c>
      <c r="C659" s="2">
        <v>213079163</v>
      </c>
      <c r="D659" s="2" t="s">
        <v>623</v>
      </c>
      <c r="E659" s="2" t="s">
        <v>1327</v>
      </c>
      <c r="F659" s="2" t="s">
        <v>14</v>
      </c>
      <c r="G659" s="2" t="s">
        <v>15</v>
      </c>
      <c r="H659" s="2">
        <v>63000000</v>
      </c>
      <c r="I659" s="2">
        <v>6.2</v>
      </c>
      <c r="J659" s="2">
        <f t="shared" si="4"/>
        <v>150079163</v>
      </c>
      <c r="K659" s="2">
        <f t="shared" si="5"/>
        <v>-4.7523057811478346E-4</v>
      </c>
      <c r="L659" s="2" t="str">
        <f>IF(ISNUMBER(SEARCH("|",IMDB_Movies!$D659)),LEFT(IMDB_Movies!$D659,SEARCH("|",IMDB_Movies!$D659)-1),IMDB_Movies!$D659)</f>
        <v>Action</v>
      </c>
      <c r="V659" s="2"/>
      <c r="W659" s="2"/>
    </row>
    <row r="660" spans="1:23" ht="12.5" x14ac:dyDescent="0.25">
      <c r="A660" s="2" t="s">
        <v>346</v>
      </c>
      <c r="B660" s="2">
        <v>94</v>
      </c>
      <c r="C660" s="2">
        <v>19548064</v>
      </c>
      <c r="D660" s="2" t="s">
        <v>456</v>
      </c>
      <c r="E660" s="2" t="s">
        <v>1328</v>
      </c>
      <c r="F660" s="2" t="s">
        <v>14</v>
      </c>
      <c r="G660" s="2" t="s">
        <v>1329</v>
      </c>
      <c r="H660" s="2">
        <v>65000000</v>
      </c>
      <c r="I660" s="2">
        <v>6.3</v>
      </c>
      <c r="J660" s="2">
        <f t="shared" si="4"/>
        <v>-45451936</v>
      </c>
      <c r="K660" s="2">
        <f t="shared" si="5"/>
        <v>-6.4837607023051421E-4</v>
      </c>
      <c r="L660" s="2" t="str">
        <f>IF(ISNUMBER(SEARCH("|",IMDB_Movies!$D660)),LEFT(IMDB_Movies!$D660,SEARCH("|",IMDB_Movies!$D660)-1),IMDB_Movies!$D660)</f>
        <v>Action</v>
      </c>
      <c r="V660" s="2"/>
      <c r="W660" s="2"/>
    </row>
    <row r="661" spans="1:23" ht="12.5" x14ac:dyDescent="0.25">
      <c r="A661" s="2" t="s">
        <v>141</v>
      </c>
      <c r="B661" s="2">
        <v>127</v>
      </c>
      <c r="C661" s="2">
        <v>356784000</v>
      </c>
      <c r="D661" s="2" t="s">
        <v>431</v>
      </c>
      <c r="E661" s="2" t="s">
        <v>1330</v>
      </c>
      <c r="F661" s="2" t="s">
        <v>14</v>
      </c>
      <c r="G661" s="2" t="s">
        <v>15</v>
      </c>
      <c r="H661" s="2">
        <v>63000000</v>
      </c>
      <c r="I661" s="2">
        <v>8.1</v>
      </c>
      <c r="J661" s="2">
        <f t="shared" si="4"/>
        <v>293784000</v>
      </c>
      <c r="K661" s="2">
        <f t="shared" si="5"/>
        <v>-6.3382732051620028E-4</v>
      </c>
      <c r="L661" s="2" t="str">
        <f>IF(ISNUMBER(SEARCH("|",IMDB_Movies!$D661)),LEFT(IMDB_Movies!$D661,SEARCH("|",IMDB_Movies!$D661)-1),IMDB_Movies!$D661)</f>
        <v>Adventure</v>
      </c>
      <c r="V661" s="2"/>
      <c r="W661" s="2"/>
    </row>
    <row r="662" spans="1:23" ht="12.5" x14ac:dyDescent="0.25">
      <c r="A662" s="2" t="s">
        <v>1259</v>
      </c>
      <c r="B662" s="2">
        <v>212</v>
      </c>
      <c r="C662" s="2">
        <v>25052000</v>
      </c>
      <c r="D662" s="2" t="s">
        <v>1331</v>
      </c>
      <c r="E662" s="2" t="s">
        <v>1332</v>
      </c>
      <c r="F662" s="2" t="s">
        <v>14</v>
      </c>
      <c r="G662" s="2" t="s">
        <v>15</v>
      </c>
      <c r="H662" s="2">
        <v>63000000</v>
      </c>
      <c r="I662" s="2">
        <v>6.6</v>
      </c>
      <c r="J662" s="2">
        <f t="shared" si="4"/>
        <v>-37948000</v>
      </c>
      <c r="K662" s="2">
        <f t="shared" si="5"/>
        <v>-9.5223059015700289E-4</v>
      </c>
      <c r="L662" s="2" t="str">
        <f>IF(ISNUMBER(SEARCH("|",IMDB_Movies!$D662)),LEFT(IMDB_Movies!$D662,SEARCH("|",IMDB_Movies!$D662)-1),IMDB_Movies!$D662)</f>
        <v>Adventure</v>
      </c>
      <c r="V662" s="2"/>
      <c r="W662" s="2"/>
    </row>
    <row r="663" spans="1:23" ht="12.5" x14ac:dyDescent="0.25">
      <c r="A663" s="2" t="s">
        <v>439</v>
      </c>
      <c r="B663" s="2">
        <v>141</v>
      </c>
      <c r="C663" s="2">
        <v>122012710</v>
      </c>
      <c r="D663" s="2" t="s">
        <v>177</v>
      </c>
      <c r="E663" s="2" t="s">
        <v>1333</v>
      </c>
      <c r="F663" s="2" t="s">
        <v>14</v>
      </c>
      <c r="G663" s="2" t="s">
        <v>15</v>
      </c>
      <c r="H663" s="2">
        <v>62000000</v>
      </c>
      <c r="I663" s="2">
        <v>6.9</v>
      </c>
      <c r="J663" s="2">
        <f t="shared" si="4"/>
        <v>60012710</v>
      </c>
      <c r="K663" s="2">
        <f t="shared" si="5"/>
        <v>-9.4383254936705155E-4</v>
      </c>
      <c r="L663" s="2" t="str">
        <f>IF(ISNUMBER(SEARCH("|",IMDB_Movies!$D663)),LEFT(IMDB_Movies!$D663,SEARCH("|",IMDB_Movies!$D663)-1),IMDB_Movies!$D663)</f>
        <v>Action</v>
      </c>
      <c r="V663" s="2"/>
      <c r="W663" s="2"/>
    </row>
    <row r="664" spans="1:23" ht="12.5" x14ac:dyDescent="0.25">
      <c r="A664" s="2" t="s">
        <v>1334</v>
      </c>
      <c r="B664" s="2">
        <v>103</v>
      </c>
      <c r="C664" s="2">
        <v>72413</v>
      </c>
      <c r="D664" s="2" t="s">
        <v>77</v>
      </c>
      <c r="E664" s="2" t="s">
        <v>1335</v>
      </c>
      <c r="F664" s="2" t="s">
        <v>699</v>
      </c>
      <c r="G664" s="2" t="s">
        <v>331</v>
      </c>
      <c r="H664" s="2">
        <v>65000000</v>
      </c>
      <c r="I664" s="2">
        <v>6.1</v>
      </c>
      <c r="J664" s="2">
        <f t="shared" si="4"/>
        <v>-64927587</v>
      </c>
      <c r="K664" s="2">
        <f t="shared" si="5"/>
        <v>-1.0273796930160709E-3</v>
      </c>
      <c r="L664" s="2" t="str">
        <f>IF(ISNUMBER(SEARCH("|",IMDB_Movies!$D664)),LEFT(IMDB_Movies!$D664,SEARCH("|",IMDB_Movies!$D664)-1),IMDB_Movies!$D664)</f>
        <v>Action</v>
      </c>
      <c r="V664" s="2"/>
      <c r="W664" s="2"/>
    </row>
    <row r="665" spans="1:23" ht="12.5" x14ac:dyDescent="0.25">
      <c r="A665" s="2" t="s">
        <v>1336</v>
      </c>
      <c r="B665" s="2">
        <v>98</v>
      </c>
      <c r="C665" s="2">
        <v>58255287</v>
      </c>
      <c r="D665" s="2" t="s">
        <v>375</v>
      </c>
      <c r="E665" s="2" t="s">
        <v>1337</v>
      </c>
      <c r="F665" s="2" t="s">
        <v>14</v>
      </c>
      <c r="G665" s="2" t="s">
        <v>15</v>
      </c>
      <c r="H665" s="2">
        <v>64000000</v>
      </c>
      <c r="I665" s="2">
        <v>4.3</v>
      </c>
      <c r="J665" s="2">
        <f t="shared" si="4"/>
        <v>-5744713</v>
      </c>
      <c r="K665" s="2">
        <f t="shared" si="5"/>
        <v>-9.9281333007897863E-4</v>
      </c>
      <c r="L665" s="2" t="str">
        <f>IF(ISNUMBER(SEARCH("|",IMDB_Movies!$D665)),LEFT(IMDB_Movies!$D665,SEARCH("|",IMDB_Movies!$D665)-1),IMDB_Movies!$D665)</f>
        <v>Comedy</v>
      </c>
      <c r="V665" s="2"/>
      <c r="W665" s="2"/>
    </row>
    <row r="666" spans="1:23" ht="12.5" x14ac:dyDescent="0.25">
      <c r="A666" s="2" t="s">
        <v>245</v>
      </c>
      <c r="B666" s="2">
        <v>116</v>
      </c>
      <c r="C666" s="2">
        <v>77086030</v>
      </c>
      <c r="D666" s="2" t="s">
        <v>1338</v>
      </c>
      <c r="E666" s="2" t="s">
        <v>1339</v>
      </c>
      <c r="F666" s="2" t="s">
        <v>14</v>
      </c>
      <c r="G666" s="2" t="s">
        <v>686</v>
      </c>
      <c r="H666" s="2">
        <v>62000000</v>
      </c>
      <c r="I666" s="2">
        <v>6.6</v>
      </c>
      <c r="J666" s="2">
        <f t="shared" si="4"/>
        <v>15086030</v>
      </c>
      <c r="K666" s="2">
        <f t="shared" si="5"/>
        <v>-1.0174261517799945E-3</v>
      </c>
      <c r="L666" s="2" t="str">
        <f>IF(ISNUMBER(SEARCH("|",IMDB_Movies!$D666)),LEFT(IMDB_Movies!$D666,SEARCH("|",IMDB_Movies!$D666)-1),IMDB_Movies!$D666)</f>
        <v>Action</v>
      </c>
      <c r="V666" s="2"/>
      <c r="W666" s="2"/>
    </row>
    <row r="667" spans="1:23" ht="12.5" x14ac:dyDescent="0.25">
      <c r="A667" s="2" t="s">
        <v>1340</v>
      </c>
      <c r="B667" s="2">
        <v>114</v>
      </c>
      <c r="C667" s="2">
        <v>65000000</v>
      </c>
      <c r="D667" s="2" t="s">
        <v>514</v>
      </c>
      <c r="E667" s="2" t="s">
        <v>1341</v>
      </c>
      <c r="F667" s="2" t="s">
        <v>14</v>
      </c>
      <c r="G667" s="2" t="s">
        <v>15</v>
      </c>
      <c r="H667" s="2">
        <v>62000000</v>
      </c>
      <c r="I667" s="2">
        <v>6.8</v>
      </c>
      <c r="J667" s="2">
        <f t="shared" si="4"/>
        <v>3000000</v>
      </c>
      <c r="K667" s="2">
        <f t="shared" si="5"/>
        <v>-1.0583874227715383E-3</v>
      </c>
      <c r="L667" s="2" t="str">
        <f>IF(ISNUMBER(SEARCH("|",IMDB_Movies!$D667)),LEFT(IMDB_Movies!$D667,SEARCH("|",IMDB_Movies!$D667)-1),IMDB_Movies!$D667)</f>
        <v>Comedy</v>
      </c>
      <c r="V667" s="2"/>
      <c r="W667" s="2"/>
    </row>
    <row r="668" spans="1:23" ht="12.5" x14ac:dyDescent="0.25">
      <c r="A668" s="2" t="s">
        <v>1342</v>
      </c>
      <c r="B668" s="2">
        <v>87</v>
      </c>
      <c r="C668" s="2">
        <v>32178777</v>
      </c>
      <c r="D668" s="2" t="s">
        <v>1343</v>
      </c>
      <c r="E668" s="2" t="s">
        <v>1344</v>
      </c>
      <c r="F668" s="2" t="s">
        <v>14</v>
      </c>
      <c r="G668" s="2" t="s">
        <v>15</v>
      </c>
      <c r="H668" s="2">
        <v>62000000</v>
      </c>
      <c r="I668" s="2">
        <v>3.8</v>
      </c>
      <c r="J668" s="2">
        <f t="shared" si="4"/>
        <v>-29821223</v>
      </c>
      <c r="K668" s="2">
        <f t="shared" si="5"/>
        <v>-1.0879320087663574E-3</v>
      </c>
      <c r="L668" s="2" t="str">
        <f>IF(ISNUMBER(SEARCH("|",IMDB_Movies!$D668)),LEFT(IMDB_Movies!$D668,SEARCH("|",IMDB_Movies!$D668)-1),IMDB_Movies!$D668)</f>
        <v>Comedy</v>
      </c>
      <c r="V668" s="2"/>
      <c r="W668" s="2"/>
    </row>
    <row r="669" spans="1:23" ht="12.5" x14ac:dyDescent="0.25">
      <c r="A669" s="2" t="s">
        <v>1345</v>
      </c>
      <c r="B669" s="2">
        <v>125</v>
      </c>
      <c r="C669" s="2">
        <v>15738632</v>
      </c>
      <c r="D669" s="2" t="s">
        <v>150</v>
      </c>
      <c r="E669" s="2" t="s">
        <v>1346</v>
      </c>
      <c r="F669" s="2" t="s">
        <v>14</v>
      </c>
      <c r="G669" s="2" t="s">
        <v>15</v>
      </c>
      <c r="H669" s="2">
        <v>42000000</v>
      </c>
      <c r="I669" s="2">
        <v>5.9</v>
      </c>
      <c r="J669" s="2">
        <f t="shared" si="4"/>
        <v>-26261368</v>
      </c>
      <c r="K669" s="2">
        <f t="shared" si="5"/>
        <v>-1.0865177685923542E-3</v>
      </c>
      <c r="L669" s="2" t="str">
        <f>IF(ISNUMBER(SEARCH("|",IMDB_Movies!$D669)),LEFT(IMDB_Movies!$D669,SEARCH("|",IMDB_Movies!$D669)-1),IMDB_Movies!$D669)</f>
        <v>Action</v>
      </c>
      <c r="V669" s="2"/>
      <c r="W669" s="2"/>
    </row>
    <row r="670" spans="1:23" ht="12.5" x14ac:dyDescent="0.25">
      <c r="A670" s="2" t="s">
        <v>628</v>
      </c>
      <c r="B670" s="2">
        <v>187</v>
      </c>
      <c r="C670" s="2">
        <v>54116191</v>
      </c>
      <c r="D670" s="2" t="s">
        <v>1347</v>
      </c>
      <c r="E670" s="2" t="s">
        <v>1348</v>
      </c>
      <c r="F670" s="2" t="s">
        <v>14</v>
      </c>
      <c r="G670" s="2" t="s">
        <v>15</v>
      </c>
      <c r="H670" s="2">
        <v>44000000</v>
      </c>
      <c r="I670" s="2">
        <v>7.9</v>
      </c>
      <c r="J670" s="2">
        <f t="shared" si="4"/>
        <v>10116191</v>
      </c>
      <c r="K670" s="2">
        <f t="shared" si="5"/>
        <v>-1.0805764341373404E-3</v>
      </c>
      <c r="L670" s="2" t="str">
        <f>IF(ISNUMBER(SEARCH("|",IMDB_Movies!$D670)),LEFT(IMDB_Movies!$D670,SEARCH("|",IMDB_Movies!$D670)-1),IMDB_Movies!$D670)</f>
        <v>Crime</v>
      </c>
      <c r="V670" s="2"/>
      <c r="W670" s="2"/>
    </row>
    <row r="671" spans="1:23" ht="12.5" x14ac:dyDescent="0.25">
      <c r="A671" s="2" t="s">
        <v>1349</v>
      </c>
      <c r="B671" s="2">
        <v>93</v>
      </c>
      <c r="C671" s="2">
        <v>118153533</v>
      </c>
      <c r="D671" s="2" t="s">
        <v>1350</v>
      </c>
      <c r="E671" s="2" t="s">
        <v>1351</v>
      </c>
      <c r="F671" s="2" t="s">
        <v>14</v>
      </c>
      <c r="G671" s="2" t="s">
        <v>15</v>
      </c>
      <c r="H671" s="2">
        <v>61000000</v>
      </c>
      <c r="I671" s="2">
        <v>6.3</v>
      </c>
      <c r="J671" s="2">
        <f t="shared" si="4"/>
        <v>57153533</v>
      </c>
      <c r="K671" s="2">
        <f t="shared" si="5"/>
        <v>-1.088658508271092E-3</v>
      </c>
      <c r="L671" s="2" t="str">
        <f>IF(ISNUMBER(SEARCH("|",IMDB_Movies!$D671)),LEFT(IMDB_Movies!$D671,SEARCH("|",IMDB_Movies!$D671)-1),IMDB_Movies!$D671)</f>
        <v>Comedy</v>
      </c>
      <c r="V671" s="2"/>
      <c r="W671" s="2"/>
    </row>
    <row r="672" spans="1:23" ht="12.5" x14ac:dyDescent="0.25">
      <c r="A672" s="2" t="s">
        <v>1352</v>
      </c>
      <c r="B672" s="2">
        <v>95</v>
      </c>
      <c r="C672" s="2">
        <v>108012170</v>
      </c>
      <c r="D672" s="2" t="s">
        <v>106</v>
      </c>
      <c r="E672" s="2" t="s">
        <v>1353</v>
      </c>
      <c r="F672" s="2" t="s">
        <v>14</v>
      </c>
      <c r="G672" s="2" t="s">
        <v>15</v>
      </c>
      <c r="H672" s="2">
        <v>63000000</v>
      </c>
      <c r="I672" s="2">
        <v>5.5</v>
      </c>
      <c r="J672" s="2">
        <f t="shared" si="4"/>
        <v>45012170</v>
      </c>
      <c r="K672" s="2">
        <f t="shared" si="5"/>
        <v>-1.1663566118548575E-3</v>
      </c>
      <c r="L672" s="2" t="str">
        <f>IF(ISNUMBER(SEARCH("|",IMDB_Movies!$D672)),LEFT(IMDB_Movies!$D672,SEARCH("|",IMDB_Movies!$D672)-1),IMDB_Movies!$D672)</f>
        <v>Adventure</v>
      </c>
      <c r="V672" s="2"/>
      <c r="W672" s="2"/>
    </row>
    <row r="673" spans="1:23" ht="12.5" x14ac:dyDescent="0.25">
      <c r="A673" s="2" t="s">
        <v>50</v>
      </c>
      <c r="B673" s="2">
        <v>117</v>
      </c>
      <c r="C673" s="2">
        <v>210592590</v>
      </c>
      <c r="D673" s="2" t="s">
        <v>562</v>
      </c>
      <c r="E673" s="2" t="s">
        <v>1354</v>
      </c>
      <c r="F673" s="2" t="s">
        <v>14</v>
      </c>
      <c r="G673" s="2" t="s">
        <v>15</v>
      </c>
      <c r="H673" s="2">
        <v>65000000</v>
      </c>
      <c r="I673" s="2">
        <v>7.7</v>
      </c>
      <c r="J673" s="2">
        <f t="shared" si="4"/>
        <v>145592590</v>
      </c>
      <c r="K673" s="2">
        <f t="shared" si="5"/>
        <v>-1.2393043362385165E-3</v>
      </c>
      <c r="L673" s="2" t="str">
        <f>IF(ISNUMBER(SEARCH("|",IMDB_Movies!$D673)),LEFT(IMDB_Movies!$D673,SEARCH("|",IMDB_Movies!$D673)-1),IMDB_Movies!$D673)</f>
        <v>Action</v>
      </c>
      <c r="V673" s="2"/>
      <c r="W673" s="2"/>
    </row>
    <row r="674" spans="1:23" ht="12.5" x14ac:dyDescent="0.25">
      <c r="A674" s="2" t="s">
        <v>708</v>
      </c>
      <c r="B674" s="2">
        <v>106</v>
      </c>
      <c r="C674" s="2">
        <v>279167575</v>
      </c>
      <c r="D674" s="2" t="s">
        <v>600</v>
      </c>
      <c r="E674" s="2" t="s">
        <v>1355</v>
      </c>
      <c r="F674" s="2" t="s">
        <v>14</v>
      </c>
      <c r="G674" s="2" t="s">
        <v>15</v>
      </c>
      <c r="H674" s="2">
        <v>80000000</v>
      </c>
      <c r="I674" s="2">
        <v>6.3</v>
      </c>
      <c r="J674" s="2">
        <f t="shared" si="4"/>
        <v>199167575</v>
      </c>
      <c r="K674" s="2">
        <f t="shared" si="5"/>
        <v>-1.4263017744879673E-3</v>
      </c>
      <c r="L674" s="2" t="str">
        <f>IF(ISNUMBER(SEARCH("|",IMDB_Movies!$D674)),LEFT(IMDB_Movies!$D674,SEARCH("|",IMDB_Movies!$D674)-1),IMDB_Movies!$D674)</f>
        <v>Comedy</v>
      </c>
      <c r="V674" s="2"/>
      <c r="W674" s="2"/>
    </row>
    <row r="675" spans="1:23" ht="12.5" x14ac:dyDescent="0.25">
      <c r="A675" s="2" t="s">
        <v>1356</v>
      </c>
      <c r="B675" s="2">
        <v>115</v>
      </c>
      <c r="C675" s="2">
        <v>143151473</v>
      </c>
      <c r="D675" s="2" t="s">
        <v>1357</v>
      </c>
      <c r="E675" s="2" t="s">
        <v>1358</v>
      </c>
      <c r="F675" s="2" t="s">
        <v>14</v>
      </c>
      <c r="G675" s="2" t="s">
        <v>15</v>
      </c>
      <c r="H675" s="2">
        <v>60000000</v>
      </c>
      <c r="I675" s="2">
        <v>7.1</v>
      </c>
      <c r="J675" s="2">
        <f t="shared" si="4"/>
        <v>83151473</v>
      </c>
      <c r="K675" s="2">
        <f t="shared" si="5"/>
        <v>-1.80328575730127E-3</v>
      </c>
      <c r="L675" s="2" t="str">
        <f>IF(ISNUMBER(SEARCH("|",IMDB_Movies!$D675)),LEFT(IMDB_Movies!$D675,SEARCH("|",IMDB_Movies!$D675)-1),IMDB_Movies!$D675)</f>
        <v>Comedy</v>
      </c>
      <c r="V675" s="2"/>
      <c r="W675" s="2"/>
    </row>
    <row r="676" spans="1:23" ht="12.5" x14ac:dyDescent="0.25">
      <c r="A676" s="2" t="s">
        <v>1131</v>
      </c>
      <c r="B676" s="2">
        <v>189</v>
      </c>
      <c r="C676" s="2">
        <v>136801374</v>
      </c>
      <c r="D676" s="2" t="s">
        <v>1359</v>
      </c>
      <c r="E676" s="2" t="s">
        <v>1360</v>
      </c>
      <c r="F676" s="2" t="s">
        <v>14</v>
      </c>
      <c r="G676" s="2" t="s">
        <v>15</v>
      </c>
      <c r="H676" s="2">
        <v>60000000</v>
      </c>
      <c r="I676" s="2">
        <v>8.5</v>
      </c>
      <c r="J676" s="2">
        <f t="shared" si="4"/>
        <v>76801374</v>
      </c>
      <c r="K676" s="2">
        <f t="shared" si="5"/>
        <v>-1.902940096303078E-3</v>
      </c>
      <c r="L676" s="2" t="str">
        <f>IF(ISNUMBER(SEARCH("|",IMDB_Movies!$D676)),LEFT(IMDB_Movies!$D676,SEARCH("|",IMDB_Movies!$D676)-1),IMDB_Movies!$D676)</f>
        <v>Crime</v>
      </c>
      <c r="V676" s="2"/>
      <c r="W676" s="2"/>
    </row>
    <row r="677" spans="1:23" ht="12.5" x14ac:dyDescent="0.25">
      <c r="A677" s="2" t="s">
        <v>634</v>
      </c>
      <c r="B677" s="2">
        <v>81</v>
      </c>
      <c r="C677" s="2">
        <v>135381507</v>
      </c>
      <c r="D677" s="2" t="s">
        <v>238</v>
      </c>
      <c r="E677" s="2" t="s">
        <v>1361</v>
      </c>
      <c r="F677" s="2" t="s">
        <v>14</v>
      </c>
      <c r="G677" s="2" t="s">
        <v>15</v>
      </c>
      <c r="H677" s="2">
        <v>150000000</v>
      </c>
      <c r="I677" s="2">
        <v>5.8</v>
      </c>
      <c r="J677" s="2">
        <f t="shared" si="4"/>
        <v>-14618493</v>
      </c>
      <c r="K677" s="2">
        <f t="shared" si="5"/>
        <v>-1.9969664021414371E-3</v>
      </c>
      <c r="L677" s="2" t="str">
        <f>IF(ISNUMBER(SEARCH("|",IMDB_Movies!$D677)),LEFT(IMDB_Movies!$D677,SEARCH("|",IMDB_Movies!$D677)-1),IMDB_Movies!$D677)</f>
        <v>Adventure</v>
      </c>
      <c r="V677" s="2"/>
      <c r="W677" s="2"/>
    </row>
    <row r="678" spans="1:23" ht="12.5" x14ac:dyDescent="0.25">
      <c r="A678" s="2" t="s">
        <v>255</v>
      </c>
      <c r="B678" s="2">
        <v>149</v>
      </c>
      <c r="C678" s="2">
        <v>167735396</v>
      </c>
      <c r="D678" s="2" t="s">
        <v>770</v>
      </c>
      <c r="E678" s="2" t="s">
        <v>1362</v>
      </c>
      <c r="F678" s="2" t="s">
        <v>14</v>
      </c>
      <c r="G678" s="2" t="s">
        <v>15</v>
      </c>
      <c r="H678" s="2">
        <v>61000000</v>
      </c>
      <c r="I678" s="2">
        <v>8.1</v>
      </c>
      <c r="J678" s="2">
        <f t="shared" si="4"/>
        <v>106735396</v>
      </c>
      <c r="K678" s="2">
        <f t="shared" si="5"/>
        <v>-2.3726447742357447E-3</v>
      </c>
      <c r="L678" s="2" t="str">
        <f>IF(ISNUMBER(SEARCH("|",IMDB_Movies!$D678)),LEFT(IMDB_Movies!$D678,SEARCH("|",IMDB_Movies!$D678)-1),IMDB_Movies!$D678)</f>
        <v>Crime</v>
      </c>
      <c r="V678" s="2"/>
      <c r="W678" s="2"/>
    </row>
    <row r="679" spans="1:23" ht="12.5" x14ac:dyDescent="0.25">
      <c r="A679" s="2" t="s">
        <v>206</v>
      </c>
      <c r="B679" s="2">
        <v>119</v>
      </c>
      <c r="C679" s="2">
        <v>121468960</v>
      </c>
      <c r="D679" s="2" t="s">
        <v>425</v>
      </c>
      <c r="E679" s="2" t="s">
        <v>1363</v>
      </c>
      <c r="F679" s="2" t="s">
        <v>14</v>
      </c>
      <c r="G679" s="2" t="s">
        <v>15</v>
      </c>
      <c r="H679" s="2">
        <v>60000000</v>
      </c>
      <c r="I679" s="2">
        <v>7.9</v>
      </c>
      <c r="J679" s="2">
        <f t="shared" si="4"/>
        <v>61468960</v>
      </c>
      <c r="K679" s="2">
        <f t="shared" si="5"/>
        <v>-2.5009986640684248E-3</v>
      </c>
      <c r="L679" s="2" t="str">
        <f>IF(ISNUMBER(SEARCH("|",IMDB_Movies!$D679)),LEFT(IMDB_Movies!$D679,SEARCH("|",IMDB_Movies!$D679)-1),IMDB_Movies!$D679)</f>
        <v>Action</v>
      </c>
      <c r="V679" s="2"/>
      <c r="W679" s="2"/>
    </row>
    <row r="680" spans="1:23" ht="12.5" x14ac:dyDescent="0.25">
      <c r="A680" s="2" t="s">
        <v>118</v>
      </c>
      <c r="B680" s="2">
        <v>130</v>
      </c>
      <c r="C680" s="2">
        <v>106635996</v>
      </c>
      <c r="D680" s="2" t="s">
        <v>20</v>
      </c>
      <c r="E680" s="2" t="s">
        <v>1364</v>
      </c>
      <c r="F680" s="2" t="s">
        <v>14</v>
      </c>
      <c r="G680" s="2" t="s">
        <v>22</v>
      </c>
      <c r="H680" s="2">
        <v>58000000</v>
      </c>
      <c r="I680" s="2">
        <v>7.2</v>
      </c>
      <c r="J680" s="2">
        <f t="shared" si="4"/>
        <v>48635996</v>
      </c>
      <c r="K680" s="2">
        <f t="shared" si="5"/>
        <v>-2.5817847991612001E-3</v>
      </c>
      <c r="L680" s="2" t="str">
        <f>IF(ISNUMBER(SEARCH("|",IMDB_Movies!$D680)),LEFT(IMDB_Movies!$D680,SEARCH("|",IMDB_Movies!$D680)-1),IMDB_Movies!$D680)</f>
        <v>Action</v>
      </c>
      <c r="V680" s="2"/>
      <c r="W680" s="2"/>
    </row>
    <row r="681" spans="1:23" ht="12.5" x14ac:dyDescent="0.25">
      <c r="A681" s="2" t="s">
        <v>636</v>
      </c>
      <c r="B681" s="2">
        <v>116</v>
      </c>
      <c r="C681" s="2">
        <v>102678089</v>
      </c>
      <c r="D681" s="2" t="s">
        <v>690</v>
      </c>
      <c r="E681" s="2" t="s">
        <v>1365</v>
      </c>
      <c r="F681" s="2" t="s">
        <v>14</v>
      </c>
      <c r="G681" s="2" t="s">
        <v>15</v>
      </c>
      <c r="H681" s="2">
        <v>95000000</v>
      </c>
      <c r="I681" s="2">
        <v>6.3</v>
      </c>
      <c r="J681" s="2">
        <f t="shared" si="4"/>
        <v>7678089</v>
      </c>
      <c r="K681" s="2">
        <f t="shared" si="5"/>
        <v>-2.6443197114857341E-3</v>
      </c>
      <c r="L681" s="2" t="str">
        <f>IF(ISNUMBER(SEARCH("|",IMDB_Movies!$D681)),LEFT(IMDB_Movies!$D681,SEARCH("|",IMDB_Movies!$D681)-1),IMDB_Movies!$D681)</f>
        <v>Drama</v>
      </c>
      <c r="V681" s="2"/>
      <c r="W681" s="2"/>
    </row>
    <row r="682" spans="1:23" ht="12.5" x14ac:dyDescent="0.25">
      <c r="A682" s="2" t="s">
        <v>405</v>
      </c>
      <c r="B682" s="2">
        <v>103</v>
      </c>
      <c r="C682" s="2">
        <v>125603360</v>
      </c>
      <c r="D682" s="2" t="s">
        <v>806</v>
      </c>
      <c r="E682" s="2" t="s">
        <v>1366</v>
      </c>
      <c r="F682" s="2" t="s">
        <v>14</v>
      </c>
      <c r="G682" s="2" t="s">
        <v>15</v>
      </c>
      <c r="H682" s="2">
        <v>60000000</v>
      </c>
      <c r="I682" s="2">
        <v>8.1</v>
      </c>
      <c r="J682" s="2">
        <f t="shared" si="4"/>
        <v>65603360</v>
      </c>
      <c r="K682" s="2">
        <f t="shared" si="5"/>
        <v>-2.7828626267950461E-3</v>
      </c>
      <c r="L682" s="2" t="str">
        <f>IF(ISNUMBER(SEARCH("|",IMDB_Movies!$D682)),LEFT(IMDB_Movies!$D682,SEARCH("|",IMDB_Movies!$D682)-1),IMDB_Movies!$D682)</f>
        <v>Comedy</v>
      </c>
      <c r="V682" s="2"/>
      <c r="W682" s="2"/>
    </row>
    <row r="683" spans="1:23" ht="12.5" x14ac:dyDescent="0.25">
      <c r="A683" s="2" t="s">
        <v>1367</v>
      </c>
      <c r="B683" s="2">
        <v>99</v>
      </c>
      <c r="C683" s="2">
        <v>101217900</v>
      </c>
      <c r="D683" s="2" t="s">
        <v>1368</v>
      </c>
      <c r="E683" s="2" t="s">
        <v>1369</v>
      </c>
      <c r="F683" s="2" t="s">
        <v>14</v>
      </c>
      <c r="G683" s="2" t="s">
        <v>15</v>
      </c>
      <c r="H683" s="2">
        <v>70000000</v>
      </c>
      <c r="I683" s="2">
        <v>7</v>
      </c>
      <c r="J683" s="2">
        <f t="shared" si="4"/>
        <v>31217900</v>
      </c>
      <c r="K683" s="2">
        <f t="shared" si="5"/>
        <v>-2.8680659041411586E-3</v>
      </c>
      <c r="L683" s="2" t="str">
        <f>IF(ISNUMBER(SEARCH("|",IMDB_Movies!$D683)),LEFT(IMDB_Movies!$D683,SEARCH("|",IMDB_Movies!$D683)-1),IMDB_Movies!$D683)</f>
        <v>Adventure</v>
      </c>
      <c r="V683" s="2"/>
      <c r="W683" s="2"/>
    </row>
    <row r="684" spans="1:23" ht="12.5" x14ac:dyDescent="0.25">
      <c r="A684" s="2" t="s">
        <v>1122</v>
      </c>
      <c r="B684" s="2">
        <v>92</v>
      </c>
      <c r="C684" s="2">
        <v>104148781</v>
      </c>
      <c r="D684" s="2" t="s">
        <v>1058</v>
      </c>
      <c r="E684" s="2" t="s">
        <v>1370</v>
      </c>
      <c r="F684" s="2" t="s">
        <v>14</v>
      </c>
      <c r="G684" s="2" t="s">
        <v>15</v>
      </c>
      <c r="H684" s="2">
        <v>60000000</v>
      </c>
      <c r="I684" s="2">
        <v>5.5</v>
      </c>
      <c r="J684" s="2">
        <f t="shared" si="4"/>
        <v>44148781</v>
      </c>
      <c r="K684" s="2">
        <f t="shared" si="5"/>
        <v>-2.9514990773723214E-3</v>
      </c>
      <c r="L684" s="2" t="str">
        <f>IF(ISNUMBER(SEARCH("|",IMDB_Movies!$D684)),LEFT(IMDB_Movies!$D684,SEARCH("|",IMDB_Movies!$D684)-1),IMDB_Movies!$D684)</f>
        <v>Comedy</v>
      </c>
      <c r="V684" s="2"/>
      <c r="W684" s="2"/>
    </row>
    <row r="685" spans="1:23" ht="12.5" x14ac:dyDescent="0.25">
      <c r="A685" s="2" t="s">
        <v>1322</v>
      </c>
      <c r="B685" s="2">
        <v>109</v>
      </c>
      <c r="C685" s="2">
        <v>75573300</v>
      </c>
      <c r="D685" s="2" t="s">
        <v>1232</v>
      </c>
      <c r="E685" s="2" t="s">
        <v>1371</v>
      </c>
      <c r="F685" s="2" t="s">
        <v>14</v>
      </c>
      <c r="G685" s="2" t="s">
        <v>15</v>
      </c>
      <c r="H685" s="2">
        <v>61000000</v>
      </c>
      <c r="I685" s="2">
        <v>6.7</v>
      </c>
      <c r="J685" s="2">
        <f t="shared" si="4"/>
        <v>14573300</v>
      </c>
      <c r="K685" s="2">
        <f t="shared" si="5"/>
        <v>-3.0167564506397779E-3</v>
      </c>
      <c r="L685" s="2" t="str">
        <f>IF(ISNUMBER(SEARCH("|",IMDB_Movies!$D685)),LEFT(IMDB_Movies!$D685,SEARCH("|",IMDB_Movies!$D685)-1),IMDB_Movies!$D685)</f>
        <v>Action</v>
      </c>
      <c r="V685" s="2"/>
      <c r="W685" s="2"/>
    </row>
    <row r="686" spans="1:23" ht="12.5" x14ac:dyDescent="0.25">
      <c r="A686" s="2" t="s">
        <v>677</v>
      </c>
      <c r="B686" s="2">
        <v>87</v>
      </c>
      <c r="C686" s="2">
        <v>93375151</v>
      </c>
      <c r="D686" s="2" t="s">
        <v>883</v>
      </c>
      <c r="E686" s="2" t="s">
        <v>1372</v>
      </c>
      <c r="F686" s="2" t="s">
        <v>14</v>
      </c>
      <c r="G686" s="2" t="s">
        <v>15</v>
      </c>
      <c r="H686" s="2">
        <v>60000000</v>
      </c>
      <c r="I686" s="2">
        <v>5.2</v>
      </c>
      <c r="J686" s="2">
        <f t="shared" si="4"/>
        <v>33375151</v>
      </c>
      <c r="K686" s="2">
        <f t="shared" si="5"/>
        <v>-3.0567658959890142E-3</v>
      </c>
      <c r="L686" s="2" t="str">
        <f>IF(ISNUMBER(SEARCH("|",IMDB_Movies!$D686)),LEFT(IMDB_Movies!$D686,SEARCH("|",IMDB_Movies!$D686)-1),IMDB_Movies!$D686)</f>
        <v>Action</v>
      </c>
      <c r="V686" s="2"/>
      <c r="W686" s="2"/>
    </row>
    <row r="687" spans="1:23" ht="12.5" x14ac:dyDescent="0.25">
      <c r="A687" s="2" t="s">
        <v>1067</v>
      </c>
      <c r="B687" s="2">
        <v>111</v>
      </c>
      <c r="C687" s="2">
        <v>106126012</v>
      </c>
      <c r="D687" s="2" t="s">
        <v>125</v>
      </c>
      <c r="E687" s="2" t="s">
        <v>1373</v>
      </c>
      <c r="F687" s="2" t="s">
        <v>14</v>
      </c>
      <c r="G687" s="2" t="s">
        <v>15</v>
      </c>
      <c r="H687" s="2">
        <v>60000000</v>
      </c>
      <c r="I687" s="2">
        <v>7</v>
      </c>
      <c r="J687" s="2">
        <f t="shared" si="4"/>
        <v>46126012</v>
      </c>
      <c r="K687" s="2">
        <f t="shared" si="5"/>
        <v>-3.1120714124189906E-3</v>
      </c>
      <c r="L687" s="2" t="str">
        <f>IF(ISNUMBER(SEARCH("|",IMDB_Movies!$D687)),LEFT(IMDB_Movies!$D687,SEARCH("|",IMDB_Movies!$D687)-1),IMDB_Movies!$D687)</f>
        <v>Action</v>
      </c>
      <c r="V687" s="2"/>
      <c r="W687" s="2"/>
    </row>
    <row r="688" spans="1:23" ht="12.5" x14ac:dyDescent="0.25">
      <c r="A688" s="2" t="s">
        <v>1374</v>
      </c>
      <c r="B688" s="2">
        <v>101</v>
      </c>
      <c r="C688" s="2">
        <v>93307796</v>
      </c>
      <c r="D688" s="2" t="s">
        <v>600</v>
      </c>
      <c r="E688" s="2" t="s">
        <v>1375</v>
      </c>
      <c r="F688" s="2" t="s">
        <v>14</v>
      </c>
      <c r="G688" s="2" t="s">
        <v>15</v>
      </c>
      <c r="H688" s="2">
        <v>60000000</v>
      </c>
      <c r="I688" s="2">
        <v>6.1</v>
      </c>
      <c r="J688" s="2">
        <f t="shared" si="4"/>
        <v>33307796</v>
      </c>
      <c r="K688" s="2">
        <f t="shared" si="5"/>
        <v>-3.179446685866115E-3</v>
      </c>
      <c r="L688" s="2" t="str">
        <f>IF(ISNUMBER(SEARCH("|",IMDB_Movies!$D688)),LEFT(IMDB_Movies!$D688,SEARCH("|",IMDB_Movies!$D688)-1),IMDB_Movies!$D688)</f>
        <v>Comedy</v>
      </c>
      <c r="V688" s="2"/>
      <c r="W688" s="2"/>
    </row>
    <row r="689" spans="1:23" ht="12.5" x14ac:dyDescent="0.25">
      <c r="A689" s="2" t="s">
        <v>299</v>
      </c>
      <c r="B689" s="2">
        <v>83</v>
      </c>
      <c r="C689" s="2">
        <v>90646554</v>
      </c>
      <c r="D689" s="2" t="s">
        <v>181</v>
      </c>
      <c r="E689" s="2" t="s">
        <v>1376</v>
      </c>
      <c r="F689" s="2" t="s">
        <v>14</v>
      </c>
      <c r="G689" s="2" t="s">
        <v>15</v>
      </c>
      <c r="H689" s="2">
        <v>105000000</v>
      </c>
      <c r="I689" s="2">
        <v>6.6</v>
      </c>
      <c r="J689" s="2">
        <f t="shared" si="4"/>
        <v>-14353446</v>
      </c>
      <c r="K689" s="2">
        <f t="shared" si="5"/>
        <v>-3.2348500574224761E-3</v>
      </c>
      <c r="L689" s="2" t="str">
        <f>IF(ISNUMBER(SEARCH("|",IMDB_Movies!$D689)),LEFT(IMDB_Movies!$D689,SEARCH("|",IMDB_Movies!$D689)-1),IMDB_Movies!$D689)</f>
        <v>Adventure</v>
      </c>
      <c r="V689" s="2"/>
      <c r="W689" s="2"/>
    </row>
    <row r="690" spans="1:23" ht="12.5" x14ac:dyDescent="0.25">
      <c r="A690" s="2" t="s">
        <v>1377</v>
      </c>
      <c r="B690" s="2">
        <v>113</v>
      </c>
      <c r="C690" s="2">
        <v>109176215</v>
      </c>
      <c r="D690" s="2" t="s">
        <v>709</v>
      </c>
      <c r="E690" s="2" t="s">
        <v>1378</v>
      </c>
      <c r="F690" s="2" t="s">
        <v>14</v>
      </c>
      <c r="G690" s="2" t="s">
        <v>15</v>
      </c>
      <c r="H690" s="2">
        <v>60000000</v>
      </c>
      <c r="I690" s="2">
        <v>5.5</v>
      </c>
      <c r="J690" s="2">
        <f t="shared" si="4"/>
        <v>49176215</v>
      </c>
      <c r="K690" s="2">
        <f t="shared" si="5"/>
        <v>-3.3681189001090205E-3</v>
      </c>
      <c r="L690" s="2" t="str">
        <f>IF(ISNUMBER(SEARCH("|",IMDB_Movies!$D690)),LEFT(IMDB_Movies!$D690,SEARCH("|",IMDB_Movies!$D690)-1),IMDB_Movies!$D690)</f>
        <v>Comedy</v>
      </c>
      <c r="V690" s="2"/>
      <c r="W690" s="2"/>
    </row>
    <row r="691" spans="1:23" ht="12.5" x14ac:dyDescent="0.25">
      <c r="A691" s="2" t="s">
        <v>618</v>
      </c>
      <c r="B691" s="2">
        <v>107</v>
      </c>
      <c r="C691" s="2">
        <v>82670733</v>
      </c>
      <c r="D691" s="2" t="s">
        <v>1133</v>
      </c>
      <c r="E691" s="2" t="s">
        <v>1379</v>
      </c>
      <c r="F691" s="2" t="s">
        <v>14</v>
      </c>
      <c r="G691" s="2" t="s">
        <v>15</v>
      </c>
      <c r="H691" s="2">
        <v>60000000</v>
      </c>
      <c r="I691" s="2">
        <v>5.9</v>
      </c>
      <c r="J691" s="2">
        <f t="shared" si="4"/>
        <v>22670733</v>
      </c>
      <c r="K691" s="2">
        <f t="shared" si="5"/>
        <v>-3.4387521321485393E-3</v>
      </c>
      <c r="L691" s="2" t="str">
        <f>IF(ISNUMBER(SEARCH("|",IMDB_Movies!$D691)),LEFT(IMDB_Movies!$D691,SEARCH("|",IMDB_Movies!$D691)-1),IMDB_Movies!$D691)</f>
        <v>Action</v>
      </c>
      <c r="V691" s="2"/>
      <c r="W691" s="2"/>
    </row>
    <row r="692" spans="1:23" ht="12.5" x14ac:dyDescent="0.25">
      <c r="A692" s="2" t="s">
        <v>918</v>
      </c>
      <c r="B692" s="2">
        <v>94</v>
      </c>
      <c r="C692" s="2">
        <v>82569532</v>
      </c>
      <c r="D692" s="2" t="s">
        <v>840</v>
      </c>
      <c r="E692" s="2" t="s">
        <v>1380</v>
      </c>
      <c r="F692" s="2" t="s">
        <v>14</v>
      </c>
      <c r="G692" s="2" t="s">
        <v>15</v>
      </c>
      <c r="H692" s="2">
        <v>60000000</v>
      </c>
      <c r="I692" s="2">
        <v>5.4</v>
      </c>
      <c r="J692" s="2">
        <f t="shared" si="4"/>
        <v>22569532</v>
      </c>
      <c r="K692" s="2">
        <f t="shared" si="5"/>
        <v>-3.4844413246774499E-3</v>
      </c>
      <c r="L692" s="2" t="str">
        <f>IF(ISNUMBER(SEARCH("|",IMDB_Movies!$D692)),LEFT(IMDB_Movies!$D692,SEARCH("|",IMDB_Movies!$D692)-1),IMDB_Movies!$D692)</f>
        <v>Adventure</v>
      </c>
      <c r="V692" s="2"/>
      <c r="W692" s="2"/>
    </row>
    <row r="693" spans="1:23" ht="12.5" x14ac:dyDescent="0.25">
      <c r="A693" s="2" t="s">
        <v>1381</v>
      </c>
      <c r="B693" s="2">
        <v>132</v>
      </c>
      <c r="C693" s="2">
        <v>81687587</v>
      </c>
      <c r="D693" s="2" t="s">
        <v>981</v>
      </c>
      <c r="E693" s="2" t="s">
        <v>1382</v>
      </c>
      <c r="F693" s="2" t="s">
        <v>14</v>
      </c>
      <c r="G693" s="2" t="s">
        <v>15</v>
      </c>
      <c r="H693" s="2">
        <v>61000000</v>
      </c>
      <c r="I693" s="2">
        <v>6.4</v>
      </c>
      <c r="J693" s="2">
        <f t="shared" si="4"/>
        <v>20687587</v>
      </c>
      <c r="K693" s="2">
        <f t="shared" si="5"/>
        <v>-3.5300857557489813E-3</v>
      </c>
      <c r="L693" s="2" t="str">
        <f>IF(ISNUMBER(SEARCH("|",IMDB_Movies!$D693)),LEFT(IMDB_Movies!$D693,SEARCH("|",IMDB_Movies!$D693)-1),IMDB_Movies!$D693)</f>
        <v>Action</v>
      </c>
      <c r="V693" s="2"/>
      <c r="W693" s="2"/>
    </row>
    <row r="694" spans="1:23" ht="12.5" x14ac:dyDescent="0.25">
      <c r="A694" s="2" t="s">
        <v>1383</v>
      </c>
      <c r="B694" s="2">
        <v>140</v>
      </c>
      <c r="C694" s="2">
        <v>80574010</v>
      </c>
      <c r="D694" s="2" t="s">
        <v>85</v>
      </c>
      <c r="E694" s="2" t="s">
        <v>1384</v>
      </c>
      <c r="F694" s="2" t="s">
        <v>14</v>
      </c>
      <c r="G694" s="2" t="s">
        <v>15</v>
      </c>
      <c r="H694" s="2">
        <v>60000000</v>
      </c>
      <c r="I694" s="2">
        <v>5.7</v>
      </c>
      <c r="J694" s="2">
        <f t="shared" si="4"/>
        <v>20574010</v>
      </c>
      <c r="K694" s="2">
        <f t="shared" si="5"/>
        <v>-3.5764627844098898E-3</v>
      </c>
      <c r="L694" s="2" t="str">
        <f>IF(ISNUMBER(SEARCH("|",IMDB_Movies!$D694)),LEFT(IMDB_Movies!$D694,SEARCH("|",IMDB_Movies!$D694)-1),IMDB_Movies!$D694)</f>
        <v>Drama</v>
      </c>
      <c r="V694" s="2"/>
      <c r="W694" s="2"/>
    </row>
    <row r="695" spans="1:23" ht="12.5" x14ac:dyDescent="0.25">
      <c r="A695" s="2" t="s">
        <v>101</v>
      </c>
      <c r="B695" s="2">
        <v>125</v>
      </c>
      <c r="C695" s="2">
        <v>75764085</v>
      </c>
      <c r="D695" s="2" t="s">
        <v>881</v>
      </c>
      <c r="E695" s="2" t="s">
        <v>1385</v>
      </c>
      <c r="F695" s="2" t="s">
        <v>14</v>
      </c>
      <c r="G695" s="2" t="s">
        <v>15</v>
      </c>
      <c r="H695" s="2">
        <v>60000000</v>
      </c>
      <c r="I695" s="2">
        <v>6.7</v>
      </c>
      <c r="J695" s="2">
        <f t="shared" si="4"/>
        <v>15764085</v>
      </c>
      <c r="K695" s="2">
        <f t="shared" si="5"/>
        <v>-3.6203334730434611E-3</v>
      </c>
      <c r="L695" s="2" t="str">
        <f>IF(ISNUMBER(SEARCH("|",IMDB_Movies!$D695)),LEFT(IMDB_Movies!$D695,SEARCH("|",IMDB_Movies!$D695)-1),IMDB_Movies!$D695)</f>
        <v>Comedy</v>
      </c>
      <c r="V695" s="2"/>
      <c r="W695" s="2"/>
    </row>
    <row r="696" spans="1:23" ht="12.5" x14ac:dyDescent="0.25">
      <c r="A696" s="2" t="s">
        <v>460</v>
      </c>
      <c r="B696" s="2">
        <v>111</v>
      </c>
      <c r="C696" s="2">
        <v>90356857</v>
      </c>
      <c r="D696" s="2" t="s">
        <v>150</v>
      </c>
      <c r="E696" s="2" t="s">
        <v>1386</v>
      </c>
      <c r="F696" s="2" t="s">
        <v>14</v>
      </c>
      <c r="G696" s="2" t="s">
        <v>15</v>
      </c>
      <c r="H696" s="2">
        <v>58000000</v>
      </c>
      <c r="I696" s="2">
        <v>7.1</v>
      </c>
      <c r="J696" s="2">
        <f t="shared" si="4"/>
        <v>32356857</v>
      </c>
      <c r="K696" s="2">
        <f t="shared" si="5"/>
        <v>-3.6597406387488666E-3</v>
      </c>
      <c r="L696" s="2" t="str">
        <f>IF(ISNUMBER(SEARCH("|",IMDB_Movies!$D696)),LEFT(IMDB_Movies!$D696,SEARCH("|",IMDB_Movies!$D696)-1),IMDB_Movies!$D696)</f>
        <v>Action</v>
      </c>
      <c r="V696" s="2"/>
      <c r="W696" s="2"/>
    </row>
    <row r="697" spans="1:23" ht="12.5" x14ac:dyDescent="0.25">
      <c r="A697" s="2" t="s">
        <v>284</v>
      </c>
      <c r="B697" s="2">
        <v>156</v>
      </c>
      <c r="C697" s="2">
        <v>75530832</v>
      </c>
      <c r="D697" s="2" t="s">
        <v>1307</v>
      </c>
      <c r="E697" s="2" t="s">
        <v>1387</v>
      </c>
      <c r="F697" s="2" t="s">
        <v>14</v>
      </c>
      <c r="G697" s="2" t="s">
        <v>15</v>
      </c>
      <c r="H697" s="2">
        <v>55000000</v>
      </c>
      <c r="I697" s="2">
        <v>6.8</v>
      </c>
      <c r="J697" s="2">
        <f t="shared" si="4"/>
        <v>20530832</v>
      </c>
      <c r="K697" s="2">
        <f t="shared" si="5"/>
        <v>-3.7093663488866834E-3</v>
      </c>
      <c r="L697" s="2" t="str">
        <f>IF(ISNUMBER(SEARCH("|",IMDB_Movies!$D697)),LEFT(IMDB_Movies!$D697,SEARCH("|",IMDB_Movies!$D697)-1),IMDB_Movies!$D697)</f>
        <v>Drama</v>
      </c>
      <c r="V697" s="2"/>
      <c r="W697" s="2"/>
    </row>
    <row r="698" spans="1:23" ht="12.5" x14ac:dyDescent="0.25">
      <c r="A698" s="2" t="s">
        <v>1388</v>
      </c>
      <c r="B698" s="2">
        <v>170</v>
      </c>
      <c r="C698" s="2">
        <v>75370763</v>
      </c>
      <c r="D698" s="2" t="s">
        <v>1389</v>
      </c>
      <c r="E698" s="2" t="s">
        <v>1390</v>
      </c>
      <c r="F698" s="2" t="s">
        <v>14</v>
      </c>
      <c r="G698" s="2" t="s">
        <v>15</v>
      </c>
      <c r="H698" s="2">
        <v>60000000</v>
      </c>
      <c r="I698" s="2">
        <v>6.5</v>
      </c>
      <c r="J698" s="2">
        <f t="shared" si="4"/>
        <v>15370763</v>
      </c>
      <c r="K698" s="2">
        <f t="shared" si="5"/>
        <v>-3.7420319723045366E-3</v>
      </c>
      <c r="L698" s="2" t="str">
        <f>IF(ISNUMBER(SEARCH("|",IMDB_Movies!$D698)),LEFT(IMDB_Movies!$D698,SEARCH("|",IMDB_Movies!$D698)-1),IMDB_Movies!$D698)</f>
        <v>Drama</v>
      </c>
      <c r="V698" s="2"/>
      <c r="W698" s="2"/>
    </row>
    <row r="699" spans="1:23" ht="12.5" x14ac:dyDescent="0.25">
      <c r="A699" s="2" t="s">
        <v>584</v>
      </c>
      <c r="B699" s="2">
        <v>120</v>
      </c>
      <c r="C699" s="2">
        <v>100003492</v>
      </c>
      <c r="D699" s="2" t="s">
        <v>763</v>
      </c>
      <c r="E699" s="2" t="s">
        <v>1391</v>
      </c>
      <c r="F699" s="2" t="s">
        <v>14</v>
      </c>
      <c r="G699" s="2" t="s">
        <v>15</v>
      </c>
      <c r="H699" s="2">
        <v>65000000</v>
      </c>
      <c r="I699" s="2">
        <v>7.6</v>
      </c>
      <c r="J699" s="2">
        <f t="shared" si="4"/>
        <v>35003492</v>
      </c>
      <c r="K699" s="2">
        <f t="shared" si="5"/>
        <v>-3.7811936898471121E-3</v>
      </c>
      <c r="L699" s="2" t="str">
        <f>IF(ISNUMBER(SEARCH("|",IMDB_Movies!$D699)),LEFT(IMDB_Movies!$D699,SEARCH("|",IMDB_Movies!$D699)-1),IMDB_Movies!$D699)</f>
        <v>Crime</v>
      </c>
      <c r="V699" s="2"/>
      <c r="W699" s="2"/>
    </row>
    <row r="700" spans="1:23" ht="12.5" x14ac:dyDescent="0.25">
      <c r="A700" s="2" t="s">
        <v>625</v>
      </c>
      <c r="B700" s="2">
        <v>100</v>
      </c>
      <c r="C700" s="2">
        <v>90341670</v>
      </c>
      <c r="D700" s="2" t="s">
        <v>692</v>
      </c>
      <c r="E700" s="2" t="s">
        <v>1392</v>
      </c>
      <c r="F700" s="2" t="s">
        <v>14</v>
      </c>
      <c r="G700" s="2" t="s">
        <v>15</v>
      </c>
      <c r="H700" s="2">
        <v>60000000</v>
      </c>
      <c r="I700" s="2">
        <v>5.5</v>
      </c>
      <c r="J700" s="2">
        <f t="shared" si="4"/>
        <v>30341670</v>
      </c>
      <c r="K700" s="2">
        <f t="shared" si="5"/>
        <v>-3.8541608322328206E-3</v>
      </c>
      <c r="L700" s="2" t="str">
        <f>IF(ISNUMBER(SEARCH("|",IMDB_Movies!$D700)),LEFT(IMDB_Movies!$D700,SEARCH("|",IMDB_Movies!$D700)-1),IMDB_Movies!$D700)</f>
        <v>Action</v>
      </c>
      <c r="V700" s="2"/>
      <c r="W700" s="2"/>
    </row>
    <row r="701" spans="1:23" ht="12.5" x14ac:dyDescent="0.25">
      <c r="A701" s="2" t="s">
        <v>1393</v>
      </c>
      <c r="B701" s="2">
        <v>115</v>
      </c>
      <c r="C701" s="2">
        <v>74540762</v>
      </c>
      <c r="D701" s="2" t="s">
        <v>342</v>
      </c>
      <c r="E701" s="2" t="s">
        <v>1394</v>
      </c>
      <c r="F701" s="2" t="s">
        <v>14</v>
      </c>
      <c r="G701" s="2" t="s">
        <v>15</v>
      </c>
      <c r="H701" s="2">
        <v>55000000</v>
      </c>
      <c r="I701" s="2">
        <v>6.5</v>
      </c>
      <c r="J701" s="2">
        <f t="shared" si="4"/>
        <v>19540762</v>
      </c>
      <c r="K701" s="2">
        <f t="shared" si="5"/>
        <v>-3.9075815163376274E-3</v>
      </c>
      <c r="L701" s="2" t="str">
        <f>IF(ISNUMBER(SEARCH("|",IMDB_Movies!$D701)),LEFT(IMDB_Movies!$D701,SEARCH("|",IMDB_Movies!$D701)-1),IMDB_Movies!$D701)</f>
        <v>Action</v>
      </c>
      <c r="V701" s="2"/>
      <c r="W701" s="2"/>
    </row>
    <row r="702" spans="1:23" ht="12.5" x14ac:dyDescent="0.25">
      <c r="A702" s="2" t="s">
        <v>329</v>
      </c>
      <c r="B702" s="2">
        <v>130</v>
      </c>
      <c r="C702" s="2">
        <v>80033643</v>
      </c>
      <c r="D702" s="2" t="s">
        <v>440</v>
      </c>
      <c r="E702" s="2" t="s">
        <v>1395</v>
      </c>
      <c r="F702" s="2" t="s">
        <v>14</v>
      </c>
      <c r="G702" s="2" t="s">
        <v>15</v>
      </c>
      <c r="H702" s="2">
        <v>60000000</v>
      </c>
      <c r="I702" s="2">
        <v>7</v>
      </c>
      <c r="J702" s="2">
        <f t="shared" si="4"/>
        <v>20033643</v>
      </c>
      <c r="K702" s="2">
        <f t="shared" si="5"/>
        <v>-3.9396402733410368E-3</v>
      </c>
      <c r="L702" s="2" t="str">
        <f>IF(ISNUMBER(SEARCH("|",IMDB_Movies!$D702)),LEFT(IMDB_Movies!$D702,SEARCH("|",IMDB_Movies!$D702)-1),IMDB_Movies!$D702)</f>
        <v>Action</v>
      </c>
      <c r="V702" s="2"/>
      <c r="W702" s="2"/>
    </row>
    <row r="703" spans="1:23" ht="12.5" x14ac:dyDescent="0.25">
      <c r="A703" s="2" t="s">
        <v>744</v>
      </c>
      <c r="B703" s="2">
        <v>105</v>
      </c>
      <c r="C703" s="2">
        <v>73648142</v>
      </c>
      <c r="D703" s="2" t="s">
        <v>981</v>
      </c>
      <c r="E703" s="2" t="s">
        <v>1396</v>
      </c>
      <c r="F703" s="2" t="s">
        <v>14</v>
      </c>
      <c r="G703" s="2" t="s">
        <v>15</v>
      </c>
      <c r="H703" s="2">
        <v>60000000</v>
      </c>
      <c r="I703" s="2">
        <v>5.8</v>
      </c>
      <c r="J703" s="2">
        <f t="shared" si="4"/>
        <v>13648142</v>
      </c>
      <c r="K703" s="2">
        <f t="shared" si="5"/>
        <v>-3.9833893222980792E-3</v>
      </c>
      <c r="L703" s="2" t="str">
        <f>IF(ISNUMBER(SEARCH("|",IMDB_Movies!$D703)),LEFT(IMDB_Movies!$D703,SEARCH("|",IMDB_Movies!$D703)-1),IMDB_Movies!$D703)</f>
        <v>Action</v>
      </c>
      <c r="V703" s="2"/>
      <c r="W703" s="2"/>
    </row>
    <row r="704" spans="1:23" ht="12.5" x14ac:dyDescent="0.25">
      <c r="A704" s="2" t="s">
        <v>1397</v>
      </c>
      <c r="B704" s="2">
        <v>111</v>
      </c>
      <c r="C704" s="2">
        <v>71844424</v>
      </c>
      <c r="D704" s="2" t="s">
        <v>1398</v>
      </c>
      <c r="E704" s="2" t="s">
        <v>1399</v>
      </c>
      <c r="F704" s="2" t="s">
        <v>14</v>
      </c>
      <c r="G704" s="2" t="s">
        <v>15</v>
      </c>
      <c r="H704" s="2">
        <v>60000000</v>
      </c>
      <c r="I704" s="2">
        <v>7.3</v>
      </c>
      <c r="J704" s="2">
        <f t="shared" si="4"/>
        <v>11844424</v>
      </c>
      <c r="K704" s="2">
        <f t="shared" si="5"/>
        <v>-4.0211577613995571E-3</v>
      </c>
      <c r="L704" s="2" t="str">
        <f>IF(ISNUMBER(SEARCH("|",IMDB_Movies!$D704)),LEFT(IMDB_Movies!$D704,SEARCH("|",IMDB_Movies!$D704)-1),IMDB_Movies!$D704)</f>
        <v>Documentary</v>
      </c>
      <c r="V704" s="2"/>
      <c r="W704" s="2"/>
    </row>
    <row r="705" spans="1:23" ht="12.5" x14ac:dyDescent="0.25">
      <c r="A705" s="2" t="s">
        <v>549</v>
      </c>
      <c r="B705" s="2">
        <v>106</v>
      </c>
      <c r="C705" s="2">
        <v>75638743</v>
      </c>
      <c r="D705" s="2" t="s">
        <v>1400</v>
      </c>
      <c r="E705" s="2" t="s">
        <v>1401</v>
      </c>
      <c r="F705" s="2" t="s">
        <v>14</v>
      </c>
      <c r="G705" s="2" t="s">
        <v>15</v>
      </c>
      <c r="H705" s="2">
        <v>60000000</v>
      </c>
      <c r="I705" s="2">
        <v>6.6</v>
      </c>
      <c r="J705" s="2">
        <f t="shared" si="4"/>
        <v>15638743</v>
      </c>
      <c r="K705" s="2">
        <f t="shared" si="5"/>
        <v>-4.0572640752115042E-3</v>
      </c>
      <c r="L705" s="2" t="str">
        <f>IF(ISNUMBER(SEARCH("|",IMDB_Movies!$D705)),LEFT(IMDB_Movies!$D705,SEARCH("|",IMDB_Movies!$D705)-1),IMDB_Movies!$D705)</f>
        <v>Drama</v>
      </c>
      <c r="V705" s="2"/>
      <c r="W705" s="2"/>
    </row>
    <row r="706" spans="1:23" ht="12.5" x14ac:dyDescent="0.25">
      <c r="A706" s="2" t="s">
        <v>1402</v>
      </c>
      <c r="B706" s="2">
        <v>89</v>
      </c>
      <c r="C706" s="2">
        <v>66734992</v>
      </c>
      <c r="D706" s="2" t="s">
        <v>498</v>
      </c>
      <c r="E706" s="2" t="s">
        <v>1403</v>
      </c>
      <c r="F706" s="2" t="s">
        <v>14</v>
      </c>
      <c r="G706" s="2" t="s">
        <v>15</v>
      </c>
      <c r="H706" s="2">
        <v>60000000</v>
      </c>
      <c r="I706" s="2">
        <v>4.4000000000000004</v>
      </c>
      <c r="J706" s="2">
        <f t="shared" si="4"/>
        <v>6734992</v>
      </c>
      <c r="K706" s="2">
        <f t="shared" si="5"/>
        <v>-4.0969819938319833E-3</v>
      </c>
      <c r="L706" s="2" t="str">
        <f>IF(ISNUMBER(SEARCH("|",IMDB_Movies!$D706)),LEFT(IMDB_Movies!$D706,SEARCH("|",IMDB_Movies!$D706)-1),IMDB_Movies!$D706)</f>
        <v>Action</v>
      </c>
      <c r="V706" s="2"/>
      <c r="W706" s="2"/>
    </row>
    <row r="707" spans="1:23" ht="12.5" x14ac:dyDescent="0.25">
      <c r="A707" s="2" t="s">
        <v>1101</v>
      </c>
      <c r="B707" s="2">
        <v>100</v>
      </c>
      <c r="C707" s="2">
        <v>75280058</v>
      </c>
      <c r="D707" s="2" t="s">
        <v>1404</v>
      </c>
      <c r="E707" s="2" t="s">
        <v>1405</v>
      </c>
      <c r="F707" s="2" t="s">
        <v>14</v>
      </c>
      <c r="G707" s="2" t="s">
        <v>15</v>
      </c>
      <c r="H707" s="2">
        <v>60000000</v>
      </c>
      <c r="I707" s="2">
        <v>7.7</v>
      </c>
      <c r="J707" s="2">
        <f t="shared" si="4"/>
        <v>15280058</v>
      </c>
      <c r="K707" s="2">
        <f t="shared" si="5"/>
        <v>-4.1283535728662253E-3</v>
      </c>
      <c r="L707" s="2" t="str">
        <f>IF(ISNUMBER(SEARCH("|",IMDB_Movies!$D707)),LEFT(IMDB_Movies!$D707,SEARCH("|",IMDB_Movies!$D707)-1),IMDB_Movies!$D707)</f>
        <v>Animation</v>
      </c>
      <c r="V707" s="2"/>
      <c r="W707" s="2"/>
    </row>
    <row r="708" spans="1:23" ht="12.5" x14ac:dyDescent="0.25">
      <c r="A708" s="2" t="s">
        <v>339</v>
      </c>
      <c r="B708" s="2">
        <v>91</v>
      </c>
      <c r="C708" s="2">
        <v>64505912</v>
      </c>
      <c r="D708" s="2" t="s">
        <v>1025</v>
      </c>
      <c r="E708" s="2" t="s">
        <v>1406</v>
      </c>
      <c r="F708" s="2" t="s">
        <v>14</v>
      </c>
      <c r="G708" s="2" t="s">
        <v>15</v>
      </c>
      <c r="H708" s="2">
        <v>48000000</v>
      </c>
      <c r="I708" s="2">
        <v>5</v>
      </c>
      <c r="J708" s="2">
        <f t="shared" si="4"/>
        <v>16505912</v>
      </c>
      <c r="K708" s="2">
        <f t="shared" si="5"/>
        <v>-4.1678041976026831E-3</v>
      </c>
      <c r="L708" s="2" t="str">
        <f>IF(ISNUMBER(SEARCH("|",IMDB_Movies!$D708)),LEFT(IMDB_Movies!$D708,SEARCH("|",IMDB_Movies!$D708)-1),IMDB_Movies!$D708)</f>
        <v>Sci-Fi</v>
      </c>
      <c r="V708" s="2"/>
      <c r="W708" s="2"/>
    </row>
    <row r="709" spans="1:23" ht="12.5" x14ac:dyDescent="0.25">
      <c r="A709" s="2" t="s">
        <v>618</v>
      </c>
      <c r="B709" s="2">
        <v>146</v>
      </c>
      <c r="C709" s="2">
        <v>77862546</v>
      </c>
      <c r="D709" s="2" t="s">
        <v>177</v>
      </c>
      <c r="E709" s="2" t="s">
        <v>1407</v>
      </c>
      <c r="F709" s="2" t="s">
        <v>14</v>
      </c>
      <c r="G709" s="2" t="s">
        <v>15</v>
      </c>
      <c r="H709" s="2">
        <v>70000000</v>
      </c>
      <c r="I709" s="2">
        <v>7.7</v>
      </c>
      <c r="J709" s="2">
        <f t="shared" si="4"/>
        <v>7862546</v>
      </c>
      <c r="K709" s="2">
        <f t="shared" si="5"/>
        <v>-4.1853021797097168E-3</v>
      </c>
      <c r="L709" s="2" t="str">
        <f>IF(ISNUMBER(SEARCH("|",IMDB_Movies!$D709)),LEFT(IMDB_Movies!$D709,SEARCH("|",IMDB_Movies!$D709)-1),IMDB_Movies!$D709)</f>
        <v>Action</v>
      </c>
      <c r="V709" s="2"/>
      <c r="W709" s="2"/>
    </row>
    <row r="710" spans="1:23" ht="12.5" x14ac:dyDescent="0.25">
      <c r="A710" s="2" t="s">
        <v>1408</v>
      </c>
      <c r="B710" s="2">
        <v>98</v>
      </c>
      <c r="C710" s="2">
        <v>61112916</v>
      </c>
      <c r="D710" s="2" t="s">
        <v>204</v>
      </c>
      <c r="E710" s="2" t="s">
        <v>1409</v>
      </c>
      <c r="F710" s="2" t="s">
        <v>14</v>
      </c>
      <c r="G710" s="2" t="s">
        <v>15</v>
      </c>
      <c r="H710" s="2">
        <v>50000000</v>
      </c>
      <c r="I710" s="2">
        <v>4.4000000000000004</v>
      </c>
      <c r="J710" s="2">
        <f t="shared" si="4"/>
        <v>11112916</v>
      </c>
      <c r="K710" s="2">
        <f t="shared" si="5"/>
        <v>-4.2412965226983016E-3</v>
      </c>
      <c r="L710" s="2" t="str">
        <f>IF(ISNUMBER(SEARCH("|",IMDB_Movies!$D710)),LEFT(IMDB_Movies!$D710,SEARCH("|",IMDB_Movies!$D710)-1),IMDB_Movies!$D710)</f>
        <v>Comedy</v>
      </c>
      <c r="V710" s="2"/>
      <c r="W710" s="2"/>
    </row>
    <row r="711" spans="1:23" ht="12.5" x14ac:dyDescent="0.25">
      <c r="A711" s="2" t="s">
        <v>897</v>
      </c>
      <c r="B711" s="2">
        <v>101</v>
      </c>
      <c r="C711" s="2">
        <v>88200225</v>
      </c>
      <c r="D711" s="2" t="s">
        <v>375</v>
      </c>
      <c r="E711" s="2" t="s">
        <v>1410</v>
      </c>
      <c r="F711" s="2" t="s">
        <v>14</v>
      </c>
      <c r="G711" s="2" t="s">
        <v>15</v>
      </c>
      <c r="H711" s="2">
        <v>60000000</v>
      </c>
      <c r="I711" s="2">
        <v>6.1</v>
      </c>
      <c r="J711" s="2">
        <f t="shared" si="4"/>
        <v>28200225</v>
      </c>
      <c r="K711" s="2">
        <f t="shared" si="5"/>
        <v>-4.2586881114147499E-3</v>
      </c>
      <c r="L711" s="2" t="str">
        <f>IF(ISNUMBER(SEARCH("|",IMDB_Movies!$D711)),LEFT(IMDB_Movies!$D711,SEARCH("|",IMDB_Movies!$D711)-1),IMDB_Movies!$D711)</f>
        <v>Comedy</v>
      </c>
      <c r="V711" s="2"/>
      <c r="W711" s="2"/>
    </row>
    <row r="712" spans="1:23" ht="12.5" x14ac:dyDescent="0.25">
      <c r="A712" s="2" t="s">
        <v>1411</v>
      </c>
      <c r="B712" s="2">
        <v>94</v>
      </c>
      <c r="C712" s="2">
        <v>60573641</v>
      </c>
      <c r="D712" s="2" t="s">
        <v>1058</v>
      </c>
      <c r="E712" s="2" t="s">
        <v>1412</v>
      </c>
      <c r="F712" s="2" t="s">
        <v>14</v>
      </c>
      <c r="G712" s="2" t="s">
        <v>15</v>
      </c>
      <c r="H712" s="2">
        <v>60000000</v>
      </c>
      <c r="I712" s="2">
        <v>5.4</v>
      </c>
      <c r="J712" s="2">
        <f t="shared" si="4"/>
        <v>573641</v>
      </c>
      <c r="K712" s="2">
        <f t="shared" si="5"/>
        <v>-4.3105892442552784E-3</v>
      </c>
      <c r="L712" s="2" t="str">
        <f>IF(ISNUMBER(SEARCH("|",IMDB_Movies!$D712)),LEFT(IMDB_Movies!$D712,SEARCH("|",IMDB_Movies!$D712)-1),IMDB_Movies!$D712)</f>
        <v>Comedy</v>
      </c>
      <c r="V712" s="2"/>
      <c r="W712" s="2"/>
    </row>
    <row r="713" spans="1:23" ht="12.5" x14ac:dyDescent="0.25">
      <c r="A713" s="2" t="s">
        <v>138</v>
      </c>
      <c r="B713" s="2">
        <v>132</v>
      </c>
      <c r="C713" s="2">
        <v>59035104</v>
      </c>
      <c r="D713" s="2" t="s">
        <v>1413</v>
      </c>
      <c r="E713" s="2" t="s">
        <v>1414</v>
      </c>
      <c r="F713" s="2" t="s">
        <v>14</v>
      </c>
      <c r="G713" s="2" t="s">
        <v>15</v>
      </c>
      <c r="H713" s="2">
        <v>66000000</v>
      </c>
      <c r="I713" s="2">
        <v>6.8</v>
      </c>
      <c r="J713" s="2">
        <f t="shared" si="4"/>
        <v>-6964896</v>
      </c>
      <c r="K713" s="2">
        <f t="shared" si="5"/>
        <v>-4.3363503567002762E-3</v>
      </c>
      <c r="L713" s="2" t="str">
        <f>IF(ISNUMBER(SEARCH("|",IMDB_Movies!$D713)),LEFT(IMDB_Movies!$D713,SEARCH("|",IMDB_Movies!$D713)-1),IMDB_Movies!$D713)</f>
        <v>Action</v>
      </c>
      <c r="V713" s="2"/>
      <c r="W713" s="2"/>
    </row>
    <row r="714" spans="1:23" ht="12.5" x14ac:dyDescent="0.25">
      <c r="A714" s="2" t="s">
        <v>1415</v>
      </c>
      <c r="B714" s="2">
        <v>115</v>
      </c>
      <c r="C714" s="2">
        <v>56702901</v>
      </c>
      <c r="D714" s="2" t="s">
        <v>1180</v>
      </c>
      <c r="E714" s="2" t="s">
        <v>1416</v>
      </c>
      <c r="F714" s="2" t="s">
        <v>14</v>
      </c>
      <c r="G714" s="2" t="s">
        <v>15</v>
      </c>
      <c r="H714" s="2">
        <v>60000000</v>
      </c>
      <c r="I714" s="2">
        <v>6.5</v>
      </c>
      <c r="J714" s="2">
        <f t="shared" si="4"/>
        <v>-3297099</v>
      </c>
      <c r="K714" s="2">
        <f t="shared" si="5"/>
        <v>-4.3656043592441764E-3</v>
      </c>
      <c r="L714" s="2" t="str">
        <f>IF(ISNUMBER(SEARCH("|",IMDB_Movies!$D714)),LEFT(IMDB_Movies!$D714,SEARCH("|",IMDB_Movies!$D714)-1),IMDB_Movies!$D714)</f>
        <v>Drama</v>
      </c>
      <c r="V714" s="2"/>
      <c r="W714" s="2"/>
    </row>
    <row r="715" spans="1:23" ht="12.5" x14ac:dyDescent="0.25">
      <c r="A715" s="2" t="s">
        <v>1417</v>
      </c>
      <c r="B715" s="2">
        <v>92</v>
      </c>
      <c r="C715" s="2">
        <v>55994557</v>
      </c>
      <c r="D715" s="2" t="s">
        <v>106</v>
      </c>
      <c r="E715" s="2" t="s">
        <v>1418</v>
      </c>
      <c r="F715" s="2" t="s">
        <v>14</v>
      </c>
      <c r="G715" s="2" t="s">
        <v>15</v>
      </c>
      <c r="H715" s="2">
        <v>60000000</v>
      </c>
      <c r="I715" s="2">
        <v>7</v>
      </c>
      <c r="J715" s="2">
        <f t="shared" si="4"/>
        <v>-4005443</v>
      </c>
      <c r="K715" s="2">
        <f t="shared" si="5"/>
        <v>-4.3877812303717238E-3</v>
      </c>
      <c r="L715" s="2" t="str">
        <f>IF(ISNUMBER(SEARCH("|",IMDB_Movies!$D715)),LEFT(IMDB_Movies!$D715,SEARCH("|",IMDB_Movies!$D715)-1),IMDB_Movies!$D715)</f>
        <v>Adventure</v>
      </c>
      <c r="V715" s="2"/>
      <c r="W715" s="2"/>
    </row>
    <row r="716" spans="1:23" ht="12.5" x14ac:dyDescent="0.25">
      <c r="A716" s="2" t="s">
        <v>1219</v>
      </c>
      <c r="B716" s="2">
        <v>124</v>
      </c>
      <c r="C716" s="2">
        <v>54910560</v>
      </c>
      <c r="D716" s="2" t="s">
        <v>1156</v>
      </c>
      <c r="E716" s="2" t="s">
        <v>1419</v>
      </c>
      <c r="F716" s="2" t="s">
        <v>14</v>
      </c>
      <c r="G716" s="2" t="s">
        <v>15</v>
      </c>
      <c r="H716" s="2">
        <v>60000000</v>
      </c>
      <c r="I716" s="2">
        <v>6.3</v>
      </c>
      <c r="J716" s="2">
        <f t="shared" si="4"/>
        <v>-5089440</v>
      </c>
      <c r="K716" s="2">
        <f t="shared" si="5"/>
        <v>-4.4093122832240582E-3</v>
      </c>
      <c r="L716" s="2" t="str">
        <f>IF(ISNUMBER(SEARCH("|",IMDB_Movies!$D716)),LEFT(IMDB_Movies!$D716,SEARCH("|",IMDB_Movies!$D716)-1),IMDB_Movies!$D716)</f>
        <v>Action</v>
      </c>
      <c r="V716" s="2"/>
      <c r="W716" s="2"/>
    </row>
    <row r="717" spans="1:23" ht="12.5" x14ac:dyDescent="0.25">
      <c r="A717" s="2" t="s">
        <v>487</v>
      </c>
      <c r="B717" s="2">
        <v>119</v>
      </c>
      <c r="C717" s="2">
        <v>53789313</v>
      </c>
      <c r="D717" s="2" t="s">
        <v>589</v>
      </c>
      <c r="E717" s="2" t="s">
        <v>1420</v>
      </c>
      <c r="F717" s="2" t="s">
        <v>14</v>
      </c>
      <c r="G717" s="2" t="s">
        <v>15</v>
      </c>
      <c r="H717" s="2">
        <v>60000000</v>
      </c>
      <c r="I717" s="2">
        <v>6.3</v>
      </c>
      <c r="J717" s="2">
        <f t="shared" si="4"/>
        <v>-6210687</v>
      </c>
      <c r="K717" s="2">
        <f t="shared" si="5"/>
        <v>-4.4298457707443832E-3</v>
      </c>
      <c r="L717" s="2" t="str">
        <f>IF(ISNUMBER(SEARCH("|",IMDB_Movies!$D717)),LEFT(IMDB_Movies!$D717,SEARCH("|",IMDB_Movies!$D717)-1),IMDB_Movies!$D717)</f>
        <v>Action</v>
      </c>
      <c r="V717" s="2"/>
      <c r="W717" s="2"/>
    </row>
    <row r="718" spans="1:23" ht="12.5" x14ac:dyDescent="0.25">
      <c r="A718" s="2" t="s">
        <v>1421</v>
      </c>
      <c r="B718" s="2">
        <v>124</v>
      </c>
      <c r="C718" s="2">
        <v>51045801</v>
      </c>
      <c r="D718" s="2" t="s">
        <v>85</v>
      </c>
      <c r="E718" s="2" t="s">
        <v>1422</v>
      </c>
      <c r="F718" s="2" t="s">
        <v>14</v>
      </c>
      <c r="G718" s="2" t="s">
        <v>15</v>
      </c>
      <c r="H718" s="2">
        <v>60000000</v>
      </c>
      <c r="I718" s="2">
        <v>6.1</v>
      </c>
      <c r="J718" s="2">
        <f t="shared" si="4"/>
        <v>-8954199</v>
      </c>
      <c r="K718" s="2">
        <f t="shared" si="5"/>
        <v>-4.4493464449840781E-3</v>
      </c>
      <c r="L718" s="2" t="str">
        <f>IF(ISNUMBER(SEARCH("|",IMDB_Movies!$D718)),LEFT(IMDB_Movies!$D718,SEARCH("|",IMDB_Movies!$D718)-1),IMDB_Movies!$D718)</f>
        <v>Drama</v>
      </c>
      <c r="V718" s="2"/>
      <c r="W718" s="2"/>
    </row>
    <row r="719" spans="1:23" ht="12.5" x14ac:dyDescent="0.25">
      <c r="A719" s="2" t="s">
        <v>1423</v>
      </c>
      <c r="B719" s="2">
        <v>93</v>
      </c>
      <c r="C719" s="2">
        <v>50818750</v>
      </c>
      <c r="D719" s="2" t="s">
        <v>106</v>
      </c>
      <c r="E719" s="2" t="s">
        <v>1424</v>
      </c>
      <c r="F719" s="2" t="s">
        <v>14</v>
      </c>
      <c r="G719" s="2" t="s">
        <v>22</v>
      </c>
      <c r="H719" s="2">
        <v>60000000</v>
      </c>
      <c r="I719" s="2">
        <v>6.1</v>
      </c>
      <c r="J719" s="2">
        <f t="shared" si="4"/>
        <v>-9181250</v>
      </c>
      <c r="K719" s="2">
        <f t="shared" si="5"/>
        <v>-4.4663000788082224E-3</v>
      </c>
      <c r="L719" s="2" t="str">
        <f>IF(ISNUMBER(SEARCH("|",IMDB_Movies!$D719)),LEFT(IMDB_Movies!$D719,SEARCH("|",IMDB_Movies!$D719)-1),IMDB_Movies!$D719)</f>
        <v>Adventure</v>
      </c>
      <c r="V719" s="2"/>
      <c r="W719" s="2"/>
    </row>
    <row r="720" spans="1:23" ht="12.5" x14ac:dyDescent="0.25">
      <c r="A720" s="2" t="s">
        <v>1425</v>
      </c>
      <c r="B720" s="2">
        <v>98</v>
      </c>
      <c r="C720" s="2">
        <v>50189179</v>
      </c>
      <c r="D720" s="2" t="s">
        <v>682</v>
      </c>
      <c r="E720" s="2" t="s">
        <v>1426</v>
      </c>
      <c r="F720" s="2" t="s">
        <v>14</v>
      </c>
      <c r="G720" s="2" t="s">
        <v>15</v>
      </c>
      <c r="H720" s="2">
        <v>60000000</v>
      </c>
      <c r="I720" s="2">
        <v>5.3</v>
      </c>
      <c r="J720" s="2">
        <f t="shared" si="4"/>
        <v>-9810821</v>
      </c>
      <c r="K720" s="2">
        <f t="shared" si="5"/>
        <v>-4.4830540869194059E-3</v>
      </c>
      <c r="L720" s="2" t="str">
        <f>IF(ISNUMBER(SEARCH("|",IMDB_Movies!$D720)),LEFT(IMDB_Movies!$D720,SEARCH("|",IMDB_Movies!$D720)-1),IMDB_Movies!$D720)</f>
        <v>Action</v>
      </c>
      <c r="V720" s="2"/>
      <c r="W720" s="2"/>
    </row>
    <row r="721" spans="1:23" ht="12.5" x14ac:dyDescent="0.25">
      <c r="A721" s="2" t="s">
        <v>1427</v>
      </c>
      <c r="B721" s="2">
        <v>92</v>
      </c>
      <c r="C721" s="2">
        <v>50024083</v>
      </c>
      <c r="D721" s="2" t="s">
        <v>25</v>
      </c>
      <c r="E721" s="2" t="s">
        <v>1428</v>
      </c>
      <c r="F721" s="2" t="s">
        <v>14</v>
      </c>
      <c r="G721" s="2" t="s">
        <v>15</v>
      </c>
      <c r="H721" s="2">
        <v>60000000</v>
      </c>
      <c r="I721" s="2">
        <v>5.4</v>
      </c>
      <c r="J721" s="2">
        <f t="shared" si="4"/>
        <v>-9975917</v>
      </c>
      <c r="K721" s="2">
        <f t="shared" si="5"/>
        <v>-4.4992328096765963E-3</v>
      </c>
      <c r="L721" s="2" t="str">
        <f>IF(ISNUMBER(SEARCH("|",IMDB_Movies!$D721)),LEFT(IMDB_Movies!$D721,SEARCH("|",IMDB_Movies!$D721)-1),IMDB_Movies!$D721)</f>
        <v>Action</v>
      </c>
      <c r="V721" s="2"/>
      <c r="W721" s="2"/>
    </row>
    <row r="722" spans="1:23" ht="12.5" x14ac:dyDescent="0.25">
      <c r="A722" s="2" t="s">
        <v>317</v>
      </c>
      <c r="B722" s="2">
        <v>105</v>
      </c>
      <c r="C722" s="2">
        <v>50549107</v>
      </c>
      <c r="D722" s="2" t="s">
        <v>342</v>
      </c>
      <c r="E722" s="2" t="s">
        <v>1429</v>
      </c>
      <c r="F722" s="2" t="s">
        <v>14</v>
      </c>
      <c r="G722" s="2" t="s">
        <v>15</v>
      </c>
      <c r="H722" s="2">
        <v>60000000</v>
      </c>
      <c r="I722" s="2">
        <v>6.2</v>
      </c>
      <c r="J722" s="2">
        <f t="shared" si="4"/>
        <v>-9450893</v>
      </c>
      <c r="K722" s="2">
        <f t="shared" si="5"/>
        <v>-4.5152690445575188E-3</v>
      </c>
      <c r="L722" s="2" t="str">
        <f>IF(ISNUMBER(SEARCH("|",IMDB_Movies!$D722)),LEFT(IMDB_Movies!$D722,SEARCH("|",IMDB_Movies!$D722)-1),IMDB_Movies!$D722)</f>
        <v>Action</v>
      </c>
      <c r="V722" s="2"/>
      <c r="W722" s="2"/>
    </row>
    <row r="723" spans="1:23" ht="12.5" x14ac:dyDescent="0.25">
      <c r="A723" s="2" t="s">
        <v>1430</v>
      </c>
      <c r="B723" s="2">
        <v>124</v>
      </c>
      <c r="C723" s="2">
        <v>56443482</v>
      </c>
      <c r="D723" s="2" t="s">
        <v>1431</v>
      </c>
      <c r="E723" s="2" t="s">
        <v>1432</v>
      </c>
      <c r="F723" s="2" t="s">
        <v>14</v>
      </c>
      <c r="G723" s="2" t="s">
        <v>15</v>
      </c>
      <c r="H723" s="2">
        <v>60000000</v>
      </c>
      <c r="I723" s="2">
        <v>6.6</v>
      </c>
      <c r="J723" s="2">
        <f t="shared" si="4"/>
        <v>-3556518</v>
      </c>
      <c r="K723" s="2">
        <f t="shared" si="5"/>
        <v>-4.5318067676413465E-3</v>
      </c>
      <c r="L723" s="2" t="str">
        <f>IF(ISNUMBER(SEARCH("|",IMDB_Movies!$D723)),LEFT(IMDB_Movies!$D723,SEARCH("|",IMDB_Movies!$D723)-1),IMDB_Movies!$D723)</f>
        <v>Biography</v>
      </c>
      <c r="V723" s="2"/>
      <c r="W723" s="2"/>
    </row>
    <row r="724" spans="1:23" ht="12.5" x14ac:dyDescent="0.25">
      <c r="A724" s="2" t="s">
        <v>1433</v>
      </c>
      <c r="B724" s="2">
        <v>99</v>
      </c>
      <c r="C724" s="2">
        <v>62401264</v>
      </c>
      <c r="D724" s="2" t="s">
        <v>177</v>
      </c>
      <c r="E724" s="2" t="s">
        <v>1434</v>
      </c>
      <c r="F724" s="2" t="s">
        <v>14</v>
      </c>
      <c r="G724" s="2" t="s">
        <v>22</v>
      </c>
      <c r="H724" s="2">
        <v>60000000</v>
      </c>
      <c r="I724" s="2">
        <v>5.9</v>
      </c>
      <c r="J724" s="2">
        <f t="shared" si="4"/>
        <v>2401264</v>
      </c>
      <c r="K724" s="2">
        <f t="shared" si="5"/>
        <v>-4.5538763544327151E-3</v>
      </c>
      <c r="L724" s="2" t="str">
        <f>IF(ISNUMBER(SEARCH("|",IMDB_Movies!$D724)),LEFT(IMDB_Movies!$D724,SEARCH("|",IMDB_Movies!$D724)-1),IMDB_Movies!$D724)</f>
        <v>Action</v>
      </c>
      <c r="V724" s="2"/>
      <c r="W724" s="2"/>
    </row>
    <row r="725" spans="1:23" ht="12.5" x14ac:dyDescent="0.25">
      <c r="A725" s="2" t="s">
        <v>1435</v>
      </c>
      <c r="B725" s="2">
        <v>116</v>
      </c>
      <c r="C725" s="2">
        <v>47748610</v>
      </c>
      <c r="D725" s="2" t="s">
        <v>1436</v>
      </c>
      <c r="E725" s="2" t="s">
        <v>1437</v>
      </c>
      <c r="F725" s="2" t="s">
        <v>14</v>
      </c>
      <c r="G725" s="2" t="s">
        <v>15</v>
      </c>
      <c r="H725" s="2">
        <v>75000000</v>
      </c>
      <c r="I725" s="2">
        <v>6.3</v>
      </c>
      <c r="J725" s="2">
        <f t="shared" si="4"/>
        <v>-27251390</v>
      </c>
      <c r="K725" s="2">
        <f t="shared" si="5"/>
        <v>-4.5815744128113161E-3</v>
      </c>
      <c r="L725" s="2" t="str">
        <f>IF(ISNUMBER(SEARCH("|",IMDB_Movies!$D725)),LEFT(IMDB_Movies!$D725,SEARCH("|",IMDB_Movies!$D725)-1),IMDB_Movies!$D725)</f>
        <v>Action</v>
      </c>
      <c r="V725" s="2"/>
      <c r="W725" s="2"/>
    </row>
    <row r="726" spans="1:23" ht="12.5" x14ac:dyDescent="0.25">
      <c r="A726" s="2" t="s">
        <v>1071</v>
      </c>
      <c r="B726" s="2">
        <v>124</v>
      </c>
      <c r="C726" s="2">
        <v>46975183</v>
      </c>
      <c r="D726" s="2" t="s">
        <v>845</v>
      </c>
      <c r="E726" s="2" t="s">
        <v>1438</v>
      </c>
      <c r="F726" s="2" t="s">
        <v>14</v>
      </c>
      <c r="G726" s="2" t="s">
        <v>15</v>
      </c>
      <c r="H726" s="2">
        <v>61000000</v>
      </c>
      <c r="I726" s="2">
        <v>7.2</v>
      </c>
      <c r="J726" s="2">
        <f t="shared" si="4"/>
        <v>-14024817</v>
      </c>
      <c r="K726" s="2">
        <f t="shared" si="5"/>
        <v>-4.6025971635088861E-3</v>
      </c>
      <c r="L726" s="2" t="str">
        <f>IF(ISNUMBER(SEARCH("|",IMDB_Movies!$D726)),LEFT(IMDB_Movies!$D726,SEARCH("|",IMDB_Movies!$D726)-1),IMDB_Movies!$D726)</f>
        <v>Action</v>
      </c>
      <c r="V726" s="2"/>
      <c r="W726" s="2"/>
    </row>
    <row r="727" spans="1:23" ht="12.5" x14ac:dyDescent="0.25">
      <c r="A727" s="2" t="s">
        <v>1439</v>
      </c>
      <c r="B727" s="2">
        <v>96</v>
      </c>
      <c r="C727" s="2">
        <v>50807639</v>
      </c>
      <c r="D727" s="2" t="s">
        <v>106</v>
      </c>
      <c r="E727" s="2" t="s">
        <v>1440</v>
      </c>
      <c r="F727" s="2" t="s">
        <v>14</v>
      </c>
      <c r="G727" s="2" t="s">
        <v>15</v>
      </c>
      <c r="H727" s="2">
        <v>60000000</v>
      </c>
      <c r="I727" s="2">
        <v>6.8</v>
      </c>
      <c r="J727" s="2">
        <f t="shared" si="4"/>
        <v>-9192361</v>
      </c>
      <c r="K727" s="2">
        <f t="shared" si="5"/>
        <v>-4.6162997883186065E-3</v>
      </c>
      <c r="L727" s="2" t="str">
        <f>IF(ISNUMBER(SEARCH("|",IMDB_Movies!$D727)),LEFT(IMDB_Movies!$D727,SEARCH("|",IMDB_Movies!$D727)-1),IMDB_Movies!$D727)</f>
        <v>Adventure</v>
      </c>
      <c r="V727" s="2"/>
      <c r="W727" s="2"/>
    </row>
    <row r="728" spans="1:23" ht="12.5" x14ac:dyDescent="0.25">
      <c r="A728" s="2" t="s">
        <v>1441</v>
      </c>
      <c r="B728" s="2">
        <v>104</v>
      </c>
      <c r="C728" s="2">
        <v>46611204</v>
      </c>
      <c r="D728" s="2" t="s">
        <v>881</v>
      </c>
      <c r="E728" s="2" t="s">
        <v>1442</v>
      </c>
      <c r="F728" s="2" t="s">
        <v>14</v>
      </c>
      <c r="G728" s="2" t="s">
        <v>15</v>
      </c>
      <c r="H728" s="2">
        <v>48000000</v>
      </c>
      <c r="I728" s="2">
        <v>6.1</v>
      </c>
      <c r="J728" s="2">
        <f t="shared" si="4"/>
        <v>-1388796</v>
      </c>
      <c r="K728" s="2">
        <f t="shared" si="5"/>
        <v>-4.6331467124047059E-3</v>
      </c>
      <c r="L728" s="2" t="str">
        <f>IF(ISNUMBER(SEARCH("|",IMDB_Movies!$D728)),LEFT(IMDB_Movies!$D728,SEARCH("|",IMDB_Movies!$D728)-1),IMDB_Movies!$D728)</f>
        <v>Comedy</v>
      </c>
      <c r="V728" s="2"/>
      <c r="W728" s="2"/>
    </row>
    <row r="729" spans="1:23" ht="12.5" x14ac:dyDescent="0.25">
      <c r="A729" s="2" t="s">
        <v>754</v>
      </c>
      <c r="B729" s="2">
        <v>100</v>
      </c>
      <c r="C729" s="2">
        <v>257756197</v>
      </c>
      <c r="D729" s="2" t="s">
        <v>384</v>
      </c>
      <c r="E729" s="2" t="s">
        <v>1443</v>
      </c>
      <c r="F729" s="2" t="s">
        <v>14</v>
      </c>
      <c r="G729" s="2" t="s">
        <v>135</v>
      </c>
      <c r="H729" s="2">
        <v>60000000</v>
      </c>
      <c r="I729" s="2">
        <v>7.8</v>
      </c>
      <c r="J729" s="2">
        <f t="shared" si="4"/>
        <v>197756197</v>
      </c>
      <c r="K729" s="2">
        <f t="shared" si="5"/>
        <v>-4.6408606246962003E-3</v>
      </c>
      <c r="L729" s="2" t="str">
        <f>IF(ISNUMBER(SEARCH("|",IMDB_Movies!$D729)),LEFT(IMDB_Movies!$D729,SEARCH("|",IMDB_Movies!$D729)-1),IMDB_Movies!$D729)</f>
        <v>Action</v>
      </c>
      <c r="V729" s="2"/>
      <c r="W729" s="2"/>
    </row>
    <row r="730" spans="1:23" ht="12.5" x14ac:dyDescent="0.25">
      <c r="A730" s="2" t="s">
        <v>1444</v>
      </c>
      <c r="B730" s="2">
        <v>115</v>
      </c>
      <c r="C730" s="2">
        <v>48472213</v>
      </c>
      <c r="D730" s="2" t="s">
        <v>623</v>
      </c>
      <c r="E730" s="2" t="s">
        <v>1445</v>
      </c>
      <c r="F730" s="2" t="s">
        <v>14</v>
      </c>
      <c r="G730" s="2" t="s">
        <v>15</v>
      </c>
      <c r="H730" s="2">
        <v>45000000</v>
      </c>
      <c r="I730" s="2">
        <v>5</v>
      </c>
      <c r="J730" s="2">
        <f t="shared" si="4"/>
        <v>3472213</v>
      </c>
      <c r="K730" s="2">
        <f t="shared" si="5"/>
        <v>-4.8707319391235052E-3</v>
      </c>
      <c r="L730" s="2" t="str">
        <f>IF(ISNUMBER(SEARCH("|",IMDB_Movies!$D730)),LEFT(IMDB_Movies!$D730,SEARCH("|",IMDB_Movies!$D730)-1),IMDB_Movies!$D730)</f>
        <v>Action</v>
      </c>
      <c r="V730" s="2"/>
      <c r="W730" s="2"/>
    </row>
    <row r="731" spans="1:23" ht="12.5" x14ac:dyDescent="0.25">
      <c r="A731" s="2" t="s">
        <v>1248</v>
      </c>
      <c r="B731" s="2">
        <v>101</v>
      </c>
      <c r="C731" s="2">
        <v>43060566</v>
      </c>
      <c r="D731" s="2" t="s">
        <v>102</v>
      </c>
      <c r="E731" s="2" t="s">
        <v>1446</v>
      </c>
      <c r="F731" s="2" t="s">
        <v>14</v>
      </c>
      <c r="G731" s="2" t="s">
        <v>15</v>
      </c>
      <c r="H731" s="2">
        <v>60000000</v>
      </c>
      <c r="I731" s="2">
        <v>6.2</v>
      </c>
      <c r="J731" s="2">
        <f t="shared" si="4"/>
        <v>-16939434</v>
      </c>
      <c r="K731" s="2">
        <f t="shared" si="5"/>
        <v>-4.8780925069017711E-3</v>
      </c>
      <c r="L731" s="2" t="str">
        <f>IF(ISNUMBER(SEARCH("|",IMDB_Movies!$D731)),LEFT(IMDB_Movies!$D731,SEARCH("|",IMDB_Movies!$D731)-1),IMDB_Movies!$D731)</f>
        <v>Action</v>
      </c>
      <c r="V731" s="2"/>
      <c r="W731" s="2"/>
    </row>
    <row r="732" spans="1:23" ht="12.5" x14ac:dyDescent="0.25">
      <c r="A732" s="2" t="s">
        <v>1447</v>
      </c>
      <c r="B732" s="2">
        <v>113</v>
      </c>
      <c r="C732" s="2">
        <v>45996718</v>
      </c>
      <c r="D732" s="2" t="s">
        <v>177</v>
      </c>
      <c r="E732" s="2" t="s">
        <v>1448</v>
      </c>
      <c r="F732" s="2" t="s">
        <v>14</v>
      </c>
      <c r="G732" s="2" t="s">
        <v>15</v>
      </c>
      <c r="H732" s="2">
        <v>60000000</v>
      </c>
      <c r="I732" s="2">
        <v>6.7</v>
      </c>
      <c r="J732" s="2">
        <f t="shared" si="4"/>
        <v>-14003282</v>
      </c>
      <c r="K732" s="2">
        <f t="shared" si="5"/>
        <v>-4.8878548513673218E-3</v>
      </c>
      <c r="L732" s="2" t="str">
        <f>IF(ISNUMBER(SEARCH("|",IMDB_Movies!$D732)),LEFT(IMDB_Movies!$D732,SEARCH("|",IMDB_Movies!$D732)-1),IMDB_Movies!$D732)</f>
        <v>Action</v>
      </c>
      <c r="V732" s="2"/>
      <c r="W732" s="2"/>
    </row>
    <row r="733" spans="1:23" ht="12.5" x14ac:dyDescent="0.25">
      <c r="A733" s="2" t="s">
        <v>1449</v>
      </c>
      <c r="B733" s="2">
        <v>100</v>
      </c>
      <c r="C733" s="2">
        <v>43337279</v>
      </c>
      <c r="D733" s="2" t="s">
        <v>1450</v>
      </c>
      <c r="E733" s="2" t="s">
        <v>1451</v>
      </c>
      <c r="F733" s="2" t="s">
        <v>14</v>
      </c>
      <c r="G733" s="2" t="s">
        <v>15</v>
      </c>
      <c r="H733" s="2">
        <v>60000000</v>
      </c>
      <c r="I733" s="2">
        <v>4.9000000000000004</v>
      </c>
      <c r="J733" s="2">
        <f t="shared" si="4"/>
        <v>-16662721</v>
      </c>
      <c r="K733" s="2">
        <f t="shared" si="5"/>
        <v>-4.9003753910952155E-3</v>
      </c>
      <c r="L733" s="2" t="str">
        <f>IF(ISNUMBER(SEARCH("|",IMDB_Movies!$D733)),LEFT(IMDB_Movies!$D733,SEARCH("|",IMDB_Movies!$D733)-1),IMDB_Movies!$D733)</f>
        <v>Adventure</v>
      </c>
      <c r="V733" s="2"/>
      <c r="W733" s="2"/>
    </row>
    <row r="734" spans="1:23" ht="12.5" x14ac:dyDescent="0.25">
      <c r="A734" s="2" t="s">
        <v>1279</v>
      </c>
      <c r="B734" s="2">
        <v>134</v>
      </c>
      <c r="C734" s="2">
        <v>37479778</v>
      </c>
      <c r="D734" s="2" t="s">
        <v>1452</v>
      </c>
      <c r="E734" s="2" t="s">
        <v>1453</v>
      </c>
      <c r="F734" s="2" t="s">
        <v>14</v>
      </c>
      <c r="G734" s="2" t="s">
        <v>15</v>
      </c>
      <c r="H734" s="2">
        <v>60000000</v>
      </c>
      <c r="I734" s="2">
        <v>7.4</v>
      </c>
      <c r="J734" s="2">
        <f t="shared" si="4"/>
        <v>-22520222</v>
      </c>
      <c r="K734" s="2">
        <f t="shared" si="5"/>
        <v>-4.9104110881028158E-3</v>
      </c>
      <c r="L734" s="2" t="str">
        <f>IF(ISNUMBER(SEARCH("|",IMDB_Movies!$D734)),LEFT(IMDB_Movies!$D734,SEARCH("|",IMDB_Movies!$D734)-1),IMDB_Movies!$D734)</f>
        <v>Biography</v>
      </c>
      <c r="V734" s="2"/>
      <c r="W734" s="2"/>
    </row>
    <row r="735" spans="1:23" ht="12.5" x14ac:dyDescent="0.25">
      <c r="A735" s="2" t="s">
        <v>480</v>
      </c>
      <c r="B735" s="2">
        <v>125</v>
      </c>
      <c r="C735" s="2">
        <v>40559930</v>
      </c>
      <c r="D735" s="2" t="s">
        <v>1454</v>
      </c>
      <c r="E735" s="2" t="s">
        <v>1455</v>
      </c>
      <c r="F735" s="2" t="s">
        <v>14</v>
      </c>
      <c r="G735" s="2" t="s">
        <v>15</v>
      </c>
      <c r="H735" s="2">
        <v>60000000</v>
      </c>
      <c r="I735" s="2">
        <v>6.2</v>
      </c>
      <c r="J735" s="2">
        <f t="shared" si="4"/>
        <v>-19440070</v>
      </c>
      <c r="K735" s="2">
        <f t="shared" si="5"/>
        <v>-4.9149821679605361E-3</v>
      </c>
      <c r="L735" s="2" t="str">
        <f>IF(ISNUMBER(SEARCH("|",IMDB_Movies!$D735)),LEFT(IMDB_Movies!$D735,SEARCH("|",IMDB_Movies!$D735)-1),IMDB_Movies!$D735)</f>
        <v>Comedy</v>
      </c>
      <c r="V735" s="2"/>
      <c r="W735" s="2"/>
    </row>
    <row r="736" spans="1:23" ht="12.5" x14ac:dyDescent="0.25">
      <c r="A736" s="2" t="s">
        <v>1456</v>
      </c>
      <c r="B736" s="2">
        <v>94</v>
      </c>
      <c r="C736" s="2">
        <v>36830057</v>
      </c>
      <c r="D736" s="2" t="s">
        <v>932</v>
      </c>
      <c r="E736" s="2" t="s">
        <v>1457</v>
      </c>
      <c r="F736" s="2" t="s">
        <v>14</v>
      </c>
      <c r="G736" s="2" t="s">
        <v>15</v>
      </c>
      <c r="H736" s="2">
        <v>65000000</v>
      </c>
      <c r="I736" s="2">
        <v>4.9000000000000004</v>
      </c>
      <c r="J736" s="2">
        <f t="shared" si="4"/>
        <v>-28169943</v>
      </c>
      <c r="K736" s="2">
        <f t="shared" si="5"/>
        <v>-4.9224305333253979E-3</v>
      </c>
      <c r="L736" s="2" t="str">
        <f>IF(ISNUMBER(SEARCH("|",IMDB_Movies!$D736)),LEFT(IMDB_Movies!$D736,SEARCH("|",IMDB_Movies!$D736)-1),IMDB_Movies!$D736)</f>
        <v>Comedy</v>
      </c>
      <c r="V736" s="2"/>
      <c r="W736" s="2"/>
    </row>
    <row r="737" spans="1:23" ht="12.5" x14ac:dyDescent="0.25">
      <c r="A737" s="2" t="s">
        <v>1155</v>
      </c>
      <c r="B737" s="2">
        <v>107</v>
      </c>
      <c r="C737" s="2">
        <v>36279230</v>
      </c>
      <c r="D737" s="2" t="s">
        <v>125</v>
      </c>
      <c r="E737" s="2" t="s">
        <v>1458</v>
      </c>
      <c r="F737" s="2" t="s">
        <v>14</v>
      </c>
      <c r="G737" s="2" t="s">
        <v>15</v>
      </c>
      <c r="H737" s="2">
        <v>60000000</v>
      </c>
      <c r="I737" s="2">
        <v>6.1</v>
      </c>
      <c r="J737" s="2">
        <f t="shared" si="4"/>
        <v>-23720770</v>
      </c>
      <c r="K737" s="2">
        <f t="shared" si="5"/>
        <v>-4.9270747911437963E-3</v>
      </c>
      <c r="L737" s="2" t="str">
        <f>IF(ISNUMBER(SEARCH("|",IMDB_Movies!$D737)),LEFT(IMDB_Movies!$D737,SEARCH("|",IMDB_Movies!$D737)-1),IMDB_Movies!$D737)</f>
        <v>Action</v>
      </c>
      <c r="V737" s="2"/>
      <c r="W737" s="2"/>
    </row>
    <row r="738" spans="1:23" ht="12.5" x14ac:dyDescent="0.25">
      <c r="A738" s="2" t="s">
        <v>1459</v>
      </c>
      <c r="B738" s="2">
        <v>91</v>
      </c>
      <c r="C738" s="2">
        <v>42194060</v>
      </c>
      <c r="D738" s="2" t="s">
        <v>238</v>
      </c>
      <c r="E738" s="2" t="s">
        <v>1460</v>
      </c>
      <c r="F738" s="2" t="s">
        <v>14</v>
      </c>
      <c r="G738" s="2" t="s">
        <v>1239</v>
      </c>
      <c r="H738" s="2">
        <v>70000000</v>
      </c>
      <c r="I738" s="2">
        <v>6.1</v>
      </c>
      <c r="J738" s="2">
        <f t="shared" si="4"/>
        <v>-27805940</v>
      </c>
      <c r="K738" s="2">
        <f t="shared" si="5"/>
        <v>-4.9305372281383307E-3</v>
      </c>
      <c r="L738" s="2" t="str">
        <f>IF(ISNUMBER(SEARCH("|",IMDB_Movies!$D738)),LEFT(IMDB_Movies!$D738,SEARCH("|",IMDB_Movies!$D738)-1),IMDB_Movies!$D738)</f>
        <v>Adventure</v>
      </c>
      <c r="V738" s="2"/>
      <c r="W738" s="2"/>
    </row>
    <row r="739" spans="1:23" ht="12.5" x14ac:dyDescent="0.25">
      <c r="A739" s="2" t="s">
        <v>1461</v>
      </c>
      <c r="B739" s="2">
        <v>116</v>
      </c>
      <c r="C739" s="2">
        <v>43119879</v>
      </c>
      <c r="D739" s="2" t="s">
        <v>90</v>
      </c>
      <c r="E739" s="2" t="s">
        <v>1462</v>
      </c>
      <c r="F739" s="2" t="s">
        <v>14</v>
      </c>
      <c r="G739" s="2" t="s">
        <v>15</v>
      </c>
      <c r="H739" s="2">
        <v>60000000</v>
      </c>
      <c r="I739" s="2">
        <v>6.4</v>
      </c>
      <c r="J739" s="2">
        <f t="shared" si="4"/>
        <v>-16880121</v>
      </c>
      <c r="K739" s="2">
        <f t="shared" si="5"/>
        <v>-4.9425530508312877E-3</v>
      </c>
      <c r="L739" s="2" t="str">
        <f>IF(ISNUMBER(SEARCH("|",IMDB_Movies!$D739)),LEFT(IMDB_Movies!$D739,SEARCH("|",IMDB_Movies!$D739)-1),IMDB_Movies!$D739)</f>
        <v>Action</v>
      </c>
      <c r="V739" s="2"/>
      <c r="W739" s="2"/>
    </row>
    <row r="740" spans="1:23" ht="12.5" x14ac:dyDescent="0.25">
      <c r="A740" s="2" t="s">
        <v>1463</v>
      </c>
      <c r="B740" s="2">
        <v>100</v>
      </c>
      <c r="C740" s="2">
        <v>35096190</v>
      </c>
      <c r="D740" s="2" t="s">
        <v>1464</v>
      </c>
      <c r="E740" s="2" t="s">
        <v>1465</v>
      </c>
      <c r="F740" s="2" t="s">
        <v>14</v>
      </c>
      <c r="G740" s="2" t="s">
        <v>15</v>
      </c>
      <c r="H740" s="2">
        <v>60000000</v>
      </c>
      <c r="I740" s="2">
        <v>6.3</v>
      </c>
      <c r="J740" s="2">
        <f t="shared" si="4"/>
        <v>-24903810</v>
      </c>
      <c r="K740" s="2">
        <f t="shared" si="5"/>
        <v>-4.9524197794305639E-3</v>
      </c>
      <c r="L740" s="2" t="str">
        <f>IF(ISNUMBER(SEARCH("|",IMDB_Movies!$D740)),LEFT(IMDB_Movies!$D740,SEARCH("|",IMDB_Movies!$D740)-1),IMDB_Movies!$D740)</f>
        <v>Comedy</v>
      </c>
      <c r="V740" s="2"/>
      <c r="W740" s="2"/>
    </row>
    <row r="741" spans="1:23" ht="12.5" x14ac:dyDescent="0.25">
      <c r="A741" s="2" t="s">
        <v>118</v>
      </c>
      <c r="B741" s="2">
        <v>117</v>
      </c>
      <c r="C741" s="2">
        <v>43290977</v>
      </c>
      <c r="D741" s="2" t="s">
        <v>770</v>
      </c>
      <c r="E741" s="2" t="s">
        <v>1466</v>
      </c>
      <c r="F741" s="2" t="s">
        <v>14</v>
      </c>
      <c r="G741" s="2" t="s">
        <v>22</v>
      </c>
      <c r="H741" s="2">
        <v>80000000</v>
      </c>
      <c r="I741" s="2">
        <v>6.6</v>
      </c>
      <c r="J741" s="2">
        <f t="shared" si="4"/>
        <v>-36709023</v>
      </c>
      <c r="K741" s="2">
        <f t="shared" si="5"/>
        <v>-4.9547910569698074E-3</v>
      </c>
      <c r="L741" s="2" t="str">
        <f>IF(ISNUMBER(SEARCH("|",IMDB_Movies!$D741)),LEFT(IMDB_Movies!$D741,SEARCH("|",IMDB_Movies!$D741)-1),IMDB_Movies!$D741)</f>
        <v>Crime</v>
      </c>
      <c r="V741" s="2"/>
      <c r="W741" s="2"/>
    </row>
    <row r="742" spans="1:23" ht="12.5" x14ac:dyDescent="0.25">
      <c r="A742" s="2" t="s">
        <v>649</v>
      </c>
      <c r="B742" s="2">
        <v>110</v>
      </c>
      <c r="C742" s="2">
        <v>33927476</v>
      </c>
      <c r="D742" s="2" t="s">
        <v>1467</v>
      </c>
      <c r="E742" s="2" t="s">
        <v>1468</v>
      </c>
      <c r="F742" s="2" t="s">
        <v>14</v>
      </c>
      <c r="G742" s="2" t="s">
        <v>22</v>
      </c>
      <c r="H742" s="2">
        <v>40000000</v>
      </c>
      <c r="I742" s="2">
        <v>5.7</v>
      </c>
      <c r="J742" s="2">
        <f t="shared" si="4"/>
        <v>-6072524</v>
      </c>
      <c r="K742" s="2">
        <f t="shared" si="5"/>
        <v>-4.9715731211600039E-3</v>
      </c>
      <c r="L742" s="2" t="str">
        <f>IF(ISNUMBER(SEARCH("|",IMDB_Movies!$D742)),LEFT(IMDB_Movies!$D742,SEARCH("|",IMDB_Movies!$D742)-1),IMDB_Movies!$D742)</f>
        <v>Horror</v>
      </c>
      <c r="V742" s="2"/>
      <c r="W742" s="2"/>
    </row>
    <row r="743" spans="1:23" ht="12.5" x14ac:dyDescent="0.25">
      <c r="A743" s="2" t="s">
        <v>1449</v>
      </c>
      <c r="B743" s="2">
        <v>96</v>
      </c>
      <c r="C743" s="2">
        <v>32122249</v>
      </c>
      <c r="D743" s="2" t="s">
        <v>375</v>
      </c>
      <c r="E743" s="2" t="s">
        <v>1469</v>
      </c>
      <c r="F743" s="2" t="s">
        <v>14</v>
      </c>
      <c r="G743" s="2" t="s">
        <v>15</v>
      </c>
      <c r="H743" s="2">
        <v>60000000</v>
      </c>
      <c r="I743" s="2">
        <v>5.9</v>
      </c>
      <c r="J743" s="2">
        <f t="shared" si="4"/>
        <v>-27877751</v>
      </c>
      <c r="K743" s="2">
        <f t="shared" si="5"/>
        <v>-4.9719916885765398E-3</v>
      </c>
      <c r="L743" s="2" t="str">
        <f>IF(ISNUMBER(SEARCH("|",IMDB_Movies!$D743)),LEFT(IMDB_Movies!$D743,SEARCH("|",IMDB_Movies!$D743)-1),IMDB_Movies!$D743)</f>
        <v>Comedy</v>
      </c>
      <c r="V743" s="2"/>
      <c r="W743" s="2"/>
    </row>
    <row r="744" spans="1:23" ht="12.5" x14ac:dyDescent="0.25">
      <c r="A744" s="2" t="s">
        <v>1421</v>
      </c>
      <c r="B744" s="2">
        <v>101</v>
      </c>
      <c r="C744" s="2">
        <v>40076438</v>
      </c>
      <c r="D744" s="2" t="s">
        <v>845</v>
      </c>
      <c r="E744" s="2" t="s">
        <v>1470</v>
      </c>
      <c r="F744" s="2" t="s">
        <v>14</v>
      </c>
      <c r="G744" s="2" t="s">
        <v>15</v>
      </c>
      <c r="H744" s="2">
        <v>60000000</v>
      </c>
      <c r="I744" s="2">
        <v>6</v>
      </c>
      <c r="J744" s="2">
        <f t="shared" si="4"/>
        <v>-19923562</v>
      </c>
      <c r="K744" s="2">
        <f t="shared" si="5"/>
        <v>-4.9716013446383447E-3</v>
      </c>
      <c r="L744" s="2" t="str">
        <f>IF(ISNUMBER(SEARCH("|",IMDB_Movies!$D744)),LEFT(IMDB_Movies!$D744,SEARCH("|",IMDB_Movies!$D744)-1),IMDB_Movies!$D744)</f>
        <v>Action</v>
      </c>
      <c r="V744" s="2"/>
      <c r="W744" s="2"/>
    </row>
    <row r="745" spans="1:23" ht="12.5" x14ac:dyDescent="0.25">
      <c r="A745" s="2" t="s">
        <v>1471</v>
      </c>
      <c r="B745" s="2">
        <v>111</v>
      </c>
      <c r="C745" s="2">
        <v>32940507</v>
      </c>
      <c r="D745" s="2" t="s">
        <v>177</v>
      </c>
      <c r="E745" s="2" t="s">
        <v>1472</v>
      </c>
      <c r="F745" s="2" t="s">
        <v>14</v>
      </c>
      <c r="G745" s="2" t="s">
        <v>15</v>
      </c>
      <c r="H745" s="2">
        <v>60000000</v>
      </c>
      <c r="I745" s="2">
        <v>6.1</v>
      </c>
      <c r="J745" s="2">
        <f t="shared" si="4"/>
        <v>-27059493</v>
      </c>
      <c r="K745" s="2">
        <f t="shared" si="5"/>
        <v>-4.9786361455796896E-3</v>
      </c>
      <c r="L745" s="2" t="str">
        <f>IF(ISNUMBER(SEARCH("|",IMDB_Movies!$D745)),LEFT(IMDB_Movies!$D745,SEARCH("|",IMDB_Movies!$D745)-1),IMDB_Movies!$D745)</f>
        <v>Action</v>
      </c>
      <c r="V745" s="2"/>
      <c r="W745" s="2"/>
    </row>
    <row r="746" spans="1:23" ht="12.5" x14ac:dyDescent="0.25">
      <c r="A746" s="2" t="s">
        <v>348</v>
      </c>
      <c r="B746" s="2">
        <v>117</v>
      </c>
      <c r="C746" s="2">
        <v>31670931</v>
      </c>
      <c r="D746" s="2" t="s">
        <v>1473</v>
      </c>
      <c r="E746" s="2" t="s">
        <v>1474</v>
      </c>
      <c r="F746" s="2" t="s">
        <v>14</v>
      </c>
      <c r="G746" s="2" t="s">
        <v>22</v>
      </c>
      <c r="H746" s="2">
        <v>60000000</v>
      </c>
      <c r="I746" s="2">
        <v>6.7</v>
      </c>
      <c r="J746" s="2">
        <f t="shared" si="4"/>
        <v>-28329069</v>
      </c>
      <c r="K746" s="2">
        <f t="shared" si="5"/>
        <v>-4.9790091838081843E-3</v>
      </c>
      <c r="L746" s="2" t="str">
        <f>IF(ISNUMBER(SEARCH("|",IMDB_Movies!$D746)),LEFT(IMDB_Movies!$D746,SEARCH("|",IMDB_Movies!$D746)-1),IMDB_Movies!$D746)</f>
        <v>Biography</v>
      </c>
      <c r="V746" s="2"/>
      <c r="W746" s="2"/>
    </row>
    <row r="747" spans="1:23" ht="12.5" x14ac:dyDescent="0.25">
      <c r="A747" s="2" t="s">
        <v>1388</v>
      </c>
      <c r="B747" s="2">
        <v>126</v>
      </c>
      <c r="C747" s="2">
        <v>30695227</v>
      </c>
      <c r="D747" s="2" t="s">
        <v>1475</v>
      </c>
      <c r="E747" s="2" t="s">
        <v>1476</v>
      </c>
      <c r="F747" s="2" t="s">
        <v>14</v>
      </c>
      <c r="G747" s="2" t="s">
        <v>15</v>
      </c>
      <c r="H747" s="2">
        <v>60000000</v>
      </c>
      <c r="I747" s="2">
        <v>6.7</v>
      </c>
      <c r="J747" s="2">
        <f t="shared" si="4"/>
        <v>-29304773</v>
      </c>
      <c r="K747" s="2">
        <f t="shared" si="5"/>
        <v>-4.9782009010700123E-3</v>
      </c>
      <c r="L747" s="2" t="str">
        <f>IF(ISNUMBER(SEARCH("|",IMDB_Movies!$D747)),LEFT(IMDB_Movies!$D747,SEARCH("|",IMDB_Movies!$D747)-1),IMDB_Movies!$D747)</f>
        <v>Drama</v>
      </c>
      <c r="V747" s="2"/>
      <c r="W747" s="2"/>
    </row>
    <row r="748" spans="1:23" ht="12.5" x14ac:dyDescent="0.25">
      <c r="A748" s="2" t="s">
        <v>1158</v>
      </c>
      <c r="B748" s="2">
        <v>152</v>
      </c>
      <c r="C748" s="2">
        <v>32522352</v>
      </c>
      <c r="D748" s="2" t="s">
        <v>1477</v>
      </c>
      <c r="E748" s="2" t="s">
        <v>1478</v>
      </c>
      <c r="F748" s="2" t="s">
        <v>14</v>
      </c>
      <c r="G748" s="2" t="s">
        <v>15</v>
      </c>
      <c r="H748" s="2">
        <v>60000000</v>
      </c>
      <c r="I748" s="2">
        <v>7.9</v>
      </c>
      <c r="J748" s="2">
        <f t="shared" si="4"/>
        <v>-27477648</v>
      </c>
      <c r="K748" s="2">
        <f t="shared" si="5"/>
        <v>-4.9764847144050722E-3</v>
      </c>
      <c r="L748" s="2" t="str">
        <f>IF(ISNUMBER(SEARCH("|",IMDB_Movies!$D748)),LEFT(IMDB_Movies!$D748,SEARCH("|",IMDB_Movies!$D748)-1),IMDB_Movies!$D748)</f>
        <v>Adventure</v>
      </c>
      <c r="V748" s="2"/>
      <c r="W748" s="2"/>
    </row>
    <row r="749" spans="1:23" ht="12.5" x14ac:dyDescent="0.25">
      <c r="A749" s="2" t="s">
        <v>355</v>
      </c>
      <c r="B749" s="2">
        <v>101</v>
      </c>
      <c r="C749" s="2">
        <v>26082914</v>
      </c>
      <c r="D749" s="2" t="s">
        <v>1156</v>
      </c>
      <c r="E749" s="2" t="s">
        <v>1479</v>
      </c>
      <c r="F749" s="2" t="s">
        <v>14</v>
      </c>
      <c r="G749" s="2" t="s">
        <v>15</v>
      </c>
      <c r="H749" s="2">
        <v>87000000</v>
      </c>
      <c r="I749" s="2">
        <v>4.3</v>
      </c>
      <c r="J749" s="2">
        <f t="shared" si="4"/>
        <v>-60917086</v>
      </c>
      <c r="K749" s="2">
        <f t="shared" si="5"/>
        <v>-4.9764678211029582E-3</v>
      </c>
      <c r="L749" s="2" t="str">
        <f>IF(ISNUMBER(SEARCH("|",IMDB_Movies!$D749)),LEFT(IMDB_Movies!$D749,SEARCH("|",IMDB_Movies!$D749)-1),IMDB_Movies!$D749)</f>
        <v>Action</v>
      </c>
      <c r="V749" s="2"/>
      <c r="W749" s="2"/>
    </row>
    <row r="750" spans="1:23" ht="12.5" x14ac:dyDescent="0.25">
      <c r="A750" s="2" t="s">
        <v>1480</v>
      </c>
      <c r="B750" s="2">
        <v>87</v>
      </c>
      <c r="C750" s="2">
        <v>29136626</v>
      </c>
      <c r="D750" s="2" t="s">
        <v>1481</v>
      </c>
      <c r="E750" s="2" t="s">
        <v>1482</v>
      </c>
      <c r="F750" s="2" t="s">
        <v>14</v>
      </c>
      <c r="G750" s="2" t="s">
        <v>15</v>
      </c>
      <c r="H750" s="2">
        <v>60000000</v>
      </c>
      <c r="I750" s="2">
        <v>5.7</v>
      </c>
      <c r="J750" s="2">
        <f t="shared" si="4"/>
        <v>-30863374</v>
      </c>
      <c r="K750" s="2">
        <f t="shared" si="5"/>
        <v>-4.9650288526629505E-3</v>
      </c>
      <c r="L750" s="2" t="str">
        <f>IF(ISNUMBER(SEARCH("|",IMDB_Movies!$D750)),LEFT(IMDB_Movies!$D750,SEARCH("|",IMDB_Movies!$D750)-1),IMDB_Movies!$D750)</f>
        <v>Action</v>
      </c>
      <c r="V750" s="2"/>
      <c r="W750" s="2"/>
    </row>
    <row r="751" spans="1:23" ht="12.5" x14ac:dyDescent="0.25">
      <c r="A751" s="2" t="s">
        <v>1483</v>
      </c>
      <c r="B751" s="2">
        <v>85</v>
      </c>
      <c r="C751" s="2">
        <v>26288320</v>
      </c>
      <c r="D751" s="2" t="s">
        <v>1484</v>
      </c>
      <c r="E751" s="2" t="s">
        <v>1485</v>
      </c>
      <c r="F751" s="2" t="s">
        <v>14</v>
      </c>
      <c r="G751" s="2" t="s">
        <v>15</v>
      </c>
      <c r="H751" s="2">
        <v>60000000</v>
      </c>
      <c r="I751" s="2">
        <v>6.7</v>
      </c>
      <c r="J751" s="2">
        <f t="shared" si="4"/>
        <v>-33711680</v>
      </c>
      <c r="K751" s="2">
        <f t="shared" si="5"/>
        <v>-4.9618583073292432E-3</v>
      </c>
      <c r="L751" s="2" t="str">
        <f>IF(ISNUMBER(SEARCH("|",IMDB_Movies!$D751)),LEFT(IMDB_Movies!$D751,SEARCH("|",IMDB_Movies!$D751)-1),IMDB_Movies!$D751)</f>
        <v>Adventure</v>
      </c>
      <c r="V751" s="2"/>
      <c r="W751" s="2"/>
    </row>
    <row r="752" spans="1:23" ht="12.5" x14ac:dyDescent="0.25">
      <c r="A752" s="2" t="s">
        <v>831</v>
      </c>
      <c r="B752" s="2">
        <v>130</v>
      </c>
      <c r="C752" s="2">
        <v>26616590</v>
      </c>
      <c r="D752" s="2" t="s">
        <v>1486</v>
      </c>
      <c r="E752" s="2" t="s">
        <v>1487</v>
      </c>
      <c r="F752" s="2" t="s">
        <v>14</v>
      </c>
      <c r="G752" s="2" t="s">
        <v>22</v>
      </c>
      <c r="H752" s="2">
        <v>60000000</v>
      </c>
      <c r="I752" s="2">
        <v>6.7</v>
      </c>
      <c r="J752" s="2">
        <f t="shared" si="4"/>
        <v>-33383410</v>
      </c>
      <c r="K752" s="2">
        <f t="shared" si="5"/>
        <v>-4.9560414717761299E-3</v>
      </c>
      <c r="L752" s="2" t="str">
        <f>IF(ISNUMBER(SEARCH("|",IMDB_Movies!$D752)),LEFT(IMDB_Movies!$D752,SEARCH("|",IMDB_Movies!$D752)-1),IMDB_Movies!$D752)</f>
        <v>Horror</v>
      </c>
      <c r="V752" s="2"/>
      <c r="W752" s="2"/>
    </row>
    <row r="753" spans="1:23" ht="12.5" x14ac:dyDescent="0.25">
      <c r="A753" s="2" t="s">
        <v>203</v>
      </c>
      <c r="B753" s="2">
        <v>104</v>
      </c>
      <c r="C753" s="2">
        <v>30063805</v>
      </c>
      <c r="D753" s="2" t="s">
        <v>1488</v>
      </c>
      <c r="E753" s="2" t="s">
        <v>1489</v>
      </c>
      <c r="F753" s="2" t="s">
        <v>14</v>
      </c>
      <c r="G753" s="2" t="s">
        <v>15</v>
      </c>
      <c r="H753" s="2">
        <v>60000000</v>
      </c>
      <c r="I753" s="2">
        <v>6.1</v>
      </c>
      <c r="J753" s="2">
        <f t="shared" si="4"/>
        <v>-29936195</v>
      </c>
      <c r="K753" s="2">
        <f t="shared" si="5"/>
        <v>-4.9505252065008319E-3</v>
      </c>
      <c r="L753" s="2" t="str">
        <f>IF(ISNUMBER(SEARCH("|",IMDB_Movies!$D753)),LEFT(IMDB_Movies!$D753,SEARCH("|",IMDB_Movies!$D753)-1),IMDB_Movies!$D753)</f>
        <v>Drama</v>
      </c>
      <c r="V753" s="2"/>
      <c r="W753" s="2"/>
    </row>
    <row r="754" spans="1:23" ht="12.5" x14ac:dyDescent="0.25">
      <c r="A754" s="2" t="s">
        <v>803</v>
      </c>
      <c r="B754" s="2">
        <v>121</v>
      </c>
      <c r="C754" s="2">
        <v>22518325</v>
      </c>
      <c r="D754" s="2" t="s">
        <v>770</v>
      </c>
      <c r="E754" s="2" t="s">
        <v>1490</v>
      </c>
      <c r="F754" s="2" t="s">
        <v>14</v>
      </c>
      <c r="G754" s="2" t="s">
        <v>287</v>
      </c>
      <c r="H754" s="2">
        <v>50000000</v>
      </c>
      <c r="I754" s="2">
        <v>5.6</v>
      </c>
      <c r="J754" s="2">
        <f t="shared" si="4"/>
        <v>-27481675</v>
      </c>
      <c r="K754" s="2">
        <f t="shared" si="5"/>
        <v>-4.9482095499653808E-3</v>
      </c>
      <c r="L754" s="2" t="str">
        <f>IF(ISNUMBER(SEARCH("|",IMDB_Movies!$D754)),LEFT(IMDB_Movies!$D754,SEARCH("|",IMDB_Movies!$D754)-1),IMDB_Movies!$D754)</f>
        <v>Crime</v>
      </c>
      <c r="V754" s="2"/>
      <c r="W754" s="2"/>
    </row>
    <row r="755" spans="1:23" ht="12.5" x14ac:dyDescent="0.25">
      <c r="A755" s="2" t="s">
        <v>1491</v>
      </c>
      <c r="B755" s="2">
        <v>140</v>
      </c>
      <c r="C755" s="2">
        <v>13082288</v>
      </c>
      <c r="D755" s="2" t="s">
        <v>1492</v>
      </c>
      <c r="E755" s="2" t="s">
        <v>1493</v>
      </c>
      <c r="F755" s="2" t="s">
        <v>14</v>
      </c>
      <c r="G755" s="2" t="s">
        <v>22</v>
      </c>
      <c r="H755" s="2">
        <v>60000000</v>
      </c>
      <c r="I755" s="2">
        <v>6.6</v>
      </c>
      <c r="J755" s="2">
        <f t="shared" si="4"/>
        <v>-46917712</v>
      </c>
      <c r="K755" s="2">
        <f t="shared" si="5"/>
        <v>-4.9420293233228751E-3</v>
      </c>
      <c r="L755" s="2" t="str">
        <f>IF(ISNUMBER(SEARCH("|",IMDB_Movies!$D755)),LEFT(IMDB_Movies!$D755,SEARCH("|",IMDB_Movies!$D755)-1),IMDB_Movies!$D755)</f>
        <v>Action</v>
      </c>
      <c r="V755" s="2"/>
      <c r="W755" s="2"/>
    </row>
    <row r="756" spans="1:23" ht="12.5" x14ac:dyDescent="0.25">
      <c r="A756" s="2" t="s">
        <v>1494</v>
      </c>
      <c r="B756" s="2">
        <v>131</v>
      </c>
      <c r="C756" s="2">
        <v>18208078</v>
      </c>
      <c r="D756" s="2" t="s">
        <v>342</v>
      </c>
      <c r="E756" s="2" t="s">
        <v>1495</v>
      </c>
      <c r="F756" s="2" t="s">
        <v>14</v>
      </c>
      <c r="G756" s="2" t="s">
        <v>15</v>
      </c>
      <c r="H756" s="2">
        <v>60000000</v>
      </c>
      <c r="I756" s="2">
        <v>6.9</v>
      </c>
      <c r="J756" s="2">
        <f t="shared" si="4"/>
        <v>-41791922</v>
      </c>
      <c r="K756" s="2">
        <f t="shared" si="5"/>
        <v>-4.9240182822342122E-3</v>
      </c>
      <c r="L756" s="2" t="str">
        <f>IF(ISNUMBER(SEARCH("|",IMDB_Movies!$D756)),LEFT(IMDB_Movies!$D756,SEARCH("|",IMDB_Movies!$D756)-1),IMDB_Movies!$D756)</f>
        <v>Action</v>
      </c>
      <c r="V756" s="2"/>
      <c r="W756" s="2"/>
    </row>
    <row r="757" spans="1:23" ht="12.5" x14ac:dyDescent="0.25">
      <c r="A757" s="2" t="s">
        <v>1496</v>
      </c>
      <c r="B757" s="2">
        <v>91</v>
      </c>
      <c r="C757" s="2">
        <v>14218868</v>
      </c>
      <c r="D757" s="2" t="s">
        <v>1486</v>
      </c>
      <c r="E757" s="2" t="s">
        <v>1497</v>
      </c>
      <c r="F757" s="2" t="s">
        <v>14</v>
      </c>
      <c r="G757" s="2" t="s">
        <v>15</v>
      </c>
      <c r="H757" s="2">
        <v>65000000</v>
      </c>
      <c r="I757" s="2">
        <v>4.8</v>
      </c>
      <c r="J757" s="2">
        <f t="shared" si="4"/>
        <v>-50781132</v>
      </c>
      <c r="K757" s="2">
        <f t="shared" si="5"/>
        <v>-4.9107046783536034E-3</v>
      </c>
      <c r="L757" s="2" t="str">
        <f>IF(ISNUMBER(SEARCH("|",IMDB_Movies!$D757)),LEFT(IMDB_Movies!$D757,SEARCH("|",IMDB_Movies!$D757)-1),IMDB_Movies!$D757)</f>
        <v>Horror</v>
      </c>
      <c r="V757" s="2"/>
      <c r="W757" s="2"/>
    </row>
    <row r="758" spans="1:23" ht="12.5" x14ac:dyDescent="0.25">
      <c r="A758" s="2" t="s">
        <v>1498</v>
      </c>
      <c r="B758" s="2">
        <v>118</v>
      </c>
      <c r="C758" s="2">
        <v>22451</v>
      </c>
      <c r="D758" s="2" t="s">
        <v>1499</v>
      </c>
      <c r="E758" s="2" t="s">
        <v>1500</v>
      </c>
      <c r="F758" s="2" t="s">
        <v>14</v>
      </c>
      <c r="G758" s="2" t="s">
        <v>15</v>
      </c>
      <c r="H758" s="2">
        <v>60000000</v>
      </c>
      <c r="I758" s="2">
        <v>6.2</v>
      </c>
      <c r="J758" s="2">
        <f t="shared" si="4"/>
        <v>-59977549</v>
      </c>
      <c r="K758" s="2">
        <f t="shared" si="5"/>
        <v>-4.8908411824917933E-3</v>
      </c>
      <c r="L758" s="2" t="str">
        <f>IF(ISNUMBER(SEARCH("|",IMDB_Movies!$D758)),LEFT(IMDB_Movies!$D758,SEARCH("|",IMDB_Movies!$D758)-1),IMDB_Movies!$D758)</f>
        <v>Drama</v>
      </c>
      <c r="V758" s="2"/>
      <c r="W758" s="2"/>
    </row>
    <row r="759" spans="1:23" ht="12.5" x14ac:dyDescent="0.25">
      <c r="A759" s="2" t="s">
        <v>1501</v>
      </c>
      <c r="B759" s="2">
        <v>130</v>
      </c>
      <c r="C759" s="2">
        <v>31165421</v>
      </c>
      <c r="D759" s="2" t="s">
        <v>1502</v>
      </c>
      <c r="E759" s="2" t="s">
        <v>1503</v>
      </c>
      <c r="F759" s="2" t="s">
        <v>14</v>
      </c>
      <c r="G759" s="2" t="s">
        <v>15</v>
      </c>
      <c r="H759" s="2">
        <v>60000000</v>
      </c>
      <c r="I759" s="2">
        <v>6</v>
      </c>
      <c r="J759" s="2">
        <f t="shared" si="4"/>
        <v>-28834579</v>
      </c>
      <c r="K759" s="2">
        <f t="shared" si="5"/>
        <v>-4.8608843004318272E-3</v>
      </c>
      <c r="L759" s="2" t="str">
        <f>IF(ISNUMBER(SEARCH("|",IMDB_Movies!$D759)),LEFT(IMDB_Movies!$D759,SEARCH("|",IMDB_Movies!$D759)-1),IMDB_Movies!$D759)</f>
        <v>Fantasy</v>
      </c>
      <c r="V759" s="2"/>
      <c r="W759" s="2"/>
    </row>
    <row r="760" spans="1:23" ht="12.5" x14ac:dyDescent="0.25">
      <c r="A760" s="2" t="s">
        <v>1408</v>
      </c>
      <c r="B760" s="2">
        <v>90</v>
      </c>
      <c r="C760" s="2">
        <v>11802056</v>
      </c>
      <c r="D760" s="2" t="s">
        <v>1504</v>
      </c>
      <c r="E760" s="2" t="s">
        <v>1505</v>
      </c>
      <c r="F760" s="2" t="s">
        <v>14</v>
      </c>
      <c r="G760" s="2" t="s">
        <v>15</v>
      </c>
      <c r="H760" s="2">
        <v>60000000</v>
      </c>
      <c r="I760" s="2">
        <v>4.9000000000000004</v>
      </c>
      <c r="J760" s="2">
        <f t="shared" si="4"/>
        <v>-48197944</v>
      </c>
      <c r="K760" s="2">
        <f t="shared" si="5"/>
        <v>-4.8595619564719434E-3</v>
      </c>
      <c r="L760" s="2" t="str">
        <f>IF(ISNUMBER(SEARCH("|",IMDB_Movies!$D760)),LEFT(IMDB_Movies!$D760,SEARCH("|",IMDB_Movies!$D760)-1),IMDB_Movies!$D760)</f>
        <v>Adventure</v>
      </c>
      <c r="V760" s="2"/>
      <c r="W760" s="2"/>
    </row>
    <row r="761" spans="1:23" ht="12.5" x14ac:dyDescent="0.25">
      <c r="A761" s="2" t="s">
        <v>1506</v>
      </c>
      <c r="B761" s="2">
        <v>103</v>
      </c>
      <c r="C761" s="2">
        <v>25472967</v>
      </c>
      <c r="D761" s="2" t="s">
        <v>1507</v>
      </c>
      <c r="E761" s="2" t="s">
        <v>1508</v>
      </c>
      <c r="F761" s="2" t="s">
        <v>14</v>
      </c>
      <c r="G761" s="2" t="s">
        <v>15</v>
      </c>
      <c r="H761" s="2">
        <v>30000000</v>
      </c>
      <c r="I761" s="2">
        <v>5.6</v>
      </c>
      <c r="J761" s="2">
        <f t="shared" si="4"/>
        <v>-4527033</v>
      </c>
      <c r="K761" s="2">
        <f t="shared" si="5"/>
        <v>-4.8403122240741215E-3</v>
      </c>
      <c r="L761" s="2" t="str">
        <f>IF(ISNUMBER(SEARCH("|",IMDB_Movies!$D761)),LEFT(IMDB_Movies!$D761,SEARCH("|",IMDB_Movies!$D761)-1),IMDB_Movies!$D761)</f>
        <v>Drama</v>
      </c>
      <c r="V761" s="2"/>
      <c r="W761" s="2"/>
    </row>
    <row r="762" spans="1:23" ht="12.5" x14ac:dyDescent="0.25">
      <c r="A762" s="2" t="s">
        <v>314</v>
      </c>
      <c r="B762" s="2">
        <v>122</v>
      </c>
      <c r="C762" s="2">
        <v>22362500</v>
      </c>
      <c r="D762" s="2" t="s">
        <v>891</v>
      </c>
      <c r="E762" s="2" t="s">
        <v>1509</v>
      </c>
      <c r="F762" s="2" t="s">
        <v>14</v>
      </c>
      <c r="G762" s="2" t="s">
        <v>15</v>
      </c>
      <c r="H762" s="2">
        <v>55000000</v>
      </c>
      <c r="I762" s="2">
        <v>6.1</v>
      </c>
      <c r="J762" s="2">
        <f t="shared" si="4"/>
        <v>-32637500</v>
      </c>
      <c r="K762" s="2">
        <f t="shared" si="5"/>
        <v>-4.8403624543916545E-3</v>
      </c>
      <c r="L762" s="2" t="str">
        <f>IF(ISNUMBER(SEARCH("|",IMDB_Movies!$D762)),LEFT(IMDB_Movies!$D762,SEARCH("|",IMDB_Movies!$D762)-1),IMDB_Movies!$D762)</f>
        <v>Comedy</v>
      </c>
      <c r="V762" s="2"/>
      <c r="W762" s="2"/>
    </row>
    <row r="763" spans="1:23" ht="12.5" x14ac:dyDescent="0.25">
      <c r="A763" s="2" t="s">
        <v>1510</v>
      </c>
      <c r="B763" s="2">
        <v>106</v>
      </c>
      <c r="C763" s="2">
        <v>17281832</v>
      </c>
      <c r="D763" s="2" t="s">
        <v>81</v>
      </c>
      <c r="E763" s="2" t="s">
        <v>1511</v>
      </c>
      <c r="F763" s="2" t="s">
        <v>14</v>
      </c>
      <c r="G763" s="2" t="s">
        <v>287</v>
      </c>
      <c r="H763" s="2">
        <v>60000000</v>
      </c>
      <c r="I763" s="2">
        <v>6.1</v>
      </c>
      <c r="J763" s="2">
        <f t="shared" si="4"/>
        <v>-42718168</v>
      </c>
      <c r="K763" s="2">
        <f t="shared" si="5"/>
        <v>-4.8324364851358549E-3</v>
      </c>
      <c r="L763" s="2" t="str">
        <f>IF(ISNUMBER(SEARCH("|",IMDB_Movies!$D763)),LEFT(IMDB_Movies!$D763,SEARCH("|",IMDB_Movies!$D763)-1),IMDB_Movies!$D763)</f>
        <v>Adventure</v>
      </c>
      <c r="V763" s="2"/>
      <c r="W763" s="2"/>
    </row>
    <row r="764" spans="1:23" ht="12.5" x14ac:dyDescent="0.25">
      <c r="A764" s="2" t="s">
        <v>1318</v>
      </c>
      <c r="B764" s="2">
        <v>103</v>
      </c>
      <c r="C764" s="2">
        <v>19781879</v>
      </c>
      <c r="D764" s="2" t="s">
        <v>1043</v>
      </c>
      <c r="E764" s="2" t="s">
        <v>1512</v>
      </c>
      <c r="F764" s="2" t="s">
        <v>14</v>
      </c>
      <c r="G764" s="2" t="s">
        <v>15</v>
      </c>
      <c r="H764" s="2">
        <v>60000000</v>
      </c>
      <c r="I764" s="2">
        <v>4.8</v>
      </c>
      <c r="J764" s="2">
        <f t="shared" si="4"/>
        <v>-40218121</v>
      </c>
      <c r="K764" s="2">
        <f t="shared" si="5"/>
        <v>-4.8182044607437474E-3</v>
      </c>
      <c r="L764" s="2" t="str">
        <f>IF(ISNUMBER(SEARCH("|",IMDB_Movies!$D764)),LEFT(IMDB_Movies!$D764,SEARCH("|",IMDB_Movies!$D764)-1),IMDB_Movies!$D764)</f>
        <v>Action</v>
      </c>
      <c r="V764" s="2"/>
      <c r="W764" s="2"/>
    </row>
    <row r="765" spans="1:23" ht="12.5" x14ac:dyDescent="0.25">
      <c r="A765" s="2" t="s">
        <v>1513</v>
      </c>
      <c r="B765" s="2">
        <v>107</v>
      </c>
      <c r="C765" s="2">
        <v>7605668</v>
      </c>
      <c r="D765" s="2" t="s">
        <v>1514</v>
      </c>
      <c r="E765" s="2" t="s">
        <v>1515</v>
      </c>
      <c r="F765" s="2" t="s">
        <v>14</v>
      </c>
      <c r="G765" s="2" t="s">
        <v>22</v>
      </c>
      <c r="H765" s="2">
        <v>60000000</v>
      </c>
      <c r="I765" s="2">
        <v>5.5</v>
      </c>
      <c r="J765" s="2">
        <f t="shared" si="4"/>
        <v>-52394332</v>
      </c>
      <c r="K765" s="2">
        <f t="shared" si="5"/>
        <v>-4.8062729206694776E-3</v>
      </c>
      <c r="L765" s="2" t="str">
        <f>IF(ISNUMBER(SEARCH("|",IMDB_Movies!$D765)),LEFT(IMDB_Movies!$D765,SEARCH("|",IMDB_Movies!$D765)-1),IMDB_Movies!$D765)</f>
        <v>Action</v>
      </c>
      <c r="V765" s="2"/>
      <c r="W765" s="2"/>
    </row>
    <row r="766" spans="1:23" ht="12.5" x14ac:dyDescent="0.25">
      <c r="A766" s="2" t="s">
        <v>1516</v>
      </c>
      <c r="B766" s="2">
        <v>156</v>
      </c>
      <c r="C766" s="2">
        <v>4535117</v>
      </c>
      <c r="D766" s="2" t="s">
        <v>692</v>
      </c>
      <c r="E766" s="2" t="s">
        <v>1517</v>
      </c>
      <c r="F766" s="2" t="s">
        <v>14</v>
      </c>
      <c r="G766" s="2" t="s">
        <v>287</v>
      </c>
      <c r="H766" s="2">
        <v>60000000</v>
      </c>
      <c r="I766" s="2">
        <v>3.8</v>
      </c>
      <c r="J766" s="2">
        <f t="shared" si="4"/>
        <v>-55464883</v>
      </c>
      <c r="K766" s="2">
        <f t="shared" si="5"/>
        <v>-4.7831267863530933E-3</v>
      </c>
      <c r="L766" s="2" t="str">
        <f>IF(ISNUMBER(SEARCH("|",IMDB_Movies!$D766)),LEFT(IMDB_Movies!$D766,SEARCH("|",IMDB_Movies!$D766)-1),IMDB_Movies!$D766)</f>
        <v>Action</v>
      </c>
      <c r="V766" s="2"/>
      <c r="W766" s="2"/>
    </row>
    <row r="767" spans="1:23" ht="12.5" x14ac:dyDescent="0.25">
      <c r="A767" s="2" t="s">
        <v>118</v>
      </c>
      <c r="B767" s="2">
        <v>127</v>
      </c>
      <c r="C767" s="2">
        <v>4426297</v>
      </c>
      <c r="D767" s="2" t="s">
        <v>448</v>
      </c>
      <c r="E767" s="2" t="s">
        <v>1518</v>
      </c>
      <c r="F767" s="2" t="s">
        <v>14</v>
      </c>
      <c r="G767" s="2" t="s">
        <v>15</v>
      </c>
      <c r="H767" s="2">
        <v>35000000</v>
      </c>
      <c r="I767" s="2">
        <v>6.5</v>
      </c>
      <c r="J767" s="2">
        <f t="shared" ref="J767:J1021" si="6">(C767-H767)</f>
        <v>-30573703</v>
      </c>
      <c r="K767" s="2">
        <f t="shared" si="5"/>
        <v>-4.7571555698167371E-3</v>
      </c>
      <c r="L767" s="2" t="str">
        <f>IF(ISNUMBER(SEARCH("|",IMDB_Movies!$D767)),LEFT(IMDB_Movies!$D767,SEARCH("|",IMDB_Movies!$D767)-1),IMDB_Movies!$D767)</f>
        <v>Adventure</v>
      </c>
      <c r="V767" s="2"/>
      <c r="W767" s="2"/>
    </row>
    <row r="768" spans="1:23" ht="12.5" x14ac:dyDescent="0.25">
      <c r="A768" s="2" t="s">
        <v>1519</v>
      </c>
      <c r="B768" s="2">
        <v>132</v>
      </c>
      <c r="C768" s="2">
        <v>10166502</v>
      </c>
      <c r="D768" s="2" t="s">
        <v>529</v>
      </c>
      <c r="E768" s="2" t="s">
        <v>1520</v>
      </c>
      <c r="F768" s="2" t="s">
        <v>1521</v>
      </c>
      <c r="G768" s="2" t="s">
        <v>15</v>
      </c>
      <c r="H768" s="2">
        <v>80000000</v>
      </c>
      <c r="I768" s="2">
        <v>6.7</v>
      </c>
      <c r="J768" s="2">
        <f t="shared" si="6"/>
        <v>-69833498</v>
      </c>
      <c r="K768" s="2">
        <f t="shared" ref="K768:K1022" si="7">CORREL(H768:H4553,C768:C4553)</f>
        <v>-4.7531510828002135E-3</v>
      </c>
      <c r="L768" s="2" t="str">
        <f>IF(ISNUMBER(SEARCH("|",IMDB_Movies!$D768)),LEFT(IMDB_Movies!$D768,SEARCH("|",IMDB_Movies!$D768)-1),IMDB_Movies!$D768)</f>
        <v>Action</v>
      </c>
      <c r="V768" s="2"/>
      <c r="W768" s="2"/>
    </row>
    <row r="769" spans="1:23" ht="12.5" x14ac:dyDescent="0.25">
      <c r="A769" s="2" t="s">
        <v>1522</v>
      </c>
      <c r="B769" s="2">
        <v>108</v>
      </c>
      <c r="C769" s="2">
        <v>363024263</v>
      </c>
      <c r="D769" s="2" t="s">
        <v>1523</v>
      </c>
      <c r="E769" s="2" t="s">
        <v>1524</v>
      </c>
      <c r="F769" s="2" t="s">
        <v>14</v>
      </c>
      <c r="G769" s="2" t="s">
        <v>15</v>
      </c>
      <c r="H769" s="2">
        <v>58000000</v>
      </c>
      <c r="I769" s="2">
        <v>8.1</v>
      </c>
      <c r="J769" s="2">
        <f t="shared" si="6"/>
        <v>305024263</v>
      </c>
      <c r="K769" s="2">
        <f t="shared" si="7"/>
        <v>-4.7182371911998339E-3</v>
      </c>
      <c r="L769" s="2" t="str">
        <f>IF(ISNUMBER(SEARCH("|",IMDB_Movies!$D769)),LEFT(IMDB_Movies!$D769,SEARCH("|",IMDB_Movies!$D769)-1),IMDB_Movies!$D769)</f>
        <v>Action</v>
      </c>
      <c r="V769" s="2"/>
      <c r="W769" s="2"/>
    </row>
    <row r="770" spans="1:23" ht="12.5" x14ac:dyDescent="0.25">
      <c r="A770" s="2" t="s">
        <v>1525</v>
      </c>
      <c r="B770" s="2">
        <v>114</v>
      </c>
      <c r="C770" s="2">
        <v>12065985</v>
      </c>
      <c r="D770" s="2" t="s">
        <v>891</v>
      </c>
      <c r="E770" s="2" t="s">
        <v>1526</v>
      </c>
      <c r="F770" s="2" t="s">
        <v>14</v>
      </c>
      <c r="G770" s="2" t="s">
        <v>15</v>
      </c>
      <c r="H770" s="2">
        <v>60000000</v>
      </c>
      <c r="I770" s="2">
        <v>4.9000000000000004</v>
      </c>
      <c r="J770" s="2">
        <f t="shared" si="6"/>
        <v>-47934015</v>
      </c>
      <c r="K770" s="2">
        <f t="shared" si="7"/>
        <v>-5.0585180050958922E-3</v>
      </c>
      <c r="L770" s="2" t="str">
        <f>IF(ISNUMBER(SEARCH("|",IMDB_Movies!$D770)),LEFT(IMDB_Movies!$D770,SEARCH("|",IMDB_Movies!$D770)-1),IMDB_Movies!$D770)</f>
        <v>Comedy</v>
      </c>
      <c r="V770" s="2"/>
      <c r="W770" s="2"/>
    </row>
    <row r="771" spans="1:23" ht="12.5" x14ac:dyDescent="0.25">
      <c r="A771" s="2" t="s">
        <v>1279</v>
      </c>
      <c r="B771" s="2">
        <v>133</v>
      </c>
      <c r="C771" s="2">
        <v>350123553</v>
      </c>
      <c r="D771" s="2" t="s">
        <v>1527</v>
      </c>
      <c r="E771" s="2" t="s">
        <v>1528</v>
      </c>
      <c r="F771" s="2" t="s">
        <v>14</v>
      </c>
      <c r="G771" s="2" t="s">
        <v>15</v>
      </c>
      <c r="H771" s="2">
        <v>58800000</v>
      </c>
      <c r="I771" s="2">
        <v>7.3</v>
      </c>
      <c r="J771" s="2">
        <f t="shared" si="6"/>
        <v>291323553</v>
      </c>
      <c r="K771" s="2">
        <f t="shared" si="7"/>
        <v>-5.0393143617472585E-3</v>
      </c>
      <c r="L771" s="2" t="str">
        <f>IF(ISNUMBER(SEARCH("|",IMDB_Movies!$D771)),LEFT(IMDB_Movies!$D771,SEARCH("|",IMDB_Movies!$D771)-1),IMDB_Movies!$D771)</f>
        <v>Action</v>
      </c>
      <c r="V771" s="2"/>
      <c r="W771" s="2"/>
    </row>
    <row r="772" spans="1:23" ht="12.5" x14ac:dyDescent="0.25">
      <c r="A772" s="2" t="s">
        <v>184</v>
      </c>
      <c r="B772" s="2">
        <v>103</v>
      </c>
      <c r="C772" s="2">
        <v>80021740</v>
      </c>
      <c r="D772" s="2" t="s">
        <v>1529</v>
      </c>
      <c r="E772" s="2" t="s">
        <v>1530</v>
      </c>
      <c r="F772" s="2" t="s">
        <v>14</v>
      </c>
      <c r="G772" s="2" t="s">
        <v>15</v>
      </c>
      <c r="H772" s="2">
        <v>58000000</v>
      </c>
      <c r="I772" s="2">
        <v>6.4</v>
      </c>
      <c r="J772" s="2">
        <f t="shared" si="6"/>
        <v>22021740</v>
      </c>
      <c r="K772" s="2">
        <f t="shared" si="7"/>
        <v>-5.3795992956005524E-3</v>
      </c>
      <c r="L772" s="2" t="str">
        <f>IF(ISNUMBER(SEARCH("|",IMDB_Movies!$D772)),LEFT(IMDB_Movies!$D772,SEARCH("|",IMDB_Movies!$D772)-1),IMDB_Movies!$D772)</f>
        <v>Adventure</v>
      </c>
      <c r="V772" s="2"/>
      <c r="W772" s="2"/>
    </row>
    <row r="773" spans="1:23" ht="12.5" x14ac:dyDescent="0.25">
      <c r="A773" s="2" t="s">
        <v>735</v>
      </c>
      <c r="B773" s="2">
        <v>95</v>
      </c>
      <c r="C773" s="2">
        <v>48291624</v>
      </c>
      <c r="D773" s="2" t="s">
        <v>1256</v>
      </c>
      <c r="E773" s="2" t="s">
        <v>1531</v>
      </c>
      <c r="F773" s="2" t="s">
        <v>14</v>
      </c>
      <c r="G773" s="2" t="s">
        <v>15</v>
      </c>
      <c r="H773" s="2">
        <v>58000000</v>
      </c>
      <c r="I773" s="2">
        <v>6.7</v>
      </c>
      <c r="J773" s="2">
        <f t="shared" si="6"/>
        <v>-9708376</v>
      </c>
      <c r="K773" s="2">
        <f t="shared" si="7"/>
        <v>-5.4233229599052355E-3</v>
      </c>
      <c r="L773" s="2" t="str">
        <f>IF(ISNUMBER(SEARCH("|",IMDB_Movies!$D773)),LEFT(IMDB_Movies!$D773,SEARCH("|",IMDB_Movies!$D773)-1),IMDB_Movies!$D773)</f>
        <v>Comedy</v>
      </c>
      <c r="V773" s="2"/>
      <c r="W773" s="2"/>
    </row>
    <row r="774" spans="1:23" ht="12.5" x14ac:dyDescent="0.25">
      <c r="A774" s="2" t="s">
        <v>1411</v>
      </c>
      <c r="B774" s="2">
        <v>90</v>
      </c>
      <c r="C774" s="2">
        <v>35231365</v>
      </c>
      <c r="D774" s="2" t="s">
        <v>1532</v>
      </c>
      <c r="E774" s="2" t="s">
        <v>1533</v>
      </c>
      <c r="F774" s="2" t="s">
        <v>14</v>
      </c>
      <c r="G774" s="2" t="s">
        <v>15</v>
      </c>
      <c r="H774" s="2">
        <v>60000000</v>
      </c>
      <c r="I774" s="2">
        <v>3.6</v>
      </c>
      <c r="J774" s="2">
        <f t="shared" si="6"/>
        <v>-24768635</v>
      </c>
      <c r="K774" s="2">
        <f t="shared" si="7"/>
        <v>-5.4376580746680545E-3</v>
      </c>
      <c r="L774" s="2" t="str">
        <f>IF(ISNUMBER(SEARCH("|",IMDB_Movies!$D774)),LEFT(IMDB_Movies!$D774,SEARCH("|",IMDB_Movies!$D774)-1),IMDB_Movies!$D774)</f>
        <v>Comedy</v>
      </c>
      <c r="V774" s="2"/>
      <c r="W774" s="2"/>
    </row>
    <row r="775" spans="1:23" ht="12.5" x14ac:dyDescent="0.25">
      <c r="A775" s="2" t="s">
        <v>1534</v>
      </c>
      <c r="B775" s="2">
        <v>87</v>
      </c>
      <c r="C775" s="2">
        <v>53715611</v>
      </c>
      <c r="D775" s="2" t="s">
        <v>1535</v>
      </c>
      <c r="E775" s="2" t="s">
        <v>1536</v>
      </c>
      <c r="F775" s="2" t="s">
        <v>14</v>
      </c>
      <c r="G775" s="2" t="s">
        <v>15</v>
      </c>
      <c r="H775" s="2">
        <v>63000000</v>
      </c>
      <c r="I775" s="2">
        <v>5.7</v>
      </c>
      <c r="J775" s="2">
        <f t="shared" si="6"/>
        <v>-9284389</v>
      </c>
      <c r="K775" s="2">
        <f t="shared" si="7"/>
        <v>-5.4403705890670312E-3</v>
      </c>
      <c r="L775" s="2" t="str">
        <f>IF(ISNUMBER(SEARCH("|",IMDB_Movies!$D775)),LEFT(IMDB_Movies!$D775,SEARCH("|",IMDB_Movies!$D775)-1),IMDB_Movies!$D775)</f>
        <v>Action</v>
      </c>
      <c r="V775" s="2"/>
      <c r="W775" s="2"/>
    </row>
    <row r="776" spans="1:23" ht="12.5" x14ac:dyDescent="0.25">
      <c r="A776" s="2" t="s">
        <v>1177</v>
      </c>
      <c r="B776" s="2">
        <v>114</v>
      </c>
      <c r="C776" s="2">
        <v>31199215</v>
      </c>
      <c r="D776" s="2" t="s">
        <v>1537</v>
      </c>
      <c r="E776" s="2" t="s">
        <v>1538</v>
      </c>
      <c r="F776" s="2" t="s">
        <v>14</v>
      </c>
      <c r="G776" s="2" t="s">
        <v>15</v>
      </c>
      <c r="H776" s="2">
        <v>58000000</v>
      </c>
      <c r="I776" s="2">
        <v>6</v>
      </c>
      <c r="J776" s="2">
        <f t="shared" si="6"/>
        <v>-26800785</v>
      </c>
      <c r="K776" s="2">
        <f t="shared" si="7"/>
        <v>-5.4630917976635817E-3</v>
      </c>
      <c r="L776" s="2" t="str">
        <f>IF(ISNUMBER(SEARCH("|",IMDB_Movies!$D776)),LEFT(IMDB_Movies!$D776,SEARCH("|",IMDB_Movies!$D776)-1),IMDB_Movies!$D776)</f>
        <v>Comedy</v>
      </c>
      <c r="V776" s="2"/>
      <c r="W776" s="2"/>
    </row>
    <row r="777" spans="1:23" ht="12.5" x14ac:dyDescent="0.25">
      <c r="A777" s="2" t="s">
        <v>1374</v>
      </c>
      <c r="B777" s="2">
        <v>103</v>
      </c>
      <c r="C777" s="2">
        <v>29580087</v>
      </c>
      <c r="D777" s="2" t="s">
        <v>514</v>
      </c>
      <c r="E777" s="2" t="s">
        <v>1539</v>
      </c>
      <c r="F777" s="2" t="s">
        <v>14</v>
      </c>
      <c r="G777" s="2" t="s">
        <v>15</v>
      </c>
      <c r="H777" s="2">
        <v>58000000</v>
      </c>
      <c r="I777" s="2">
        <v>4.7</v>
      </c>
      <c r="J777" s="2">
        <f t="shared" si="6"/>
        <v>-28419913</v>
      </c>
      <c r="K777" s="2">
        <f t="shared" si="7"/>
        <v>-5.4620176733506682E-3</v>
      </c>
      <c r="L777" s="2" t="str">
        <f>IF(ISNUMBER(SEARCH("|",IMDB_Movies!$D777)),LEFT(IMDB_Movies!$D777,SEARCH("|",IMDB_Movies!$D777)-1),IMDB_Movies!$D777)</f>
        <v>Comedy</v>
      </c>
      <c r="V777" s="2"/>
      <c r="W777" s="2"/>
    </row>
    <row r="778" spans="1:23" ht="12.5" x14ac:dyDescent="0.25">
      <c r="A778" s="2" t="s">
        <v>302</v>
      </c>
      <c r="B778" s="2">
        <v>125</v>
      </c>
      <c r="C778" s="2">
        <v>44665963</v>
      </c>
      <c r="D778" s="2" t="s">
        <v>709</v>
      </c>
      <c r="E778" s="2" t="s">
        <v>1540</v>
      </c>
      <c r="F778" s="2" t="s">
        <v>14</v>
      </c>
      <c r="G778" s="2" t="s">
        <v>15</v>
      </c>
      <c r="H778" s="2">
        <v>58000000</v>
      </c>
      <c r="I778" s="2">
        <v>6.3</v>
      </c>
      <c r="J778" s="2">
        <f t="shared" si="6"/>
        <v>-13334037</v>
      </c>
      <c r="K778" s="2">
        <f t="shared" si="7"/>
        <v>-5.4594957100212657E-3</v>
      </c>
      <c r="L778" s="2" t="str">
        <f>IF(ISNUMBER(SEARCH("|",IMDB_Movies!$D778)),LEFT(IMDB_Movies!$D778,SEARCH("|",IMDB_Movies!$D778)-1),IMDB_Movies!$D778)</f>
        <v>Comedy</v>
      </c>
      <c r="V778" s="2"/>
      <c r="W778" s="2"/>
    </row>
    <row r="779" spans="1:23" ht="12.5" x14ac:dyDescent="0.25">
      <c r="A779" s="2" t="s">
        <v>831</v>
      </c>
      <c r="B779" s="2">
        <v>97</v>
      </c>
      <c r="C779" s="2">
        <v>60128566</v>
      </c>
      <c r="D779" s="2" t="s">
        <v>1193</v>
      </c>
      <c r="E779" s="2" t="s">
        <v>1541</v>
      </c>
      <c r="F779" s="2" t="s">
        <v>14</v>
      </c>
      <c r="G779" s="2" t="s">
        <v>287</v>
      </c>
      <c r="H779" s="2">
        <v>60000000</v>
      </c>
      <c r="I779" s="2">
        <v>5.9</v>
      </c>
      <c r="J779" s="2">
        <f t="shared" si="6"/>
        <v>128566</v>
      </c>
      <c r="K779" s="2">
        <f t="shared" si="7"/>
        <v>-5.4705659797767581E-3</v>
      </c>
      <c r="L779" s="2" t="str">
        <f>IF(ISNUMBER(SEARCH("|",IMDB_Movies!$D779)),LEFT(IMDB_Movies!$D779,SEARCH("|",IMDB_Movies!$D779)-1),IMDB_Movies!$D779)</f>
        <v>Action</v>
      </c>
      <c r="V779" s="2"/>
      <c r="W779" s="2"/>
    </row>
    <row r="780" spans="1:23" ht="12.5" x14ac:dyDescent="0.25">
      <c r="A780" s="2" t="s">
        <v>1542</v>
      </c>
      <c r="B780" s="2">
        <v>125</v>
      </c>
      <c r="C780" s="2">
        <v>49875589</v>
      </c>
      <c r="D780" s="2" t="s">
        <v>406</v>
      </c>
      <c r="E780" s="2" t="s">
        <v>1543</v>
      </c>
      <c r="F780" s="2" t="s">
        <v>14</v>
      </c>
      <c r="G780" s="2" t="s">
        <v>15</v>
      </c>
      <c r="H780" s="2">
        <v>58000000</v>
      </c>
      <c r="I780" s="2">
        <v>5.9</v>
      </c>
      <c r="J780" s="2">
        <f t="shared" si="6"/>
        <v>-8124411</v>
      </c>
      <c r="K780" s="2">
        <f t="shared" si="7"/>
        <v>-5.4976053858976481E-3</v>
      </c>
      <c r="L780" s="2" t="str">
        <f>IF(ISNUMBER(SEARCH("|",IMDB_Movies!$D780)),LEFT(IMDB_Movies!$D780,SEARCH("|",IMDB_Movies!$D780)-1),IMDB_Movies!$D780)</f>
        <v>Action</v>
      </c>
      <c r="V780" s="2"/>
      <c r="W780" s="2"/>
    </row>
    <row r="781" spans="1:23" ht="12.5" x14ac:dyDescent="0.25">
      <c r="A781" s="2" t="s">
        <v>1303</v>
      </c>
      <c r="B781" s="2">
        <v>136</v>
      </c>
      <c r="C781" s="2">
        <v>60984028</v>
      </c>
      <c r="D781" s="2" t="s">
        <v>690</v>
      </c>
      <c r="E781" s="2" t="s">
        <v>1544</v>
      </c>
      <c r="F781" s="2" t="s">
        <v>14</v>
      </c>
      <c r="G781" s="2" t="s">
        <v>15</v>
      </c>
      <c r="H781" s="2">
        <v>57000000</v>
      </c>
      <c r="I781" s="2">
        <v>7.5</v>
      </c>
      <c r="J781" s="2">
        <f t="shared" si="6"/>
        <v>3984028</v>
      </c>
      <c r="K781" s="2">
        <f t="shared" si="7"/>
        <v>-5.5134511097498801E-3</v>
      </c>
      <c r="L781" s="2" t="str">
        <f>IF(ISNUMBER(SEARCH("|",IMDB_Movies!$D781)),LEFT(IMDB_Movies!$D781,SEARCH("|",IMDB_Movies!$D781)-1),IMDB_Movies!$D781)</f>
        <v>Drama</v>
      </c>
      <c r="V781" s="2"/>
      <c r="W781" s="2"/>
    </row>
    <row r="782" spans="1:23" ht="12.5" x14ac:dyDescent="0.25">
      <c r="A782" s="2" t="s">
        <v>1545</v>
      </c>
      <c r="B782" s="2">
        <v>116</v>
      </c>
      <c r="C782" s="2">
        <v>36931089</v>
      </c>
      <c r="D782" s="2" t="s">
        <v>709</v>
      </c>
      <c r="E782" s="2" t="s">
        <v>1546</v>
      </c>
      <c r="F782" s="2" t="s">
        <v>14</v>
      </c>
      <c r="G782" s="2" t="s">
        <v>15</v>
      </c>
      <c r="H782" s="2">
        <v>70000000</v>
      </c>
      <c r="I782" s="2">
        <v>5.6</v>
      </c>
      <c r="J782" s="2">
        <f t="shared" si="6"/>
        <v>-33068911</v>
      </c>
      <c r="K782" s="2">
        <f t="shared" si="7"/>
        <v>-5.5386311527019106E-3</v>
      </c>
      <c r="L782" s="2" t="str">
        <f>IF(ISNUMBER(SEARCH("|",IMDB_Movies!$D782)),LEFT(IMDB_Movies!$D782,SEARCH("|",IMDB_Movies!$D782)-1),IMDB_Movies!$D782)</f>
        <v>Comedy</v>
      </c>
      <c r="V782" s="2"/>
      <c r="W782" s="2"/>
    </row>
    <row r="783" spans="1:23" ht="12.5" x14ac:dyDescent="0.25">
      <c r="A783" s="2" t="s">
        <v>197</v>
      </c>
      <c r="B783" s="2">
        <v>103</v>
      </c>
      <c r="C783" s="2">
        <v>51317350</v>
      </c>
      <c r="D783" s="2" t="s">
        <v>17</v>
      </c>
      <c r="E783" s="2" t="s">
        <v>1547</v>
      </c>
      <c r="F783" s="2" t="s">
        <v>14</v>
      </c>
      <c r="G783" s="2" t="s">
        <v>15</v>
      </c>
      <c r="H783" s="2">
        <v>57000000</v>
      </c>
      <c r="I783" s="2">
        <v>6.4</v>
      </c>
      <c r="J783" s="2">
        <f t="shared" si="6"/>
        <v>-5682650</v>
      </c>
      <c r="K783" s="2">
        <f t="shared" si="7"/>
        <v>-5.5444909418239643E-3</v>
      </c>
      <c r="L783" s="2" t="str">
        <f>IF(ISNUMBER(SEARCH("|",IMDB_Movies!$D783)),LEFT(IMDB_Movies!$D783,SEARCH("|",IMDB_Movies!$D783)-1),IMDB_Movies!$D783)</f>
        <v>Action</v>
      </c>
      <c r="V783" s="2"/>
      <c r="W783" s="2"/>
    </row>
    <row r="784" spans="1:23" ht="12.5" x14ac:dyDescent="0.25">
      <c r="A784" s="2" t="s">
        <v>101</v>
      </c>
      <c r="B784" s="2">
        <v>97</v>
      </c>
      <c r="C784" s="2">
        <v>28328132</v>
      </c>
      <c r="D784" s="2" t="s">
        <v>1548</v>
      </c>
      <c r="E784" s="2" t="s">
        <v>1549</v>
      </c>
      <c r="F784" s="2" t="s">
        <v>14</v>
      </c>
      <c r="G784" s="2" t="s">
        <v>15</v>
      </c>
      <c r="H784" s="2">
        <v>58000000</v>
      </c>
      <c r="I784" s="2">
        <v>6.3</v>
      </c>
      <c r="J784" s="2">
        <f t="shared" si="6"/>
        <v>-29671868</v>
      </c>
      <c r="K784" s="2">
        <f t="shared" si="7"/>
        <v>-5.5610894863198316E-3</v>
      </c>
      <c r="L784" s="2" t="str">
        <f>IF(ISNUMBER(SEARCH("|",IMDB_Movies!$D784)),LEFT(IMDB_Movies!$D784,SEARCH("|",IMDB_Movies!$D784)-1),IMDB_Movies!$D784)</f>
        <v>Action</v>
      </c>
      <c r="V784" s="2"/>
      <c r="W784" s="2"/>
    </row>
    <row r="785" spans="1:23" ht="12.5" x14ac:dyDescent="0.25">
      <c r="A785" s="2" t="s">
        <v>1550</v>
      </c>
      <c r="B785" s="2">
        <v>96</v>
      </c>
      <c r="C785" s="2">
        <v>51774002</v>
      </c>
      <c r="D785" s="2" t="s">
        <v>495</v>
      </c>
      <c r="E785" s="2" t="s">
        <v>1551</v>
      </c>
      <c r="F785" s="2" t="s">
        <v>14</v>
      </c>
      <c r="G785" s="2" t="s">
        <v>15</v>
      </c>
      <c r="H785" s="2">
        <v>57000000</v>
      </c>
      <c r="I785" s="2">
        <v>4.3</v>
      </c>
      <c r="J785" s="2">
        <f t="shared" si="6"/>
        <v>-5225998</v>
      </c>
      <c r="K785" s="2">
        <f t="shared" si="7"/>
        <v>-5.5574726287474186E-3</v>
      </c>
      <c r="L785" s="2" t="str">
        <f>IF(ISNUMBER(SEARCH("|",IMDB_Movies!$D785)),LEFT(IMDB_Movies!$D785,SEARCH("|",IMDB_Movies!$D785)-1),IMDB_Movies!$D785)</f>
        <v>Action</v>
      </c>
      <c r="V785" s="2"/>
      <c r="W785" s="2"/>
    </row>
    <row r="786" spans="1:23" ht="12.5" x14ac:dyDescent="0.25">
      <c r="A786" s="2" t="s">
        <v>1552</v>
      </c>
      <c r="B786" s="2">
        <v>131</v>
      </c>
      <c r="C786" s="2">
        <v>25528495</v>
      </c>
      <c r="D786" s="2" t="s">
        <v>1553</v>
      </c>
      <c r="E786" s="2" t="s">
        <v>1554</v>
      </c>
      <c r="F786" s="2" t="s">
        <v>14</v>
      </c>
      <c r="G786" s="2" t="s">
        <v>22</v>
      </c>
      <c r="H786" s="2">
        <v>57000000</v>
      </c>
      <c r="I786" s="2">
        <v>5.9</v>
      </c>
      <c r="J786" s="2">
        <f t="shared" si="6"/>
        <v>-31471505</v>
      </c>
      <c r="K786" s="2">
        <f t="shared" si="7"/>
        <v>-5.5744929451968352E-3</v>
      </c>
      <c r="L786" s="2" t="str">
        <f>IF(ISNUMBER(SEARCH("|",IMDB_Movies!$D786)),LEFT(IMDB_Movies!$D786,SEARCH("|",IMDB_Movies!$D786)-1),IMDB_Movies!$D786)</f>
        <v>Drama</v>
      </c>
      <c r="V786" s="2"/>
      <c r="W786" s="2"/>
    </row>
    <row r="787" spans="1:23" ht="12.5" x14ac:dyDescent="0.25">
      <c r="A787" s="2" t="s">
        <v>918</v>
      </c>
      <c r="B787" s="2">
        <v>95</v>
      </c>
      <c r="C787" s="2">
        <v>113006880</v>
      </c>
      <c r="D787" s="2" t="s">
        <v>1555</v>
      </c>
      <c r="E787" s="2" t="s">
        <v>1556</v>
      </c>
      <c r="F787" s="2" t="s">
        <v>14</v>
      </c>
      <c r="G787" s="2" t="s">
        <v>104</v>
      </c>
      <c r="H787" s="2">
        <v>56000000</v>
      </c>
      <c r="I787" s="2">
        <v>5.5</v>
      </c>
      <c r="J787" s="2">
        <f t="shared" si="6"/>
        <v>57006880</v>
      </c>
      <c r="K787" s="2">
        <f t="shared" si="7"/>
        <v>-5.5685957655743331E-3</v>
      </c>
      <c r="L787" s="2" t="str">
        <f>IF(ISNUMBER(SEARCH("|",IMDB_Movies!$D787)),LEFT(IMDB_Movies!$D787,SEARCH("|",IMDB_Movies!$D787)-1),IMDB_Movies!$D787)</f>
        <v>Action</v>
      </c>
      <c r="V787" s="2"/>
      <c r="W787" s="2"/>
    </row>
    <row r="788" spans="1:23" ht="12.5" x14ac:dyDescent="0.25">
      <c r="A788" s="2" t="s">
        <v>1557</v>
      </c>
      <c r="B788" s="2">
        <v>86</v>
      </c>
      <c r="C788" s="2">
        <v>45860039</v>
      </c>
      <c r="D788" s="2" t="s">
        <v>1558</v>
      </c>
      <c r="E788" s="2" t="s">
        <v>1559</v>
      </c>
      <c r="F788" s="2" t="s">
        <v>14</v>
      </c>
      <c r="G788" s="2" t="s">
        <v>15</v>
      </c>
      <c r="H788" s="2">
        <v>56000000</v>
      </c>
      <c r="I788" s="2">
        <v>6.2</v>
      </c>
      <c r="J788" s="2">
        <f t="shared" si="6"/>
        <v>-10139961</v>
      </c>
      <c r="K788" s="2">
        <f t="shared" si="7"/>
        <v>-5.6394635707838472E-3</v>
      </c>
      <c r="L788" s="2" t="str">
        <f>IF(ISNUMBER(SEARCH("|",IMDB_Movies!$D788)),LEFT(IMDB_Movies!$D788,SEARCH("|",IMDB_Movies!$D788)-1),IMDB_Movies!$D788)</f>
        <v>Action</v>
      </c>
      <c r="V788" s="2"/>
      <c r="W788" s="2"/>
    </row>
    <row r="789" spans="1:23" ht="12.5" x14ac:dyDescent="0.25">
      <c r="A789" s="2" t="s">
        <v>160</v>
      </c>
      <c r="B789" s="2">
        <v>142</v>
      </c>
      <c r="C789" s="2">
        <v>329691196</v>
      </c>
      <c r="D789" s="2" t="s">
        <v>891</v>
      </c>
      <c r="E789" s="2" t="s">
        <v>1560</v>
      </c>
      <c r="F789" s="2" t="s">
        <v>14</v>
      </c>
      <c r="G789" s="2" t="s">
        <v>15</v>
      </c>
      <c r="H789" s="2">
        <v>55000000</v>
      </c>
      <c r="I789" s="2">
        <v>8.8000000000000007</v>
      </c>
      <c r="J789" s="2">
        <f t="shared" si="6"/>
        <v>274691196</v>
      </c>
      <c r="K789" s="2">
        <f t="shared" si="7"/>
        <v>-5.650870147519845E-3</v>
      </c>
      <c r="L789" s="2" t="str">
        <f>IF(ISNUMBER(SEARCH("|",IMDB_Movies!$D789)),LEFT(IMDB_Movies!$D789,SEARCH("|",IMDB_Movies!$D789)-1),IMDB_Movies!$D789)</f>
        <v>Comedy</v>
      </c>
      <c r="V789" s="2"/>
      <c r="W789" s="2"/>
    </row>
    <row r="790" spans="1:23" ht="12.5" x14ac:dyDescent="0.25">
      <c r="A790" s="2" t="s">
        <v>1352</v>
      </c>
      <c r="B790" s="2">
        <v>92</v>
      </c>
      <c r="C790" s="2">
        <v>217326336</v>
      </c>
      <c r="D790" s="2" t="s">
        <v>1164</v>
      </c>
      <c r="E790" s="2" t="s">
        <v>1561</v>
      </c>
      <c r="F790" s="2" t="s">
        <v>14</v>
      </c>
      <c r="G790" s="2" t="s">
        <v>15</v>
      </c>
      <c r="H790" s="2">
        <v>60000000</v>
      </c>
      <c r="I790" s="2">
        <v>5.2</v>
      </c>
      <c r="J790" s="2">
        <f t="shared" si="6"/>
        <v>157326336</v>
      </c>
      <c r="K790" s="2">
        <f t="shared" si="7"/>
        <v>-5.9405664074416832E-3</v>
      </c>
      <c r="L790" s="2" t="str">
        <f>IF(ISNUMBER(SEARCH("|",IMDB_Movies!$D790)),LEFT(IMDB_Movies!$D790,SEARCH("|",IMDB_Movies!$D790)-1),IMDB_Movies!$D790)</f>
        <v>Animation</v>
      </c>
      <c r="V790" s="2"/>
      <c r="W790" s="2"/>
    </row>
    <row r="791" spans="1:23" ht="12.5" x14ac:dyDescent="0.25">
      <c r="A791" s="2" t="s">
        <v>708</v>
      </c>
      <c r="B791" s="2">
        <v>108</v>
      </c>
      <c r="C791" s="2">
        <v>166225040</v>
      </c>
      <c r="D791" s="2" t="s">
        <v>709</v>
      </c>
      <c r="E791" s="2" t="s">
        <v>1562</v>
      </c>
      <c r="F791" s="2" t="s">
        <v>14</v>
      </c>
      <c r="G791" s="2" t="s">
        <v>15</v>
      </c>
      <c r="H791" s="2">
        <v>55000000</v>
      </c>
      <c r="I791" s="2">
        <v>7</v>
      </c>
      <c r="J791" s="2">
        <f t="shared" si="6"/>
        <v>111225040</v>
      </c>
      <c r="K791" s="2">
        <f t="shared" si="7"/>
        <v>-6.1411778093379207E-3</v>
      </c>
      <c r="L791" s="2" t="str">
        <f>IF(ISNUMBER(SEARCH("|",IMDB_Movies!$D791)),LEFT(IMDB_Movies!$D791,SEARCH("|",IMDB_Movies!$D791)-1),IMDB_Movies!$D791)</f>
        <v>Comedy</v>
      </c>
      <c r="V791" s="2"/>
      <c r="W791" s="2"/>
    </row>
    <row r="792" spans="1:23" ht="12.5" x14ac:dyDescent="0.25">
      <c r="A792" s="2" t="s">
        <v>1563</v>
      </c>
      <c r="B792" s="2">
        <v>84</v>
      </c>
      <c r="C792" s="2">
        <v>141600000</v>
      </c>
      <c r="D792" s="2" t="s">
        <v>1564</v>
      </c>
      <c r="E792" s="2" t="s">
        <v>1565</v>
      </c>
      <c r="F792" s="2" t="s">
        <v>14</v>
      </c>
      <c r="G792" s="2" t="s">
        <v>15</v>
      </c>
      <c r="H792" s="2">
        <v>55000000</v>
      </c>
      <c r="I792" s="2">
        <v>6.6</v>
      </c>
      <c r="J792" s="2">
        <f t="shared" si="6"/>
        <v>86600000</v>
      </c>
      <c r="K792" s="2">
        <f t="shared" si="7"/>
        <v>-6.2614191476486466E-3</v>
      </c>
      <c r="L792" s="2" t="str">
        <f>IF(ISNUMBER(SEARCH("|",IMDB_Movies!$D792)),LEFT(IMDB_Movies!$D792,SEARCH("|",IMDB_Movies!$D792)-1),IMDB_Movies!$D792)</f>
        <v>Adventure</v>
      </c>
      <c r="V792" s="2"/>
      <c r="W792" s="2"/>
    </row>
    <row r="793" spans="1:23" ht="12.5" x14ac:dyDescent="0.25">
      <c r="A793" s="2" t="s">
        <v>391</v>
      </c>
      <c r="B793" s="2">
        <v>188</v>
      </c>
      <c r="C793" s="2">
        <v>134218018</v>
      </c>
      <c r="D793" s="2" t="s">
        <v>1566</v>
      </c>
      <c r="E793" s="2" t="s">
        <v>1567</v>
      </c>
      <c r="F793" s="2" t="s">
        <v>14</v>
      </c>
      <c r="G793" s="2" t="s">
        <v>15</v>
      </c>
      <c r="H793" s="2">
        <v>55000000</v>
      </c>
      <c r="I793" s="2">
        <v>7.3</v>
      </c>
      <c r="J793" s="2">
        <f t="shared" si="6"/>
        <v>79218018</v>
      </c>
      <c r="K793" s="2">
        <f t="shared" si="7"/>
        <v>-6.3582853447363046E-3</v>
      </c>
      <c r="L793" s="2" t="str">
        <f>IF(ISNUMBER(SEARCH("|",IMDB_Movies!$D793)),LEFT(IMDB_Movies!$D793,SEARCH("|",IMDB_Movies!$D793)-1),IMDB_Movies!$D793)</f>
        <v>Action</v>
      </c>
      <c r="V793" s="2"/>
      <c r="W793" s="2"/>
    </row>
    <row r="794" spans="1:23" ht="12.5" x14ac:dyDescent="0.25">
      <c r="A794" s="2" t="s">
        <v>203</v>
      </c>
      <c r="B794" s="2">
        <v>95</v>
      </c>
      <c r="C794" s="2">
        <v>128769345</v>
      </c>
      <c r="D794" s="2" t="s">
        <v>875</v>
      </c>
      <c r="E794" s="2" t="s">
        <v>1568</v>
      </c>
      <c r="F794" s="2" t="s">
        <v>14</v>
      </c>
      <c r="G794" s="2" t="s">
        <v>15</v>
      </c>
      <c r="H794" s="2">
        <v>54000000</v>
      </c>
      <c r="I794" s="2">
        <v>5.6</v>
      </c>
      <c r="J794" s="2">
        <f t="shared" si="6"/>
        <v>74769345</v>
      </c>
      <c r="K794" s="2">
        <f t="shared" si="7"/>
        <v>-6.4484168339153398E-3</v>
      </c>
      <c r="L794" s="2" t="str">
        <f>IF(ISNUMBER(SEARCH("|",IMDB_Movies!$D794)),LEFT(IMDB_Movies!$D794,SEARCH("|",IMDB_Movies!$D794)-1),IMDB_Movies!$D794)</f>
        <v>Comedy</v>
      </c>
      <c r="V794" s="2"/>
      <c r="W794" s="2"/>
    </row>
    <row r="795" spans="1:23" ht="12.5" x14ac:dyDescent="0.25">
      <c r="A795" s="2" t="s">
        <v>1087</v>
      </c>
      <c r="B795" s="2">
        <v>118</v>
      </c>
      <c r="C795" s="2">
        <v>177575142</v>
      </c>
      <c r="D795" s="2" t="s">
        <v>600</v>
      </c>
      <c r="E795" s="2" t="s">
        <v>1569</v>
      </c>
      <c r="F795" s="2" t="s">
        <v>14</v>
      </c>
      <c r="G795" s="2" t="s">
        <v>15</v>
      </c>
      <c r="H795" s="2">
        <v>70000000</v>
      </c>
      <c r="I795" s="2">
        <v>6.6</v>
      </c>
      <c r="J795" s="2">
        <f t="shared" si="6"/>
        <v>107575142</v>
      </c>
      <c r="K795" s="2">
        <f t="shared" si="7"/>
        <v>-6.5304874695243558E-3</v>
      </c>
      <c r="L795" s="2" t="str">
        <f>IF(ISNUMBER(SEARCH("|",IMDB_Movies!$D795)),LEFT(IMDB_Movies!$D795,SEARCH("|",IMDB_Movies!$D795)-1),IMDB_Movies!$D795)</f>
        <v>Comedy</v>
      </c>
      <c r="V795" s="2"/>
      <c r="W795" s="2"/>
    </row>
    <row r="796" spans="1:23" ht="12.5" x14ac:dyDescent="0.25">
      <c r="A796" s="2" t="s">
        <v>1570</v>
      </c>
      <c r="B796" s="2">
        <v>92</v>
      </c>
      <c r="C796" s="2">
        <v>105263257</v>
      </c>
      <c r="D796" s="2" t="s">
        <v>1571</v>
      </c>
      <c r="E796" s="2" t="s">
        <v>1572</v>
      </c>
      <c r="F796" s="2" t="s">
        <v>14</v>
      </c>
      <c r="G796" s="2" t="s">
        <v>15</v>
      </c>
      <c r="H796" s="2">
        <v>55000000</v>
      </c>
      <c r="I796" s="2">
        <v>5.4</v>
      </c>
      <c r="J796" s="2">
        <f t="shared" si="6"/>
        <v>50263257</v>
      </c>
      <c r="K796" s="2">
        <f t="shared" si="7"/>
        <v>-6.7350050158045951E-3</v>
      </c>
      <c r="L796" s="2" t="str">
        <f>IF(ISNUMBER(SEARCH("|",IMDB_Movies!$D796)),LEFT(IMDB_Movies!$D796,SEARCH("|",IMDB_Movies!$D796)-1),IMDB_Movies!$D796)</f>
        <v>Action</v>
      </c>
      <c r="V796" s="2"/>
      <c r="W796" s="2"/>
    </row>
    <row r="797" spans="1:23" ht="12.5" x14ac:dyDescent="0.25">
      <c r="A797" s="2" t="s">
        <v>1573</v>
      </c>
      <c r="B797" s="2">
        <v>74</v>
      </c>
      <c r="C797" s="2">
        <v>104354205</v>
      </c>
      <c r="D797" s="2" t="s">
        <v>600</v>
      </c>
      <c r="E797" s="2" t="s">
        <v>1574</v>
      </c>
      <c r="F797" s="2" t="s">
        <v>14</v>
      </c>
      <c r="G797" s="2" t="s">
        <v>15</v>
      </c>
      <c r="H797" s="2">
        <v>55000000</v>
      </c>
      <c r="I797" s="2">
        <v>6.3</v>
      </c>
      <c r="J797" s="2">
        <f t="shared" si="6"/>
        <v>49354205</v>
      </c>
      <c r="K797" s="2">
        <f t="shared" si="7"/>
        <v>-6.7988702612713E-3</v>
      </c>
      <c r="L797" s="2" t="str">
        <f>IF(ISNUMBER(SEARCH("|",IMDB_Movies!$D797)),LEFT(IMDB_Movies!$D797,SEARCH("|",IMDB_Movies!$D797)-1),IMDB_Movies!$D797)</f>
        <v>Comedy</v>
      </c>
      <c r="V797" s="2"/>
      <c r="W797" s="2"/>
    </row>
    <row r="798" spans="1:23" ht="12.5" x14ac:dyDescent="0.25">
      <c r="A798" s="2" t="s">
        <v>424</v>
      </c>
      <c r="B798" s="2">
        <v>134</v>
      </c>
      <c r="C798" s="2">
        <v>107100855</v>
      </c>
      <c r="D798" s="2" t="s">
        <v>1243</v>
      </c>
      <c r="E798" s="2" t="s">
        <v>1575</v>
      </c>
      <c r="F798" s="2" t="s">
        <v>14</v>
      </c>
      <c r="G798" s="2" t="s">
        <v>15</v>
      </c>
      <c r="H798" s="2">
        <v>55000000</v>
      </c>
      <c r="I798" s="2">
        <v>7.9</v>
      </c>
      <c r="J798" s="2">
        <f t="shared" si="6"/>
        <v>52100855</v>
      </c>
      <c r="K798" s="2">
        <f t="shared" si="7"/>
        <v>-6.8620100434451884E-3</v>
      </c>
      <c r="L798" s="2" t="str">
        <f>IF(ISNUMBER(SEARCH("|",IMDB_Movies!$D798)),LEFT(IMDB_Movies!$D798,SEARCH("|",IMDB_Movies!$D798)-1),IMDB_Movies!$D798)</f>
        <v>Biography</v>
      </c>
      <c r="V798" s="2"/>
      <c r="W798" s="2"/>
    </row>
    <row r="799" spans="1:23" ht="12.5" x14ac:dyDescent="0.25">
      <c r="A799" s="2" t="s">
        <v>302</v>
      </c>
      <c r="B799" s="2">
        <v>101</v>
      </c>
      <c r="C799" s="2">
        <v>98711404</v>
      </c>
      <c r="D799" s="2" t="s">
        <v>1454</v>
      </c>
      <c r="E799" s="2" t="s">
        <v>1576</v>
      </c>
      <c r="F799" s="2" t="s">
        <v>14</v>
      </c>
      <c r="G799" s="2" t="s">
        <v>15</v>
      </c>
      <c r="H799" s="2">
        <v>55000000</v>
      </c>
      <c r="I799" s="2">
        <v>6.3</v>
      </c>
      <c r="J799" s="2">
        <f t="shared" si="6"/>
        <v>43711404</v>
      </c>
      <c r="K799" s="2">
        <f t="shared" si="7"/>
        <v>-6.9278027477328499E-3</v>
      </c>
      <c r="L799" s="2" t="str">
        <f>IF(ISNUMBER(SEARCH("|",IMDB_Movies!$D799)),LEFT(IMDB_Movies!$D799,SEARCH("|",IMDB_Movies!$D799)-1),IMDB_Movies!$D799)</f>
        <v>Comedy</v>
      </c>
      <c r="V799" s="2"/>
      <c r="W799" s="2"/>
    </row>
    <row r="800" spans="1:23" ht="12.5" x14ac:dyDescent="0.25">
      <c r="A800" s="2" t="s">
        <v>669</v>
      </c>
      <c r="B800" s="2">
        <v>100</v>
      </c>
      <c r="C800" s="2">
        <v>100328194</v>
      </c>
      <c r="D800" s="2" t="s">
        <v>204</v>
      </c>
      <c r="E800" s="2" t="s">
        <v>1577</v>
      </c>
      <c r="F800" s="2" t="s">
        <v>14</v>
      </c>
      <c r="G800" s="2" t="s">
        <v>15</v>
      </c>
      <c r="H800" s="2">
        <v>50000000</v>
      </c>
      <c r="I800" s="2">
        <v>6</v>
      </c>
      <c r="J800" s="2">
        <f t="shared" si="6"/>
        <v>50328194</v>
      </c>
      <c r="K800" s="2">
        <f t="shared" si="7"/>
        <v>-6.9859682370033253E-3</v>
      </c>
      <c r="L800" s="2" t="str">
        <f>IF(ISNUMBER(SEARCH("|",IMDB_Movies!$D800)),LEFT(IMDB_Movies!$D800,SEARCH("|",IMDB_Movies!$D800)-1),IMDB_Movies!$D800)</f>
        <v>Comedy</v>
      </c>
      <c r="V800" s="2"/>
      <c r="W800" s="2"/>
    </row>
    <row r="801" spans="1:23" ht="12.5" x14ac:dyDescent="0.25">
      <c r="A801" s="2" t="s">
        <v>1071</v>
      </c>
      <c r="B801" s="2">
        <v>132</v>
      </c>
      <c r="C801" s="2">
        <v>101530738</v>
      </c>
      <c r="D801" s="2" t="s">
        <v>125</v>
      </c>
      <c r="E801" s="2" t="s">
        <v>1578</v>
      </c>
      <c r="F801" s="2" t="s">
        <v>14</v>
      </c>
      <c r="G801" s="2" t="s">
        <v>15</v>
      </c>
      <c r="H801" s="2">
        <v>55000000</v>
      </c>
      <c r="I801" s="2">
        <v>7.2</v>
      </c>
      <c r="J801" s="2">
        <f t="shared" si="6"/>
        <v>46530738</v>
      </c>
      <c r="K801" s="2">
        <f t="shared" si="7"/>
        <v>-7.034520988776184E-3</v>
      </c>
      <c r="L801" s="2" t="str">
        <f>IF(ISNUMBER(SEARCH("|",IMDB_Movies!$D801)),LEFT(IMDB_Movies!$D801,SEARCH("|",IMDB_Movies!$D801)-1),IMDB_Movies!$D801)</f>
        <v>Action</v>
      </c>
      <c r="V801" s="2"/>
      <c r="W801" s="2"/>
    </row>
    <row r="802" spans="1:23" ht="12.5" x14ac:dyDescent="0.25">
      <c r="A802" s="2" t="s">
        <v>1579</v>
      </c>
      <c r="B802" s="2">
        <v>105</v>
      </c>
      <c r="C802" s="2">
        <v>93815117</v>
      </c>
      <c r="D802" s="2" t="s">
        <v>514</v>
      </c>
      <c r="E802" s="2" t="s">
        <v>1580</v>
      </c>
      <c r="F802" s="2" t="s">
        <v>14</v>
      </c>
      <c r="G802" s="2" t="s">
        <v>15</v>
      </c>
      <c r="H802" s="2">
        <v>55000000</v>
      </c>
      <c r="I802" s="2">
        <v>5.0999999999999996</v>
      </c>
      <c r="J802" s="2">
        <f t="shared" si="6"/>
        <v>38815117</v>
      </c>
      <c r="K802" s="2">
        <f t="shared" si="7"/>
        <v>-7.0954662933363118E-3</v>
      </c>
      <c r="L802" s="2" t="str">
        <f>IF(ISNUMBER(SEARCH("|",IMDB_Movies!$D802)),LEFT(IMDB_Movies!$D802,SEARCH("|",IMDB_Movies!$D802)-1),IMDB_Movies!$D802)</f>
        <v>Comedy</v>
      </c>
      <c r="V802" s="2"/>
      <c r="W802" s="2"/>
    </row>
    <row r="803" spans="1:23" ht="12.5" x14ac:dyDescent="0.25">
      <c r="A803" s="2" t="s">
        <v>618</v>
      </c>
      <c r="B803" s="2">
        <v>123</v>
      </c>
      <c r="C803" s="2">
        <v>91400000</v>
      </c>
      <c r="D803" s="2" t="s">
        <v>684</v>
      </c>
      <c r="E803" s="2" t="s">
        <v>1581</v>
      </c>
      <c r="F803" s="2" t="s">
        <v>14</v>
      </c>
      <c r="G803" s="2" t="s">
        <v>15</v>
      </c>
      <c r="H803" s="2">
        <v>53000000</v>
      </c>
      <c r="I803" s="2">
        <v>7.3</v>
      </c>
      <c r="J803" s="2">
        <f t="shared" si="6"/>
        <v>38400000</v>
      </c>
      <c r="K803" s="2">
        <f t="shared" si="7"/>
        <v>-7.1494106144267622E-3</v>
      </c>
      <c r="L803" s="2" t="str">
        <f>IF(ISNUMBER(SEARCH("|",IMDB_Movies!$D803)),LEFT(IMDB_Movies!$D803,SEARCH("|",IMDB_Movies!$D803)-1),IMDB_Movies!$D803)</f>
        <v>Action</v>
      </c>
      <c r="V803" s="2"/>
      <c r="W803" s="2"/>
    </row>
    <row r="804" spans="1:23" ht="12.5" x14ac:dyDescent="0.25">
      <c r="A804" s="2" t="s">
        <v>1582</v>
      </c>
      <c r="B804" s="2">
        <v>117</v>
      </c>
      <c r="C804" s="2">
        <v>162586036</v>
      </c>
      <c r="D804" s="2" t="s">
        <v>555</v>
      </c>
      <c r="E804" s="2" t="s">
        <v>1583</v>
      </c>
      <c r="F804" s="2" t="s">
        <v>14</v>
      </c>
      <c r="G804" s="2" t="s">
        <v>15</v>
      </c>
      <c r="H804" s="2">
        <v>55000000</v>
      </c>
      <c r="I804" s="2">
        <v>8</v>
      </c>
      <c r="J804" s="2">
        <f t="shared" si="6"/>
        <v>107586036</v>
      </c>
      <c r="K804" s="2">
        <f t="shared" si="7"/>
        <v>-7.1973223828360588E-3</v>
      </c>
      <c r="L804" s="2" t="str">
        <f>IF(ISNUMBER(SEARCH("|",IMDB_Movies!$D804)),LEFT(IMDB_Movies!$D804,SEARCH("|",IMDB_Movies!$D804)-1),IMDB_Movies!$D804)</f>
        <v>Biography</v>
      </c>
      <c r="V804" s="2"/>
      <c r="W804" s="2"/>
    </row>
    <row r="805" spans="1:23" ht="12.5" x14ac:dyDescent="0.25">
      <c r="A805" s="2" t="s">
        <v>460</v>
      </c>
      <c r="B805" s="2">
        <v>98</v>
      </c>
      <c r="C805" s="2">
        <v>89706988</v>
      </c>
      <c r="D805" s="2" t="s">
        <v>690</v>
      </c>
      <c r="E805" s="2" t="s">
        <v>1584</v>
      </c>
      <c r="F805" s="2" t="s">
        <v>14</v>
      </c>
      <c r="G805" s="2" t="s">
        <v>15</v>
      </c>
      <c r="H805" s="2">
        <v>55000000</v>
      </c>
      <c r="I805" s="2">
        <v>6.2</v>
      </c>
      <c r="J805" s="2">
        <f t="shared" si="6"/>
        <v>34706988</v>
      </c>
      <c r="K805" s="2">
        <f t="shared" si="7"/>
        <v>-7.3180553365945625E-3</v>
      </c>
      <c r="L805" s="2" t="str">
        <f>IF(ISNUMBER(SEARCH("|",IMDB_Movies!$D805)),LEFT(IMDB_Movies!$D805,SEARCH("|",IMDB_Movies!$D805)-1),IMDB_Movies!$D805)</f>
        <v>Drama</v>
      </c>
      <c r="V805" s="2"/>
      <c r="W805" s="2"/>
    </row>
    <row r="806" spans="1:23" ht="12.5" x14ac:dyDescent="0.25">
      <c r="A806" s="2" t="s">
        <v>1081</v>
      </c>
      <c r="B806" s="2">
        <v>128</v>
      </c>
      <c r="C806" s="2">
        <v>83000000</v>
      </c>
      <c r="D806" s="2" t="s">
        <v>1400</v>
      </c>
      <c r="E806" s="2" t="s">
        <v>1585</v>
      </c>
      <c r="F806" s="2" t="s">
        <v>14</v>
      </c>
      <c r="G806" s="2" t="s">
        <v>15</v>
      </c>
      <c r="H806" s="2">
        <v>55000000</v>
      </c>
      <c r="I806" s="2">
        <v>6</v>
      </c>
      <c r="J806" s="2">
        <f t="shared" si="6"/>
        <v>28000000</v>
      </c>
      <c r="K806" s="2">
        <f t="shared" si="7"/>
        <v>-7.3685824136444124E-3</v>
      </c>
      <c r="L806" s="2" t="str">
        <f>IF(ISNUMBER(SEARCH("|",IMDB_Movies!$D806)),LEFT(IMDB_Movies!$D806,SEARCH("|",IMDB_Movies!$D806)-1),IMDB_Movies!$D806)</f>
        <v>Drama</v>
      </c>
      <c r="V806" s="2"/>
      <c r="W806" s="2"/>
    </row>
    <row r="807" spans="1:23" ht="12.5" x14ac:dyDescent="0.25">
      <c r="A807" s="2" t="s">
        <v>669</v>
      </c>
      <c r="B807" s="2">
        <v>114</v>
      </c>
      <c r="C807" s="2">
        <v>78745923</v>
      </c>
      <c r="D807" s="2" t="s">
        <v>256</v>
      </c>
      <c r="E807" s="2" t="s">
        <v>1586</v>
      </c>
      <c r="F807" s="2" t="s">
        <v>14</v>
      </c>
      <c r="G807" s="2" t="s">
        <v>287</v>
      </c>
      <c r="H807" s="2">
        <v>55000000</v>
      </c>
      <c r="I807" s="2">
        <v>6.7</v>
      </c>
      <c r="J807" s="2">
        <f t="shared" si="6"/>
        <v>23745923</v>
      </c>
      <c r="K807" s="2">
        <f t="shared" si="7"/>
        <v>-7.4130676051677256E-3</v>
      </c>
      <c r="L807" s="2" t="str">
        <f>IF(ISNUMBER(SEARCH("|",IMDB_Movies!$D807)),LEFT(IMDB_Movies!$D807,SEARCH("|",IMDB_Movies!$D807)-1),IMDB_Movies!$D807)</f>
        <v>Drama</v>
      </c>
      <c r="V807" s="2"/>
      <c r="W807" s="2"/>
    </row>
    <row r="808" spans="1:23" ht="12.5" x14ac:dyDescent="0.25">
      <c r="A808" s="2" t="s">
        <v>628</v>
      </c>
      <c r="B808" s="2">
        <v>111</v>
      </c>
      <c r="C808" s="2">
        <v>70098138</v>
      </c>
      <c r="D808" s="2" t="s">
        <v>483</v>
      </c>
      <c r="E808" s="2" t="s">
        <v>1587</v>
      </c>
      <c r="F808" s="2" t="s">
        <v>14</v>
      </c>
      <c r="G808" s="2" t="s">
        <v>15</v>
      </c>
      <c r="H808" s="2">
        <v>30000000</v>
      </c>
      <c r="I808" s="2">
        <v>8.1</v>
      </c>
      <c r="J808" s="2">
        <f t="shared" si="6"/>
        <v>40098138</v>
      </c>
      <c r="K808" s="2">
        <f t="shared" si="7"/>
        <v>-7.4537618250039546E-3</v>
      </c>
      <c r="L808" s="2" t="str">
        <f>IF(ISNUMBER(SEARCH("|",IMDB_Movies!$D808)),LEFT(IMDB_Movies!$D808,SEARCH("|",IMDB_Movies!$D808)-1),IMDB_Movies!$D808)</f>
        <v>Action</v>
      </c>
      <c r="V808" s="2"/>
      <c r="W808" s="2"/>
    </row>
    <row r="809" spans="1:23" ht="12.5" x14ac:dyDescent="0.25">
      <c r="A809" s="2" t="s">
        <v>703</v>
      </c>
      <c r="B809" s="2">
        <v>85</v>
      </c>
      <c r="C809" s="2">
        <v>66365290</v>
      </c>
      <c r="D809" s="2" t="s">
        <v>709</v>
      </c>
      <c r="E809" s="2" t="s">
        <v>1588</v>
      </c>
      <c r="F809" s="2" t="s">
        <v>14</v>
      </c>
      <c r="G809" s="2" t="s">
        <v>15</v>
      </c>
      <c r="H809" s="2">
        <v>55000000</v>
      </c>
      <c r="I809" s="2">
        <v>6.4</v>
      </c>
      <c r="J809" s="2">
        <f t="shared" si="6"/>
        <v>11365290</v>
      </c>
      <c r="K809" s="2">
        <f t="shared" si="7"/>
        <v>-7.4552439050887534E-3</v>
      </c>
      <c r="L809" s="2" t="str">
        <f>IF(ISNUMBER(SEARCH("|",IMDB_Movies!$D809)),LEFT(IMDB_Movies!$D809,SEARCH("|",IMDB_Movies!$D809)-1),IMDB_Movies!$D809)</f>
        <v>Comedy</v>
      </c>
      <c r="V809" s="2"/>
      <c r="W809" s="2"/>
    </row>
    <row r="810" spans="1:23" ht="12.5" x14ac:dyDescent="0.25">
      <c r="A810" s="2" t="s">
        <v>628</v>
      </c>
      <c r="B810" s="2">
        <v>137</v>
      </c>
      <c r="C810" s="2">
        <v>66207920</v>
      </c>
      <c r="D810" s="2" t="s">
        <v>177</v>
      </c>
      <c r="E810" s="2" t="s">
        <v>1589</v>
      </c>
      <c r="F810" s="2" t="s">
        <v>14</v>
      </c>
      <c r="G810" s="2" t="s">
        <v>15</v>
      </c>
      <c r="H810" s="2">
        <v>30000000</v>
      </c>
      <c r="I810" s="2">
        <v>8</v>
      </c>
      <c r="J810" s="2">
        <f t="shared" si="6"/>
        <v>36207920</v>
      </c>
      <c r="K810" s="2">
        <f t="shared" si="7"/>
        <v>-7.4849557618825516E-3</v>
      </c>
      <c r="L810" s="2" t="str">
        <f>IF(ISNUMBER(SEARCH("|",IMDB_Movies!$D810)),LEFT(IMDB_Movies!$D810,SEARCH("|",IMDB_Movies!$D810)-1),IMDB_Movies!$D810)</f>
        <v>Action</v>
      </c>
      <c r="V810" s="2"/>
      <c r="W810" s="2"/>
    </row>
    <row r="811" spans="1:23" ht="12.5" x14ac:dyDescent="0.25">
      <c r="A811" s="2" t="s">
        <v>817</v>
      </c>
      <c r="B811" s="2">
        <v>97</v>
      </c>
      <c r="C811" s="2">
        <v>63408614</v>
      </c>
      <c r="D811" s="2" t="s">
        <v>150</v>
      </c>
      <c r="E811" s="2" t="s">
        <v>1590</v>
      </c>
      <c r="F811" s="2" t="s">
        <v>14</v>
      </c>
      <c r="G811" s="2" t="s">
        <v>15</v>
      </c>
      <c r="H811" s="2">
        <v>55000000</v>
      </c>
      <c r="I811" s="2">
        <v>6.3</v>
      </c>
      <c r="J811" s="2">
        <f t="shared" si="6"/>
        <v>8408614</v>
      </c>
      <c r="K811" s="2">
        <f t="shared" si="7"/>
        <v>-7.4862024206044453E-3</v>
      </c>
      <c r="L811" s="2" t="str">
        <f>IF(ISNUMBER(SEARCH("|",IMDB_Movies!$D811)),LEFT(IMDB_Movies!$D811,SEARCH("|",IMDB_Movies!$D811)-1),IMDB_Movies!$D811)</f>
        <v>Action</v>
      </c>
      <c r="V811" s="2"/>
      <c r="W811" s="2"/>
    </row>
    <row r="812" spans="1:23" ht="12.5" x14ac:dyDescent="0.25">
      <c r="A812" s="2" t="s">
        <v>160</v>
      </c>
      <c r="B812" s="2">
        <v>104</v>
      </c>
      <c r="C812" s="2">
        <v>58422650</v>
      </c>
      <c r="D812" s="2" t="s">
        <v>327</v>
      </c>
      <c r="E812" s="2" t="s">
        <v>1591</v>
      </c>
      <c r="F812" s="2" t="s">
        <v>14</v>
      </c>
      <c r="G812" s="2" t="s">
        <v>15</v>
      </c>
      <c r="H812" s="2">
        <v>55000000</v>
      </c>
      <c r="I812" s="2">
        <v>6.4</v>
      </c>
      <c r="J812" s="2">
        <f t="shared" si="6"/>
        <v>3422650</v>
      </c>
      <c r="K812" s="2">
        <f t="shared" si="7"/>
        <v>-7.513350042371799E-3</v>
      </c>
      <c r="L812" s="2" t="str">
        <f>IF(ISNUMBER(SEARCH("|",IMDB_Movies!$D812)),LEFT(IMDB_Movies!$D812,SEARCH("|",IMDB_Movies!$D812)-1),IMDB_Movies!$D812)</f>
        <v>Comedy</v>
      </c>
      <c r="V812" s="2"/>
      <c r="W812" s="2"/>
    </row>
    <row r="813" spans="1:23" ht="12.5" x14ac:dyDescent="0.25">
      <c r="A813" s="2" t="s">
        <v>1592</v>
      </c>
      <c r="B813" s="2">
        <v>110</v>
      </c>
      <c r="C813" s="2">
        <v>56932305</v>
      </c>
      <c r="D813" s="2" t="s">
        <v>1593</v>
      </c>
      <c r="E813" s="2" t="s">
        <v>1594</v>
      </c>
      <c r="F813" s="2" t="s">
        <v>14</v>
      </c>
      <c r="G813" s="2" t="s">
        <v>15</v>
      </c>
      <c r="H813" s="2">
        <v>55000000</v>
      </c>
      <c r="I813" s="2">
        <v>6.6</v>
      </c>
      <c r="J813" s="2">
        <f t="shared" si="6"/>
        <v>1932305</v>
      </c>
      <c r="K813" s="2">
        <f t="shared" si="7"/>
        <v>-7.5361547816167511E-3</v>
      </c>
      <c r="L813" s="2" t="str">
        <f>IF(ISNUMBER(SEARCH("|",IMDB_Movies!$D813)),LEFT(IMDB_Movies!$D813,SEARCH("|",IMDB_Movies!$D813)-1),IMDB_Movies!$D813)</f>
        <v>Action</v>
      </c>
      <c r="V813" s="2"/>
      <c r="W813" s="2"/>
    </row>
    <row r="814" spans="1:23" ht="12.5" x14ac:dyDescent="0.25">
      <c r="A814" s="2" t="s">
        <v>1461</v>
      </c>
      <c r="B814" s="2">
        <v>133</v>
      </c>
      <c r="C814" s="2">
        <v>68750000</v>
      </c>
      <c r="D814" s="2" t="s">
        <v>20</v>
      </c>
      <c r="E814" s="2" t="s">
        <v>1595</v>
      </c>
      <c r="F814" s="2" t="s">
        <v>14</v>
      </c>
      <c r="G814" s="2" t="s">
        <v>15</v>
      </c>
      <c r="H814" s="2">
        <v>55000000</v>
      </c>
      <c r="I814" s="2">
        <v>6.4</v>
      </c>
      <c r="J814" s="2">
        <f t="shared" si="6"/>
        <v>13750000</v>
      </c>
      <c r="K814" s="2">
        <f t="shared" si="7"/>
        <v>-7.5576796593905008E-3</v>
      </c>
      <c r="L814" s="2" t="str">
        <f>IF(ISNUMBER(SEARCH("|",IMDB_Movies!$D814)),LEFT(IMDB_Movies!$D814,SEARCH("|",IMDB_Movies!$D814)-1),IMDB_Movies!$D814)</f>
        <v>Action</v>
      </c>
      <c r="V814" s="2"/>
      <c r="W814" s="2"/>
    </row>
    <row r="815" spans="1:23" ht="12.5" x14ac:dyDescent="0.25">
      <c r="A815" s="2" t="s">
        <v>735</v>
      </c>
      <c r="B815" s="2">
        <v>94</v>
      </c>
      <c r="C815" s="2">
        <v>68218041</v>
      </c>
      <c r="D815" s="2" t="s">
        <v>204</v>
      </c>
      <c r="E815" s="2" t="s">
        <v>1596</v>
      </c>
      <c r="F815" s="2" t="s">
        <v>14</v>
      </c>
      <c r="G815" s="2" t="s">
        <v>15</v>
      </c>
      <c r="H815" s="2">
        <v>55000000</v>
      </c>
      <c r="I815" s="2">
        <v>6</v>
      </c>
      <c r="J815" s="2">
        <f t="shared" si="6"/>
        <v>13218041</v>
      </c>
      <c r="K815" s="2">
        <f t="shared" si="7"/>
        <v>-7.5896187372555338E-3</v>
      </c>
      <c r="L815" s="2" t="str">
        <f>IF(ISNUMBER(SEARCH("|",IMDB_Movies!$D815)),LEFT(IMDB_Movies!$D815,SEARCH("|",IMDB_Movies!$D815)-1),IMDB_Movies!$D815)</f>
        <v>Comedy</v>
      </c>
      <c r="V815" s="2"/>
      <c r="W815" s="2"/>
    </row>
    <row r="816" spans="1:23" ht="12.5" x14ac:dyDescent="0.25">
      <c r="A816" s="2" t="s">
        <v>350</v>
      </c>
      <c r="B816" s="2">
        <v>104</v>
      </c>
      <c r="C816" s="2">
        <v>25040293</v>
      </c>
      <c r="D816" s="2" t="s">
        <v>17</v>
      </c>
      <c r="E816" s="2" t="s">
        <v>1597</v>
      </c>
      <c r="F816" s="2" t="s">
        <v>14</v>
      </c>
      <c r="G816" s="2" t="s">
        <v>15</v>
      </c>
      <c r="H816" s="2">
        <v>55000000</v>
      </c>
      <c r="I816" s="2">
        <v>6.6</v>
      </c>
      <c r="J816" s="2">
        <f t="shared" si="6"/>
        <v>-29959707</v>
      </c>
      <c r="K816" s="2">
        <f t="shared" si="7"/>
        <v>-7.6211154565418134E-3</v>
      </c>
      <c r="L816" s="2" t="str">
        <f>IF(ISNUMBER(SEARCH("|",IMDB_Movies!$D816)),LEFT(IMDB_Movies!$D816,SEARCH("|",IMDB_Movies!$D816)-1),IMDB_Movies!$D816)</f>
        <v>Action</v>
      </c>
      <c r="V816" s="2"/>
      <c r="W816" s="2"/>
    </row>
    <row r="817" spans="1:23" ht="12.5" x14ac:dyDescent="0.25">
      <c r="A817" s="2" t="s">
        <v>1598</v>
      </c>
      <c r="B817" s="2">
        <v>91</v>
      </c>
      <c r="C817" s="2">
        <v>55747724</v>
      </c>
      <c r="D817" s="2" t="s">
        <v>181</v>
      </c>
      <c r="E817" s="2" t="s">
        <v>1599</v>
      </c>
      <c r="F817" s="2" t="s">
        <v>14</v>
      </c>
      <c r="G817" s="2" t="s">
        <v>15</v>
      </c>
      <c r="H817" s="2">
        <v>55000000</v>
      </c>
      <c r="I817" s="2">
        <v>5.9</v>
      </c>
      <c r="J817" s="2">
        <f t="shared" si="6"/>
        <v>747724</v>
      </c>
      <c r="K817" s="2">
        <f t="shared" si="7"/>
        <v>-7.6156849518272136E-3</v>
      </c>
      <c r="L817" s="2" t="str">
        <f>IF(ISNUMBER(SEARCH("|",IMDB_Movies!$D817)),LEFT(IMDB_Movies!$D817,SEARCH("|",IMDB_Movies!$D817)-1),IMDB_Movies!$D817)</f>
        <v>Adventure</v>
      </c>
      <c r="V817" s="2"/>
      <c r="W817" s="2"/>
    </row>
    <row r="818" spans="1:23" ht="12.5" x14ac:dyDescent="0.25">
      <c r="A818" s="2" t="s">
        <v>255</v>
      </c>
      <c r="B818" s="2">
        <v>145</v>
      </c>
      <c r="C818" s="2">
        <v>55473600</v>
      </c>
      <c r="D818" s="2" t="s">
        <v>1436</v>
      </c>
      <c r="E818" s="2" t="s">
        <v>1600</v>
      </c>
      <c r="F818" s="2" t="s">
        <v>14</v>
      </c>
      <c r="G818" s="2" t="s">
        <v>15</v>
      </c>
      <c r="H818" s="2">
        <v>50000000</v>
      </c>
      <c r="I818" s="2">
        <v>6.4</v>
      </c>
      <c r="J818" s="2">
        <f t="shared" si="6"/>
        <v>5473600</v>
      </c>
      <c r="K818" s="2">
        <f t="shared" si="7"/>
        <v>-7.6362462654686689E-3</v>
      </c>
      <c r="L818" s="2" t="str">
        <f>IF(ISNUMBER(SEARCH("|",IMDB_Movies!$D818)),LEFT(IMDB_Movies!$D818,SEARCH("|",IMDB_Movies!$D818)-1),IMDB_Movies!$D818)</f>
        <v>Action</v>
      </c>
      <c r="V818" s="2"/>
      <c r="W818" s="2"/>
    </row>
    <row r="819" spans="1:23" ht="12.5" x14ac:dyDescent="0.25">
      <c r="A819" s="2" t="s">
        <v>1601</v>
      </c>
      <c r="B819" s="2">
        <v>135</v>
      </c>
      <c r="C819" s="2">
        <v>49994804</v>
      </c>
      <c r="D819" s="2" t="s">
        <v>1602</v>
      </c>
      <c r="E819" s="2" t="s">
        <v>1603</v>
      </c>
      <c r="F819" s="2" t="s">
        <v>14</v>
      </c>
      <c r="G819" s="2" t="s">
        <v>15</v>
      </c>
      <c r="H819" s="2">
        <v>55000000</v>
      </c>
      <c r="I819" s="2">
        <v>6.3</v>
      </c>
      <c r="J819" s="2">
        <f t="shared" si="6"/>
        <v>-5005196</v>
      </c>
      <c r="K819" s="2">
        <f t="shared" si="7"/>
        <v>-7.6526606393531949E-3</v>
      </c>
      <c r="L819" s="2" t="str">
        <f>IF(ISNUMBER(SEARCH("|",IMDB_Movies!$D819)),LEFT(IMDB_Movies!$D819,SEARCH("|",IMDB_Movies!$D819)-1),IMDB_Movies!$D819)</f>
        <v>Biography</v>
      </c>
      <c r="V819" s="2"/>
      <c r="W819" s="2"/>
    </row>
    <row r="820" spans="1:23" ht="12.5" x14ac:dyDescent="0.25">
      <c r="A820" s="2" t="s">
        <v>1604</v>
      </c>
      <c r="B820" s="2">
        <v>122</v>
      </c>
      <c r="C820" s="2">
        <v>41609593</v>
      </c>
      <c r="D820" s="2" t="s">
        <v>1156</v>
      </c>
      <c r="E820" s="2" t="s">
        <v>1605</v>
      </c>
      <c r="F820" s="2" t="s">
        <v>14</v>
      </c>
      <c r="G820" s="2" t="s">
        <v>22</v>
      </c>
      <c r="H820" s="2">
        <v>55000000</v>
      </c>
      <c r="I820" s="2">
        <v>7.3</v>
      </c>
      <c r="J820" s="2">
        <f t="shared" si="6"/>
        <v>-13390407</v>
      </c>
      <c r="K820" s="2">
        <f t="shared" si="7"/>
        <v>-7.6682674859325142E-3</v>
      </c>
      <c r="L820" s="2" t="str">
        <f>IF(ISNUMBER(SEARCH("|",IMDB_Movies!$D820)),LEFT(IMDB_Movies!$D820,SEARCH("|",IMDB_Movies!$D820)-1),IMDB_Movies!$D820)</f>
        <v>Action</v>
      </c>
      <c r="V820" s="2"/>
      <c r="W820" s="2"/>
    </row>
    <row r="821" spans="1:23" ht="12.5" x14ac:dyDescent="0.25">
      <c r="A821" s="2" t="s">
        <v>957</v>
      </c>
      <c r="B821" s="2">
        <v>110</v>
      </c>
      <c r="C821" s="2">
        <v>38553833</v>
      </c>
      <c r="D821" s="2" t="s">
        <v>1606</v>
      </c>
      <c r="E821" s="2" t="s">
        <v>1607</v>
      </c>
      <c r="F821" s="2" t="s">
        <v>14</v>
      </c>
      <c r="G821" s="2" t="s">
        <v>15</v>
      </c>
      <c r="H821" s="2">
        <v>55000000</v>
      </c>
      <c r="I821" s="2">
        <v>6.8</v>
      </c>
      <c r="J821" s="2">
        <f t="shared" si="6"/>
        <v>-16446167</v>
      </c>
      <c r="K821" s="2">
        <f t="shared" si="7"/>
        <v>-7.6767083475118856E-3</v>
      </c>
      <c r="L821" s="2" t="str">
        <f>IF(ISNUMBER(SEARCH("|",IMDB_Movies!$D821)),LEFT(IMDB_Movies!$D821,SEARCH("|",IMDB_Movies!$D821)-1),IMDB_Movies!$D821)</f>
        <v>Adventure</v>
      </c>
      <c r="V821" s="2"/>
      <c r="W821" s="2"/>
    </row>
    <row r="822" spans="1:23" ht="12.5" x14ac:dyDescent="0.25">
      <c r="A822" s="2" t="s">
        <v>1608</v>
      </c>
      <c r="B822" s="2">
        <v>95</v>
      </c>
      <c r="C822" s="2">
        <v>76137505</v>
      </c>
      <c r="D822" s="2" t="s">
        <v>296</v>
      </c>
      <c r="E822" s="2" t="s">
        <v>1609</v>
      </c>
      <c r="F822" s="2" t="s">
        <v>14</v>
      </c>
      <c r="G822" s="2" t="s">
        <v>22</v>
      </c>
      <c r="H822" s="2">
        <v>55000000</v>
      </c>
      <c r="I822" s="2">
        <v>7.2</v>
      </c>
      <c r="J822" s="2">
        <f t="shared" si="6"/>
        <v>21137505</v>
      </c>
      <c r="K822" s="2">
        <f t="shared" si="7"/>
        <v>-7.6825656225722409E-3</v>
      </c>
      <c r="L822" s="2" t="str">
        <f>IF(ISNUMBER(SEARCH("|",IMDB_Movies!$D822)),LEFT(IMDB_Movies!$D822,SEARCH("|",IMDB_Movies!$D822)-1),IMDB_Movies!$D822)</f>
        <v>Animation</v>
      </c>
      <c r="V822" s="2"/>
      <c r="W822" s="2"/>
    </row>
    <row r="823" spans="1:23" ht="12.5" x14ac:dyDescent="0.25">
      <c r="A823" s="2" t="s">
        <v>1610</v>
      </c>
      <c r="B823" s="2">
        <v>102</v>
      </c>
      <c r="C823" s="2">
        <v>34350553</v>
      </c>
      <c r="D823" s="2" t="s">
        <v>682</v>
      </c>
      <c r="E823" s="2" t="s">
        <v>1611</v>
      </c>
      <c r="F823" s="2" t="s">
        <v>14</v>
      </c>
      <c r="G823" s="2" t="s">
        <v>15</v>
      </c>
      <c r="H823" s="2">
        <v>68000000</v>
      </c>
      <c r="I823" s="2">
        <v>5.7</v>
      </c>
      <c r="J823" s="2">
        <f t="shared" si="6"/>
        <v>-33649447</v>
      </c>
      <c r="K823" s="2">
        <f t="shared" si="7"/>
        <v>-7.721300307608806E-3</v>
      </c>
      <c r="L823" s="2" t="str">
        <f>IF(ISNUMBER(SEARCH("|",IMDB_Movies!$D823)),LEFT(IMDB_Movies!$D823,SEARCH("|",IMDB_Movies!$D823)-1),IMDB_Movies!$D823)</f>
        <v>Action</v>
      </c>
      <c r="V823" s="2"/>
      <c r="W823" s="2"/>
    </row>
    <row r="824" spans="1:23" ht="12.5" x14ac:dyDescent="0.25">
      <c r="A824" s="2" t="s">
        <v>1612</v>
      </c>
      <c r="B824" s="2">
        <v>94</v>
      </c>
      <c r="C824" s="2">
        <v>34238611</v>
      </c>
      <c r="D824" s="2" t="s">
        <v>177</v>
      </c>
      <c r="E824" s="2" t="s">
        <v>1613</v>
      </c>
      <c r="F824" s="2" t="s">
        <v>14</v>
      </c>
      <c r="G824" s="2" t="s">
        <v>15</v>
      </c>
      <c r="H824" s="2">
        <v>55000000</v>
      </c>
      <c r="I824" s="2">
        <v>6</v>
      </c>
      <c r="J824" s="2">
        <f t="shared" si="6"/>
        <v>-20761389</v>
      </c>
      <c r="K824" s="2">
        <f t="shared" si="7"/>
        <v>-7.7248385143776997E-3</v>
      </c>
      <c r="L824" s="2" t="str">
        <f>IF(ISNUMBER(SEARCH("|",IMDB_Movies!$D824)),LEFT(IMDB_Movies!$D824,SEARCH("|",IMDB_Movies!$D824)-1),IMDB_Movies!$D824)</f>
        <v>Action</v>
      </c>
      <c r="V824" s="2"/>
      <c r="W824" s="2"/>
    </row>
    <row r="825" spans="1:23" ht="12.5" x14ac:dyDescent="0.25">
      <c r="A825" s="2" t="s">
        <v>264</v>
      </c>
      <c r="B825" s="2">
        <v>126</v>
      </c>
      <c r="C825" s="2">
        <v>34098563</v>
      </c>
      <c r="D825" s="2" t="s">
        <v>1400</v>
      </c>
      <c r="E825" s="2" t="s">
        <v>1614</v>
      </c>
      <c r="F825" s="2" t="s">
        <v>14</v>
      </c>
      <c r="G825" s="2" t="s">
        <v>15</v>
      </c>
      <c r="H825" s="2">
        <v>55000000</v>
      </c>
      <c r="I825" s="2">
        <v>6.5</v>
      </c>
      <c r="J825" s="2">
        <f t="shared" si="6"/>
        <v>-20901437</v>
      </c>
      <c r="K825" s="2">
        <f t="shared" si="7"/>
        <v>-7.7270823342485175E-3</v>
      </c>
      <c r="L825" s="2" t="str">
        <f>IF(ISNUMBER(SEARCH("|",IMDB_Movies!$D825)),LEFT(IMDB_Movies!$D825,SEARCH("|",IMDB_Movies!$D825)-1),IMDB_Movies!$D825)</f>
        <v>Drama</v>
      </c>
      <c r="V825" s="2"/>
      <c r="W825" s="2"/>
    </row>
    <row r="826" spans="1:23" ht="12.5" x14ac:dyDescent="0.25">
      <c r="A826" s="2" t="s">
        <v>1211</v>
      </c>
      <c r="B826" s="2">
        <v>118</v>
      </c>
      <c r="C826" s="2">
        <v>33828318</v>
      </c>
      <c r="D826" s="2" t="s">
        <v>709</v>
      </c>
      <c r="E826" s="2" t="s">
        <v>1615</v>
      </c>
      <c r="F826" s="2" t="s">
        <v>14</v>
      </c>
      <c r="G826" s="2" t="s">
        <v>15</v>
      </c>
      <c r="H826" s="2">
        <v>55000000</v>
      </c>
      <c r="I826" s="2">
        <v>5.8</v>
      </c>
      <c r="J826" s="2">
        <f t="shared" si="6"/>
        <v>-21171682</v>
      </c>
      <c r="K826" s="2">
        <f t="shared" si="7"/>
        <v>-7.7292100764556147E-3</v>
      </c>
      <c r="L826" s="2" t="str">
        <f>IF(ISNUMBER(SEARCH("|",IMDB_Movies!$D826)),LEFT(IMDB_Movies!$D826,SEARCH("|",IMDB_Movies!$D826)-1),IMDB_Movies!$D826)</f>
        <v>Comedy</v>
      </c>
      <c r="V826" s="2"/>
      <c r="W826" s="2"/>
    </row>
    <row r="827" spans="1:23" ht="12.5" x14ac:dyDescent="0.25">
      <c r="A827" s="2" t="s">
        <v>1616</v>
      </c>
      <c r="B827" s="2">
        <v>99</v>
      </c>
      <c r="C827" s="2">
        <v>33472850</v>
      </c>
      <c r="D827" s="2" t="s">
        <v>1350</v>
      </c>
      <c r="E827" s="2" t="s">
        <v>1617</v>
      </c>
      <c r="F827" s="2" t="s">
        <v>14</v>
      </c>
      <c r="G827" s="2" t="s">
        <v>15</v>
      </c>
      <c r="H827" s="2">
        <v>55000000</v>
      </c>
      <c r="I827" s="2">
        <v>5.8</v>
      </c>
      <c r="J827" s="2">
        <f t="shared" si="6"/>
        <v>-21527150</v>
      </c>
      <c r="K827" s="2">
        <f t="shared" si="7"/>
        <v>-7.731112339904333E-3</v>
      </c>
      <c r="L827" s="2" t="str">
        <f>IF(ISNUMBER(SEARCH("|",IMDB_Movies!$D827)),LEFT(IMDB_Movies!$D827,SEARCH("|",IMDB_Movies!$D827)-1),IMDB_Movies!$D827)</f>
        <v>Comedy</v>
      </c>
      <c r="V827" s="2"/>
      <c r="W827" s="2"/>
    </row>
    <row r="828" spans="1:23" ht="12.5" x14ac:dyDescent="0.25">
      <c r="A828" s="2" t="s">
        <v>1618</v>
      </c>
      <c r="B828" s="2">
        <v>88</v>
      </c>
      <c r="C828" s="2">
        <v>31051126</v>
      </c>
      <c r="D828" s="2" t="s">
        <v>181</v>
      </c>
      <c r="E828" s="2" t="s">
        <v>1619</v>
      </c>
      <c r="F828" s="2" t="s">
        <v>14</v>
      </c>
      <c r="G828" s="2" t="s">
        <v>22</v>
      </c>
      <c r="H828" s="2">
        <v>55000000</v>
      </c>
      <c r="I828" s="2">
        <v>6.7</v>
      </c>
      <c r="J828" s="2">
        <f t="shared" si="6"/>
        <v>-23948874</v>
      </c>
      <c r="K828" s="2">
        <f t="shared" si="7"/>
        <v>-7.7327174809280396E-3</v>
      </c>
      <c r="L828" s="2" t="str">
        <f>IF(ISNUMBER(SEARCH("|",IMDB_Movies!$D828)),LEFT(IMDB_Movies!$D828,SEARCH("|",IMDB_Movies!$D828)-1),IMDB_Movies!$D828)</f>
        <v>Adventure</v>
      </c>
      <c r="V828" s="2"/>
      <c r="W828" s="2"/>
    </row>
    <row r="829" spans="1:23" ht="12.5" x14ac:dyDescent="0.25">
      <c r="A829" s="2" t="s">
        <v>1279</v>
      </c>
      <c r="B829" s="2">
        <v>141</v>
      </c>
      <c r="C829" s="2">
        <v>35707327</v>
      </c>
      <c r="D829" s="2" t="s">
        <v>770</v>
      </c>
      <c r="E829" s="2" t="s">
        <v>1620</v>
      </c>
      <c r="F829" s="2" t="s">
        <v>14</v>
      </c>
      <c r="G829" s="2" t="s">
        <v>15</v>
      </c>
      <c r="H829" s="2">
        <v>55000000</v>
      </c>
      <c r="I829" s="2">
        <v>7.8</v>
      </c>
      <c r="J829" s="2">
        <f t="shared" si="6"/>
        <v>-19292673</v>
      </c>
      <c r="K829" s="2">
        <f t="shared" si="7"/>
        <v>-7.7322952303199967E-3</v>
      </c>
      <c r="L829" s="2" t="str">
        <f>IF(ISNUMBER(SEARCH("|",IMDB_Movies!$D829)),LEFT(IMDB_Movies!$D829,SEARCH("|",IMDB_Movies!$D829)-1),IMDB_Movies!$D829)</f>
        <v>Crime</v>
      </c>
      <c r="V829" s="2"/>
      <c r="W829" s="2"/>
    </row>
    <row r="830" spans="1:23" ht="12.5" x14ac:dyDescent="0.25">
      <c r="A830" s="2" t="s">
        <v>864</v>
      </c>
      <c r="B830" s="2">
        <v>107</v>
      </c>
      <c r="C830" s="2">
        <v>20550712</v>
      </c>
      <c r="D830" s="2" t="s">
        <v>504</v>
      </c>
      <c r="E830" s="2" t="s">
        <v>1621</v>
      </c>
      <c r="F830" s="2" t="s">
        <v>14</v>
      </c>
      <c r="G830" s="2" t="s">
        <v>15</v>
      </c>
      <c r="H830" s="2">
        <v>50000000</v>
      </c>
      <c r="I830" s="2">
        <v>5.6</v>
      </c>
      <c r="J830" s="2">
        <f t="shared" si="6"/>
        <v>-29449288</v>
      </c>
      <c r="K830" s="2">
        <f t="shared" si="7"/>
        <v>-7.7357822669698031E-3</v>
      </c>
      <c r="L830" s="2" t="str">
        <f>IF(ISNUMBER(SEARCH("|",IMDB_Movies!$D830)),LEFT(IMDB_Movies!$D830,SEARCH("|",IMDB_Movies!$D830)-1),IMDB_Movies!$D830)</f>
        <v>Action</v>
      </c>
      <c r="V830" s="2"/>
      <c r="W830" s="2"/>
    </row>
    <row r="831" spans="1:23" ht="12.5" x14ac:dyDescent="0.25">
      <c r="A831" s="2" t="s">
        <v>618</v>
      </c>
      <c r="B831" s="2">
        <v>116</v>
      </c>
      <c r="C831" s="2">
        <v>18573791</v>
      </c>
      <c r="D831" s="2" t="s">
        <v>1622</v>
      </c>
      <c r="E831" s="2" t="s">
        <v>1623</v>
      </c>
      <c r="F831" s="2" t="s">
        <v>14</v>
      </c>
      <c r="G831" s="2" t="s">
        <v>15</v>
      </c>
      <c r="H831" s="2">
        <v>55000000</v>
      </c>
      <c r="I831" s="2">
        <v>5.8</v>
      </c>
      <c r="J831" s="2">
        <f t="shared" si="6"/>
        <v>-36426209</v>
      </c>
      <c r="K831" s="2">
        <f t="shared" si="7"/>
        <v>-7.7284713979286291E-3</v>
      </c>
      <c r="L831" s="2" t="str">
        <f>IF(ISNUMBER(SEARCH("|",IMDB_Movies!$D831)),LEFT(IMDB_Movies!$D831,SEARCH("|",IMDB_Movies!$D831)-1),IMDB_Movies!$D831)</f>
        <v>Action</v>
      </c>
      <c r="V831" s="2"/>
      <c r="W831" s="2"/>
    </row>
    <row r="832" spans="1:23" ht="12.5" x14ac:dyDescent="0.25">
      <c r="A832" s="2" t="s">
        <v>482</v>
      </c>
      <c r="B832" s="2">
        <v>143</v>
      </c>
      <c r="C832" s="2">
        <v>51225796</v>
      </c>
      <c r="D832" s="2" t="s">
        <v>1624</v>
      </c>
      <c r="E832" s="2" t="s">
        <v>1625</v>
      </c>
      <c r="F832" s="2" t="s">
        <v>14</v>
      </c>
      <c r="G832" s="2" t="s">
        <v>22</v>
      </c>
      <c r="H832" s="2">
        <v>70000000</v>
      </c>
      <c r="I832" s="2">
        <v>7.4</v>
      </c>
      <c r="J832" s="2">
        <f t="shared" si="6"/>
        <v>-18774204</v>
      </c>
      <c r="K832" s="2">
        <f t="shared" si="7"/>
        <v>-7.7177302329084025E-3</v>
      </c>
      <c r="L832" s="2" t="str">
        <f>IF(ISNUMBER(SEARCH("|",IMDB_Movies!$D832)),LEFT(IMDB_Movies!$D832,SEARCH("|",IMDB_Movies!$D832)-1),IMDB_Movies!$D832)</f>
        <v>Drama</v>
      </c>
      <c r="V832" s="2"/>
      <c r="W832" s="2"/>
    </row>
    <row r="833" spans="1:23" ht="12.5" x14ac:dyDescent="0.25">
      <c r="A833" s="2" t="s">
        <v>1626</v>
      </c>
      <c r="B833" s="2">
        <v>114</v>
      </c>
      <c r="C833" s="2">
        <v>16264475</v>
      </c>
      <c r="D833" s="2" t="s">
        <v>1125</v>
      </c>
      <c r="E833" s="2" t="s">
        <v>1627</v>
      </c>
      <c r="F833" s="2" t="s">
        <v>14</v>
      </c>
      <c r="G833" s="2" t="s">
        <v>22</v>
      </c>
      <c r="H833" s="2">
        <v>55000000</v>
      </c>
      <c r="I833" s="2">
        <v>6.9</v>
      </c>
      <c r="J833" s="2">
        <f t="shared" si="6"/>
        <v>-38735525</v>
      </c>
      <c r="K833" s="2">
        <f t="shared" si="7"/>
        <v>-7.7442084905901855E-3</v>
      </c>
      <c r="L833" s="2" t="str">
        <f>IF(ISNUMBER(SEARCH("|",IMDB_Movies!$D833)),LEFT(IMDB_Movies!$D833,SEARCH("|",IMDB_Movies!$D833)-1),IMDB_Movies!$D833)</f>
        <v>Biography</v>
      </c>
      <c r="V833" s="2"/>
      <c r="W833" s="2"/>
    </row>
    <row r="834" spans="1:23" ht="12.5" x14ac:dyDescent="0.25">
      <c r="A834" s="2" t="s">
        <v>1628</v>
      </c>
      <c r="B834" s="2">
        <v>93</v>
      </c>
      <c r="C834" s="2">
        <v>25857987</v>
      </c>
      <c r="D834" s="2" t="s">
        <v>246</v>
      </c>
      <c r="E834" s="2" t="s">
        <v>1629</v>
      </c>
      <c r="F834" s="2" t="s">
        <v>14</v>
      </c>
      <c r="G834" s="2" t="s">
        <v>15</v>
      </c>
      <c r="H834" s="2">
        <v>62000000</v>
      </c>
      <c r="I834" s="2">
        <v>5.5</v>
      </c>
      <c r="J834" s="2">
        <f t="shared" si="6"/>
        <v>-36142013</v>
      </c>
      <c r="K834" s="2">
        <f t="shared" si="7"/>
        <v>-7.7315747639867625E-3</v>
      </c>
      <c r="L834" s="2" t="str">
        <f>IF(ISNUMBER(SEARCH("|",IMDB_Movies!$D834)),LEFT(IMDB_Movies!$D834,SEARCH("|",IMDB_Movies!$D834)-1),IMDB_Movies!$D834)</f>
        <v>Action</v>
      </c>
      <c r="V834" s="2"/>
      <c r="W834" s="2"/>
    </row>
    <row r="835" spans="1:23" ht="12.5" x14ac:dyDescent="0.25">
      <c r="A835" s="2" t="s">
        <v>1630</v>
      </c>
      <c r="B835" s="2">
        <v>280</v>
      </c>
      <c r="C835" s="2">
        <v>12870569</v>
      </c>
      <c r="D835" s="2" t="s">
        <v>706</v>
      </c>
      <c r="E835" s="2" t="s">
        <v>1631</v>
      </c>
      <c r="F835" s="2" t="s">
        <v>14</v>
      </c>
      <c r="G835" s="2" t="s">
        <v>15</v>
      </c>
      <c r="H835" s="2">
        <v>56000000</v>
      </c>
      <c r="I835" s="2">
        <v>6.3</v>
      </c>
      <c r="J835" s="2">
        <f t="shared" si="6"/>
        <v>-43129431</v>
      </c>
      <c r="K835" s="2">
        <f t="shared" si="7"/>
        <v>-7.7255106509305478E-3</v>
      </c>
      <c r="L835" s="2" t="str">
        <f>IF(ISNUMBER(SEARCH("|",IMDB_Movies!$D835)),LEFT(IMDB_Movies!$D835,SEARCH("|",IMDB_Movies!$D835)-1),IMDB_Movies!$D835)</f>
        <v>Drama</v>
      </c>
      <c r="V835" s="2"/>
      <c r="W835" s="2"/>
    </row>
    <row r="836" spans="1:23" ht="12.5" x14ac:dyDescent="0.25">
      <c r="A836" s="2" t="s">
        <v>1632</v>
      </c>
      <c r="B836" s="2">
        <v>100</v>
      </c>
      <c r="C836" s="2">
        <v>11466088</v>
      </c>
      <c r="D836" s="2" t="s">
        <v>25</v>
      </c>
      <c r="E836" s="2" t="s">
        <v>1633</v>
      </c>
      <c r="F836" s="2" t="s">
        <v>14</v>
      </c>
      <c r="G836" s="2" t="s">
        <v>15</v>
      </c>
      <c r="H836" s="2">
        <v>71000000</v>
      </c>
      <c r="I836" s="2">
        <v>4.7</v>
      </c>
      <c r="J836" s="2">
        <f t="shared" si="6"/>
        <v>-59533912</v>
      </c>
      <c r="K836" s="2">
        <f t="shared" si="7"/>
        <v>-7.7094895232219206E-3</v>
      </c>
      <c r="L836" s="2" t="str">
        <f>IF(ISNUMBER(SEARCH("|",IMDB_Movies!$D836)),LEFT(IMDB_Movies!$D836,SEARCH("|",IMDB_Movies!$D836)-1),IMDB_Movies!$D836)</f>
        <v>Action</v>
      </c>
      <c r="V836" s="2"/>
      <c r="W836" s="2"/>
    </row>
    <row r="837" spans="1:23" ht="12.5" x14ac:dyDescent="0.25">
      <c r="A837" s="2" t="s">
        <v>1634</v>
      </c>
      <c r="B837" s="2">
        <v>107</v>
      </c>
      <c r="C837" s="2">
        <v>16088610</v>
      </c>
      <c r="D837" s="2" t="s">
        <v>1635</v>
      </c>
      <c r="E837" s="2" t="s">
        <v>1636</v>
      </c>
      <c r="F837" s="2" t="s">
        <v>14</v>
      </c>
      <c r="G837" s="2" t="s">
        <v>15</v>
      </c>
      <c r="H837" s="2">
        <v>55000000</v>
      </c>
      <c r="I837" s="2">
        <v>5.6</v>
      </c>
      <c r="J837" s="2">
        <f t="shared" si="6"/>
        <v>-38911390</v>
      </c>
      <c r="K837" s="2">
        <f t="shared" si="7"/>
        <v>-7.6823747917380706E-3</v>
      </c>
      <c r="L837" s="2" t="str">
        <f>IF(ISNUMBER(SEARCH("|",IMDB_Movies!$D837)),LEFT(IMDB_Movies!$D837,SEARCH("|",IMDB_Movies!$D837)-1),IMDB_Movies!$D837)</f>
        <v>Comedy</v>
      </c>
      <c r="V837" s="2"/>
      <c r="W837" s="2"/>
    </row>
    <row r="838" spans="1:23" ht="12.5" x14ac:dyDescent="0.25">
      <c r="A838" s="2" t="s">
        <v>271</v>
      </c>
      <c r="B838" s="2">
        <v>119</v>
      </c>
      <c r="C838" s="2">
        <v>51178893</v>
      </c>
      <c r="D838" s="2" t="s">
        <v>1637</v>
      </c>
      <c r="E838" s="2" t="s">
        <v>1638</v>
      </c>
      <c r="F838" s="2" t="s">
        <v>14</v>
      </c>
      <c r="G838" s="2" t="s">
        <v>15</v>
      </c>
      <c r="H838" s="2">
        <v>50000000</v>
      </c>
      <c r="I838" s="2">
        <v>6.4</v>
      </c>
      <c r="J838" s="2">
        <f t="shared" si="6"/>
        <v>1178893</v>
      </c>
      <c r="K838" s="2">
        <f t="shared" si="7"/>
        <v>-7.6695566109631188E-3</v>
      </c>
      <c r="L838" s="2" t="str">
        <f>IF(ISNUMBER(SEARCH("|",IMDB_Movies!$D838)),LEFT(IMDB_Movies!$D838,SEARCH("|",IMDB_Movies!$D838)-1),IMDB_Movies!$D838)</f>
        <v>Adventure</v>
      </c>
      <c r="V838" s="2"/>
      <c r="W838" s="2"/>
    </row>
    <row r="839" spans="1:23" ht="12.5" x14ac:dyDescent="0.25">
      <c r="A839" s="2" t="s">
        <v>1169</v>
      </c>
      <c r="B839" s="2">
        <v>95</v>
      </c>
      <c r="C839" s="2">
        <v>6768055</v>
      </c>
      <c r="D839" s="2" t="s">
        <v>1053</v>
      </c>
      <c r="E839" s="2" t="s">
        <v>1639</v>
      </c>
      <c r="F839" s="2" t="s">
        <v>14</v>
      </c>
      <c r="G839" s="2" t="s">
        <v>22</v>
      </c>
      <c r="H839" s="2">
        <v>57000000</v>
      </c>
      <c r="I839" s="2">
        <v>4.2</v>
      </c>
      <c r="J839" s="2">
        <f t="shared" si="6"/>
        <v>-50231945</v>
      </c>
      <c r="K839" s="2">
        <f t="shared" si="7"/>
        <v>-7.6830914407259136E-3</v>
      </c>
      <c r="L839" s="2" t="str">
        <f>IF(ISNUMBER(SEARCH("|",IMDB_Movies!$D839)),LEFT(IMDB_Movies!$D839,SEARCH("|",IMDB_Movies!$D839)-1),IMDB_Movies!$D839)</f>
        <v>Action</v>
      </c>
      <c r="V839" s="2"/>
      <c r="W839" s="2"/>
    </row>
    <row r="840" spans="1:23" ht="12.5" x14ac:dyDescent="0.25">
      <c r="A840" s="2" t="s">
        <v>1640</v>
      </c>
      <c r="B840" s="2">
        <v>119</v>
      </c>
      <c r="C840" s="2">
        <v>39440655</v>
      </c>
      <c r="D840" s="2" t="s">
        <v>1641</v>
      </c>
      <c r="E840" s="2" t="s">
        <v>1642</v>
      </c>
      <c r="F840" s="2" t="s">
        <v>14</v>
      </c>
      <c r="G840" s="2" t="s">
        <v>15</v>
      </c>
      <c r="H840" s="2">
        <v>55000000</v>
      </c>
      <c r="I840" s="2">
        <v>6.4</v>
      </c>
      <c r="J840" s="2">
        <f t="shared" si="6"/>
        <v>-15559345</v>
      </c>
      <c r="K840" s="2">
        <f t="shared" si="7"/>
        <v>-7.6610952549992133E-3</v>
      </c>
      <c r="L840" s="2" t="str">
        <f>IF(ISNUMBER(SEARCH("|",IMDB_Movies!$D840)),LEFT(IMDB_Movies!$D840,SEARCH("|",IMDB_Movies!$D840)-1),IMDB_Movies!$D840)</f>
        <v>Drama</v>
      </c>
      <c r="V840" s="2"/>
      <c r="W840" s="2"/>
    </row>
    <row r="841" spans="1:23" ht="12.5" x14ac:dyDescent="0.25">
      <c r="A841" s="2" t="s">
        <v>1435</v>
      </c>
      <c r="B841" s="2">
        <v>133</v>
      </c>
      <c r="C841" s="2">
        <v>6167817</v>
      </c>
      <c r="D841" s="2" t="s">
        <v>1643</v>
      </c>
      <c r="E841" s="2" t="s">
        <v>1644</v>
      </c>
      <c r="F841" s="2" t="s">
        <v>1006</v>
      </c>
      <c r="G841" s="2" t="s">
        <v>686</v>
      </c>
      <c r="H841" s="2">
        <v>47000000</v>
      </c>
      <c r="I841" s="2">
        <v>7.7</v>
      </c>
      <c r="J841" s="2">
        <f t="shared" si="6"/>
        <v>-40832183</v>
      </c>
      <c r="K841" s="2">
        <f t="shared" si="7"/>
        <v>-7.6677471095166179E-3</v>
      </c>
      <c r="L841" s="2" t="str">
        <f>IF(ISNUMBER(SEARCH("|",IMDB_Movies!$D841)),LEFT(IMDB_Movies!$D841,SEARCH("|",IMDB_Movies!$D841)-1),IMDB_Movies!$D841)</f>
        <v>Drama</v>
      </c>
      <c r="V841" s="2"/>
      <c r="W841" s="2"/>
    </row>
    <row r="842" spans="1:23" ht="12.5" x14ac:dyDescent="0.25">
      <c r="A842" s="2" t="s">
        <v>138</v>
      </c>
      <c r="B842" s="2">
        <v>117</v>
      </c>
      <c r="C842" s="2">
        <v>81645152</v>
      </c>
      <c r="D842" s="2" t="s">
        <v>790</v>
      </c>
      <c r="E842" s="2" t="s">
        <v>1645</v>
      </c>
      <c r="F842" s="2" t="s">
        <v>14</v>
      </c>
      <c r="G842" s="2" t="s">
        <v>15</v>
      </c>
      <c r="H842" s="2">
        <v>54000000</v>
      </c>
      <c r="I842" s="2">
        <v>6.7</v>
      </c>
      <c r="J842" s="2">
        <f t="shared" si="6"/>
        <v>27645152</v>
      </c>
      <c r="K842" s="2">
        <f t="shared" si="7"/>
        <v>-7.6535589443997411E-3</v>
      </c>
      <c r="L842" s="2" t="str">
        <f>IF(ISNUMBER(SEARCH("|",IMDB_Movies!$D842)),LEFT(IMDB_Movies!$D842,SEARCH("|",IMDB_Movies!$D842)-1),IMDB_Movies!$D842)</f>
        <v>Action</v>
      </c>
      <c r="V842" s="2"/>
      <c r="W842" s="2"/>
    </row>
    <row r="843" spans="1:23" ht="12.5" x14ac:dyDescent="0.25">
      <c r="A843" s="2" t="s">
        <v>1582</v>
      </c>
      <c r="B843" s="2">
        <v>123</v>
      </c>
      <c r="C843" s="2">
        <v>69951824</v>
      </c>
      <c r="D843" s="2" t="s">
        <v>85</v>
      </c>
      <c r="E843" s="2" t="s">
        <v>1646</v>
      </c>
      <c r="F843" s="2" t="s">
        <v>14</v>
      </c>
      <c r="G843" s="2" t="s">
        <v>15</v>
      </c>
      <c r="H843" s="2">
        <v>55000000</v>
      </c>
      <c r="I843" s="2">
        <v>7.7</v>
      </c>
      <c r="J843" s="2">
        <f t="shared" si="6"/>
        <v>14951824</v>
      </c>
      <c r="K843" s="2">
        <f t="shared" si="7"/>
        <v>-7.695962198469782E-3</v>
      </c>
      <c r="L843" s="2" t="str">
        <f>IF(ISNUMBER(SEARCH("|",IMDB_Movies!$D843)),LEFT(IMDB_Movies!$D843,SEARCH("|",IMDB_Movies!$D843)-1),IMDB_Movies!$D843)</f>
        <v>Drama</v>
      </c>
      <c r="V843" s="2"/>
      <c r="W843" s="2"/>
    </row>
    <row r="844" spans="1:23" ht="12.5" x14ac:dyDescent="0.25">
      <c r="A844" s="2" t="s">
        <v>1496</v>
      </c>
      <c r="B844" s="2">
        <v>92</v>
      </c>
      <c r="C844" s="2">
        <v>9483821</v>
      </c>
      <c r="D844" s="2" t="s">
        <v>25</v>
      </c>
      <c r="E844" s="2" t="s">
        <v>1647</v>
      </c>
      <c r="F844" s="2" t="s">
        <v>14</v>
      </c>
      <c r="G844" s="2" t="s">
        <v>15</v>
      </c>
      <c r="H844" s="2">
        <v>55000000</v>
      </c>
      <c r="I844" s="2">
        <v>5.7</v>
      </c>
      <c r="J844" s="2">
        <f t="shared" si="6"/>
        <v>-45516179</v>
      </c>
      <c r="K844" s="2">
        <f t="shared" si="7"/>
        <v>-7.7294121335155595E-3</v>
      </c>
      <c r="L844" s="2" t="str">
        <f>IF(ISNUMBER(SEARCH("|",IMDB_Movies!$D844)),LEFT(IMDB_Movies!$D844,SEARCH("|",IMDB_Movies!$D844)-1),IMDB_Movies!$D844)</f>
        <v>Action</v>
      </c>
      <c r="V844" s="2"/>
      <c r="W844" s="2"/>
    </row>
    <row r="845" spans="1:23" ht="12.5" x14ac:dyDescent="0.25">
      <c r="A845" s="2" t="s">
        <v>1648</v>
      </c>
      <c r="B845" s="2">
        <v>170</v>
      </c>
      <c r="C845" s="2">
        <v>66676062</v>
      </c>
      <c r="D845" s="2" t="s">
        <v>694</v>
      </c>
      <c r="E845" s="2" t="s">
        <v>1649</v>
      </c>
      <c r="F845" s="2" t="s">
        <v>14</v>
      </c>
      <c r="G845" s="2" t="s">
        <v>15</v>
      </c>
      <c r="H845" s="2">
        <v>54000000</v>
      </c>
      <c r="I845" s="2">
        <v>7.6</v>
      </c>
      <c r="J845" s="2">
        <f t="shared" si="6"/>
        <v>12676062</v>
      </c>
      <c r="K845" s="2">
        <f t="shared" si="7"/>
        <v>-7.7112046319202923E-3</v>
      </c>
      <c r="L845" s="2" t="str">
        <f>IF(ISNUMBER(SEARCH("|",IMDB_Movies!$D845)),LEFT(IMDB_Movies!$D845,SEARCH("|",IMDB_Movies!$D845)-1),IMDB_Movies!$D845)</f>
        <v>Crime</v>
      </c>
      <c r="V845" s="2"/>
      <c r="W845" s="2"/>
    </row>
    <row r="846" spans="1:23" ht="12.5" x14ac:dyDescent="0.25">
      <c r="A846" s="2" t="s">
        <v>1158</v>
      </c>
      <c r="B846" s="2">
        <v>123</v>
      </c>
      <c r="C846" s="2">
        <v>26838389</v>
      </c>
      <c r="D846" s="2" t="s">
        <v>514</v>
      </c>
      <c r="E846" s="2" t="s">
        <v>1650</v>
      </c>
      <c r="F846" s="2" t="s">
        <v>14</v>
      </c>
      <c r="G846" s="2" t="s">
        <v>15</v>
      </c>
      <c r="H846" s="2">
        <v>57000000</v>
      </c>
      <c r="I846" s="2">
        <v>6.4</v>
      </c>
      <c r="J846" s="2">
        <f t="shared" si="6"/>
        <v>-30161611</v>
      </c>
      <c r="K846" s="2">
        <f t="shared" si="7"/>
        <v>-7.7405871447343644E-3</v>
      </c>
      <c r="L846" s="2" t="str">
        <f>IF(ISNUMBER(SEARCH("|",IMDB_Movies!$D846)),LEFT(IMDB_Movies!$D846,SEARCH("|",IMDB_Movies!$D846)-1),IMDB_Movies!$D846)</f>
        <v>Comedy</v>
      </c>
      <c r="V846" s="2"/>
      <c r="W846" s="2"/>
    </row>
    <row r="847" spans="1:23" ht="12.5" x14ac:dyDescent="0.25">
      <c r="A847" s="2" t="s">
        <v>87</v>
      </c>
      <c r="B847" s="2">
        <v>110</v>
      </c>
      <c r="C847" s="2">
        <v>75604320</v>
      </c>
      <c r="D847" s="2" t="s">
        <v>600</v>
      </c>
      <c r="E847" s="2" t="s">
        <v>1651</v>
      </c>
      <c r="F847" s="2" t="s">
        <v>14</v>
      </c>
      <c r="G847" s="2" t="s">
        <v>15</v>
      </c>
      <c r="H847" s="2">
        <v>54000000</v>
      </c>
      <c r="I847" s="2">
        <v>5.6</v>
      </c>
      <c r="J847" s="2">
        <f t="shared" si="6"/>
        <v>21604320</v>
      </c>
      <c r="K847" s="2">
        <f t="shared" si="7"/>
        <v>-7.7363205846567758E-3</v>
      </c>
      <c r="L847" s="2" t="str">
        <f>IF(ISNUMBER(SEARCH("|",IMDB_Movies!$D847)),LEFT(IMDB_Movies!$D847,SEARCH("|",IMDB_Movies!$D847)-1),IMDB_Movies!$D847)</f>
        <v>Comedy</v>
      </c>
      <c r="V847" s="2"/>
      <c r="W847" s="2"/>
    </row>
    <row r="848" spans="1:23" ht="12.5" x14ac:dyDescent="0.25">
      <c r="A848" s="2" t="s">
        <v>1652</v>
      </c>
      <c r="B848" s="2">
        <v>116</v>
      </c>
      <c r="C848" s="2">
        <v>108200000</v>
      </c>
      <c r="D848" s="2" t="s">
        <v>1653</v>
      </c>
      <c r="E848" s="2" t="s">
        <v>1654</v>
      </c>
      <c r="F848" s="2" t="s">
        <v>14</v>
      </c>
      <c r="G848" s="2" t="s">
        <v>15</v>
      </c>
      <c r="H848" s="2">
        <v>54000000</v>
      </c>
      <c r="I848" s="2">
        <v>6.8</v>
      </c>
      <c r="J848" s="2">
        <f t="shared" si="6"/>
        <v>54200000</v>
      </c>
      <c r="K848" s="2">
        <f t="shared" si="7"/>
        <v>-7.7735294443493919E-3</v>
      </c>
      <c r="L848" s="2" t="str">
        <f>IF(ISNUMBER(SEARCH("|",IMDB_Movies!$D848)),LEFT(IMDB_Movies!$D848,SEARCH("|",IMDB_Movies!$D848)-1),IMDB_Movies!$D848)</f>
        <v>Action</v>
      </c>
      <c r="V848" s="2"/>
      <c r="W848" s="2"/>
    </row>
    <row r="849" spans="1:23" ht="12.5" x14ac:dyDescent="0.25">
      <c r="A849" s="2" t="s">
        <v>862</v>
      </c>
      <c r="B849" s="2">
        <v>121</v>
      </c>
      <c r="C849" s="2">
        <v>5660084</v>
      </c>
      <c r="D849" s="2" t="s">
        <v>1464</v>
      </c>
      <c r="E849" s="2" t="s">
        <v>1655</v>
      </c>
      <c r="F849" s="2" t="s">
        <v>14</v>
      </c>
      <c r="G849" s="2" t="s">
        <v>15</v>
      </c>
      <c r="H849" s="2">
        <v>54000000</v>
      </c>
      <c r="I849" s="2">
        <v>2.4</v>
      </c>
      <c r="J849" s="2">
        <f t="shared" si="6"/>
        <v>-48339916</v>
      </c>
      <c r="K849" s="2">
        <f t="shared" si="7"/>
        <v>-7.8403281535034015E-3</v>
      </c>
      <c r="L849" s="2" t="str">
        <f>IF(ISNUMBER(SEARCH("|",IMDB_Movies!$D849)),LEFT(IMDB_Movies!$D849,SEARCH("|",IMDB_Movies!$D849)-1),IMDB_Movies!$D849)</f>
        <v>Comedy</v>
      </c>
      <c r="V849" s="2"/>
      <c r="W849" s="2"/>
    </row>
    <row r="850" spans="1:23" ht="12.5" x14ac:dyDescent="0.25">
      <c r="A850" s="2" t="s">
        <v>1415</v>
      </c>
      <c r="B850" s="2">
        <v>128</v>
      </c>
      <c r="C850" s="2">
        <v>7221458</v>
      </c>
      <c r="D850" s="2" t="s">
        <v>1400</v>
      </c>
      <c r="E850" s="2" t="s">
        <v>1656</v>
      </c>
      <c r="F850" s="2" t="s">
        <v>14</v>
      </c>
      <c r="G850" s="2" t="s">
        <v>287</v>
      </c>
      <c r="H850" s="2">
        <v>55000000</v>
      </c>
      <c r="I850" s="2">
        <v>6.2</v>
      </c>
      <c r="J850" s="2">
        <f t="shared" si="6"/>
        <v>-47778542</v>
      </c>
      <c r="K850" s="2">
        <f t="shared" si="7"/>
        <v>-7.8198805772159066E-3</v>
      </c>
      <c r="L850" s="2" t="str">
        <f>IF(ISNUMBER(SEARCH("|",IMDB_Movies!$D850)),LEFT(IMDB_Movies!$D850,SEARCH("|",IMDB_Movies!$D850)-1),IMDB_Movies!$D850)</f>
        <v>Drama</v>
      </c>
      <c r="V850" s="2"/>
      <c r="W850" s="2"/>
    </row>
    <row r="851" spans="1:23" ht="12.5" x14ac:dyDescent="0.25">
      <c r="A851" s="2" t="s">
        <v>1020</v>
      </c>
      <c r="B851" s="2">
        <v>99</v>
      </c>
      <c r="C851" s="2">
        <v>70327868</v>
      </c>
      <c r="D851" s="2" t="s">
        <v>125</v>
      </c>
      <c r="E851" s="2" t="s">
        <v>1657</v>
      </c>
      <c r="F851" s="2" t="s">
        <v>14</v>
      </c>
      <c r="G851" s="2" t="s">
        <v>287</v>
      </c>
      <c r="H851" s="2">
        <v>46000000</v>
      </c>
      <c r="I851" s="2">
        <v>5.9</v>
      </c>
      <c r="J851" s="2">
        <f t="shared" si="6"/>
        <v>24327868</v>
      </c>
      <c r="K851" s="2">
        <f t="shared" si="7"/>
        <v>-7.7998220029303414E-3</v>
      </c>
      <c r="L851" s="2" t="str">
        <f>IF(ISNUMBER(SEARCH("|",IMDB_Movies!$D851)),LEFT(IMDB_Movies!$D851,SEARCH("|",IMDB_Movies!$D851)-1),IMDB_Movies!$D851)</f>
        <v>Action</v>
      </c>
      <c r="V851" s="2"/>
      <c r="W851" s="2"/>
    </row>
    <row r="852" spans="1:23" ht="12.5" x14ac:dyDescent="0.25">
      <c r="A852" s="2" t="s">
        <v>1094</v>
      </c>
      <c r="B852" s="2">
        <v>94</v>
      </c>
      <c r="C852" s="2">
        <v>58297830</v>
      </c>
      <c r="D852" s="2" t="s">
        <v>1658</v>
      </c>
      <c r="E852" s="2" t="s">
        <v>1659</v>
      </c>
      <c r="F852" s="2" t="s">
        <v>14</v>
      </c>
      <c r="G852" s="2" t="s">
        <v>15</v>
      </c>
      <c r="H852" s="2">
        <v>50000000</v>
      </c>
      <c r="I852" s="2">
        <v>7.1</v>
      </c>
      <c r="J852" s="2">
        <f t="shared" si="6"/>
        <v>8297830</v>
      </c>
      <c r="K852" s="2">
        <f t="shared" si="7"/>
        <v>-7.8222937227407415E-3</v>
      </c>
      <c r="L852" s="2" t="str">
        <f>IF(ISNUMBER(SEARCH("|",IMDB_Movies!$D852)),LEFT(IMDB_Movies!$D852,SEARCH("|",IMDB_Movies!$D852)-1),IMDB_Movies!$D852)</f>
        <v>Adventure</v>
      </c>
      <c r="V852" s="2"/>
      <c r="W852" s="2"/>
    </row>
    <row r="853" spans="1:23" ht="12.5" x14ac:dyDescent="0.25">
      <c r="A853" s="2" t="s">
        <v>133</v>
      </c>
      <c r="B853" s="2">
        <v>127</v>
      </c>
      <c r="C853" s="2">
        <v>57386369</v>
      </c>
      <c r="D853" s="2" t="s">
        <v>993</v>
      </c>
      <c r="E853" s="2" t="s">
        <v>1660</v>
      </c>
      <c r="F853" s="2" t="s">
        <v>14</v>
      </c>
      <c r="G853" s="2" t="s">
        <v>15</v>
      </c>
      <c r="H853" s="2">
        <v>52500000</v>
      </c>
      <c r="I853" s="2">
        <v>7.6</v>
      </c>
      <c r="J853" s="2">
        <f t="shared" si="6"/>
        <v>4886369</v>
      </c>
      <c r="K853" s="2">
        <f t="shared" si="7"/>
        <v>-7.8410859882407837E-3</v>
      </c>
      <c r="L853" s="2" t="str">
        <f>IF(ISNUMBER(SEARCH("|",IMDB_Movies!$D853)),LEFT(IMDB_Movies!$D853,SEARCH("|",IMDB_Movies!$D853)-1),IMDB_Movies!$D853)</f>
        <v>Drama</v>
      </c>
      <c r="V853" s="2"/>
      <c r="W853" s="2"/>
    </row>
    <row r="854" spans="1:23" ht="12.5" x14ac:dyDescent="0.25">
      <c r="A854" s="2" t="s">
        <v>1471</v>
      </c>
      <c r="B854" s="2">
        <v>89</v>
      </c>
      <c r="C854" s="2">
        <v>45207112</v>
      </c>
      <c r="D854" s="2" t="s">
        <v>793</v>
      </c>
      <c r="E854" s="2" t="s">
        <v>1661</v>
      </c>
      <c r="F854" s="2" t="s">
        <v>14</v>
      </c>
      <c r="G854" s="2" t="s">
        <v>15</v>
      </c>
      <c r="H854" s="2">
        <v>53000000</v>
      </c>
      <c r="I854" s="2">
        <v>5.5</v>
      </c>
      <c r="J854" s="2">
        <f t="shared" si="6"/>
        <v>-7792888</v>
      </c>
      <c r="K854" s="2">
        <f t="shared" si="7"/>
        <v>-7.8613666622841805E-3</v>
      </c>
      <c r="L854" s="2" t="str">
        <f>IF(ISNUMBER(SEARCH("|",IMDB_Movies!$D854)),LEFT(IMDB_Movies!$D854,SEARCH("|",IMDB_Movies!$D854)-1),IMDB_Movies!$D854)</f>
        <v>Crime</v>
      </c>
      <c r="V854" s="2"/>
      <c r="W854" s="2"/>
    </row>
    <row r="855" spans="1:23" ht="12.5" x14ac:dyDescent="0.25">
      <c r="A855" s="2" t="s">
        <v>1662</v>
      </c>
      <c r="B855" s="2">
        <v>123</v>
      </c>
      <c r="C855" s="2">
        <v>62563543</v>
      </c>
      <c r="D855" s="2" t="s">
        <v>614</v>
      </c>
      <c r="E855" s="2" t="s">
        <v>1663</v>
      </c>
      <c r="F855" s="2" t="s">
        <v>14</v>
      </c>
      <c r="G855" s="2" t="s">
        <v>15</v>
      </c>
      <c r="H855" s="2">
        <v>53000000</v>
      </c>
      <c r="I855" s="2">
        <v>7</v>
      </c>
      <c r="J855" s="2">
        <f t="shared" si="6"/>
        <v>9563543</v>
      </c>
      <c r="K855" s="2">
        <f t="shared" si="7"/>
        <v>-7.8722055940672383E-3</v>
      </c>
      <c r="L855" s="2" t="str">
        <f>IF(ISNUMBER(SEARCH("|",IMDB_Movies!$D855)),LEFT(IMDB_Movies!$D855,SEARCH("|",IMDB_Movies!$D855)-1),IMDB_Movies!$D855)</f>
        <v>Biography</v>
      </c>
      <c r="V855" s="2"/>
      <c r="W855" s="2"/>
    </row>
    <row r="856" spans="1:23" ht="12.5" x14ac:dyDescent="0.25">
      <c r="A856" s="2" t="s">
        <v>1279</v>
      </c>
      <c r="B856" s="2">
        <v>135</v>
      </c>
      <c r="C856" s="2">
        <v>33574332</v>
      </c>
      <c r="D856" s="2" t="s">
        <v>706</v>
      </c>
      <c r="E856" s="2" t="s">
        <v>1664</v>
      </c>
      <c r="F856" s="2" t="s">
        <v>14</v>
      </c>
      <c r="G856" s="2" t="s">
        <v>15</v>
      </c>
      <c r="H856" s="2">
        <v>90000000</v>
      </c>
      <c r="I856" s="2">
        <v>7.1</v>
      </c>
      <c r="J856" s="2">
        <f t="shared" si="6"/>
        <v>-56425668</v>
      </c>
      <c r="K856" s="2">
        <f t="shared" si="7"/>
        <v>-7.8972173030996146E-3</v>
      </c>
      <c r="L856" s="2" t="str">
        <f>IF(ISNUMBER(SEARCH("|",IMDB_Movies!$D856)),LEFT(IMDB_Movies!$D856,SEARCH("|",IMDB_Movies!$D856)-1),IMDB_Movies!$D856)</f>
        <v>Drama</v>
      </c>
      <c r="V856" s="2"/>
      <c r="W856" s="2"/>
    </row>
    <row r="857" spans="1:23" ht="12.5" x14ac:dyDescent="0.25">
      <c r="A857" s="2" t="s">
        <v>1067</v>
      </c>
      <c r="B857" s="2">
        <v>118</v>
      </c>
      <c r="C857" s="2">
        <v>73343413</v>
      </c>
      <c r="D857" s="2" t="s">
        <v>763</v>
      </c>
      <c r="E857" s="2" t="s">
        <v>1665</v>
      </c>
      <c r="F857" s="2" t="s">
        <v>14</v>
      </c>
      <c r="G857" s="2" t="s">
        <v>15</v>
      </c>
      <c r="H857" s="2">
        <v>50000000</v>
      </c>
      <c r="I857" s="2">
        <v>7.4</v>
      </c>
      <c r="J857" s="2">
        <f t="shared" si="6"/>
        <v>23343413</v>
      </c>
      <c r="K857" s="2">
        <f t="shared" si="7"/>
        <v>-7.9014410795553488E-3</v>
      </c>
      <c r="L857" s="2" t="str">
        <f>IF(ISNUMBER(SEARCH("|",IMDB_Movies!$D857)),LEFT(IMDB_Movies!$D857,SEARCH("|",IMDB_Movies!$D857)-1),IMDB_Movies!$D857)</f>
        <v>Crime</v>
      </c>
      <c r="V857" s="2"/>
      <c r="W857" s="2"/>
    </row>
    <row r="858" spans="1:23" ht="12.5" x14ac:dyDescent="0.25">
      <c r="A858" s="2" t="s">
        <v>1666</v>
      </c>
      <c r="B858" s="2">
        <v>189</v>
      </c>
      <c r="C858" s="2">
        <v>25031037</v>
      </c>
      <c r="D858" s="2" t="s">
        <v>1667</v>
      </c>
      <c r="E858" s="2" t="s">
        <v>1668</v>
      </c>
      <c r="F858" s="2" t="s">
        <v>14</v>
      </c>
      <c r="G858" s="2" t="s">
        <v>15</v>
      </c>
      <c r="H858" s="2">
        <v>53000000</v>
      </c>
      <c r="I858" s="2">
        <v>7.6</v>
      </c>
      <c r="J858" s="2">
        <f t="shared" si="6"/>
        <v>-27968963</v>
      </c>
      <c r="K858" s="2">
        <f t="shared" si="7"/>
        <v>-7.9314147583572844E-3</v>
      </c>
      <c r="L858" s="2" t="str">
        <f>IF(ISNUMBER(SEARCH("|",IMDB_Movies!$D858)),LEFT(IMDB_Movies!$D858,SEARCH("|",IMDB_Movies!$D858)-1),IMDB_Movies!$D858)</f>
        <v>Action</v>
      </c>
      <c r="V858" s="2"/>
      <c r="W858" s="2"/>
    </row>
    <row r="859" spans="1:23" ht="12.5" x14ac:dyDescent="0.25">
      <c r="A859" s="2" t="s">
        <v>960</v>
      </c>
      <c r="B859" s="2">
        <v>172</v>
      </c>
      <c r="C859" s="2">
        <v>22843047</v>
      </c>
      <c r="D859" s="2" t="s">
        <v>1669</v>
      </c>
      <c r="E859" s="2" t="s">
        <v>1670</v>
      </c>
      <c r="F859" s="2" t="s">
        <v>14</v>
      </c>
      <c r="G859" s="2" t="s">
        <v>15</v>
      </c>
      <c r="H859" s="2">
        <v>55000000</v>
      </c>
      <c r="I859" s="2">
        <v>5.9</v>
      </c>
      <c r="J859" s="2">
        <f t="shared" si="6"/>
        <v>-32156953</v>
      </c>
      <c r="K859" s="2">
        <f t="shared" si="7"/>
        <v>-7.9264133517710431E-3</v>
      </c>
      <c r="L859" s="2" t="str">
        <f>IF(ISNUMBER(SEARCH("|",IMDB_Movies!$D859)),LEFT(IMDB_Movies!$D859,SEARCH("|",IMDB_Movies!$D859)-1),IMDB_Movies!$D859)</f>
        <v>Drama</v>
      </c>
      <c r="V859" s="2"/>
      <c r="W859" s="2"/>
    </row>
    <row r="860" spans="1:23" ht="12.5" x14ac:dyDescent="0.25">
      <c r="A860" s="2" t="s">
        <v>1671</v>
      </c>
      <c r="B860" s="2">
        <v>124</v>
      </c>
      <c r="C860" s="2">
        <v>5755286</v>
      </c>
      <c r="D860" s="2" t="s">
        <v>1672</v>
      </c>
      <c r="E860" s="2" t="s">
        <v>1673</v>
      </c>
      <c r="F860" s="2" t="s">
        <v>14</v>
      </c>
      <c r="G860" s="2" t="s">
        <v>15</v>
      </c>
      <c r="H860" s="2">
        <v>55000000</v>
      </c>
      <c r="I860" s="2">
        <v>5.9</v>
      </c>
      <c r="J860" s="2">
        <f t="shared" si="6"/>
        <v>-49244714</v>
      </c>
      <c r="K860" s="2">
        <f t="shared" si="7"/>
        <v>-7.919156452070546E-3</v>
      </c>
      <c r="L860" s="2" t="str">
        <f>IF(ISNUMBER(SEARCH("|",IMDB_Movies!$D860)),LEFT(IMDB_Movies!$D860,SEARCH("|",IMDB_Movies!$D860)-1),IMDB_Movies!$D860)</f>
        <v>Drama</v>
      </c>
      <c r="V860" s="2"/>
      <c r="W860" s="2"/>
    </row>
    <row r="861" spans="1:23" ht="12.5" x14ac:dyDescent="0.25">
      <c r="A861" s="2" t="s">
        <v>141</v>
      </c>
      <c r="B861" s="2">
        <v>141</v>
      </c>
      <c r="C861" s="2">
        <v>164435221</v>
      </c>
      <c r="D861" s="2" t="s">
        <v>614</v>
      </c>
      <c r="E861" s="2" t="s">
        <v>1674</v>
      </c>
      <c r="F861" s="2" t="s">
        <v>14</v>
      </c>
      <c r="G861" s="2" t="s">
        <v>15</v>
      </c>
      <c r="H861" s="2">
        <v>52000000</v>
      </c>
      <c r="I861" s="2">
        <v>8</v>
      </c>
      <c r="J861" s="2">
        <f t="shared" si="6"/>
        <v>112435221</v>
      </c>
      <c r="K861" s="2">
        <f t="shared" si="7"/>
        <v>-7.8978724087133551E-3</v>
      </c>
      <c r="L861" s="2" t="str">
        <f>IF(ISNUMBER(SEARCH("|",IMDB_Movies!$D861)),LEFT(IMDB_Movies!$D861,SEARCH("|",IMDB_Movies!$D861)-1),IMDB_Movies!$D861)</f>
        <v>Biography</v>
      </c>
      <c r="V861" s="2"/>
      <c r="W861" s="2"/>
    </row>
    <row r="862" spans="1:23" ht="12.5" x14ac:dyDescent="0.25">
      <c r="A862" s="2" t="s">
        <v>812</v>
      </c>
      <c r="B862" s="2">
        <v>157</v>
      </c>
      <c r="C862" s="2">
        <v>95720716</v>
      </c>
      <c r="D862" s="2" t="s">
        <v>983</v>
      </c>
      <c r="E862" s="2" t="s">
        <v>1675</v>
      </c>
      <c r="F862" s="2" t="s">
        <v>14</v>
      </c>
      <c r="G862" s="2" t="s">
        <v>15</v>
      </c>
      <c r="H862" s="2">
        <v>40000000</v>
      </c>
      <c r="I862" s="2">
        <v>7.4</v>
      </c>
      <c r="J862" s="2">
        <f t="shared" si="6"/>
        <v>55720716</v>
      </c>
      <c r="K862" s="2">
        <f t="shared" si="7"/>
        <v>-8.0119159727850709E-3</v>
      </c>
      <c r="L862" s="2" t="str">
        <f>IF(ISNUMBER(SEARCH("|",IMDB_Movies!$D862)),LEFT(IMDB_Movies!$D862,SEARCH("|",IMDB_Movies!$D862)-1),IMDB_Movies!$D862)</f>
        <v>Drama</v>
      </c>
      <c r="V862" s="2"/>
      <c r="W862" s="2"/>
    </row>
    <row r="863" spans="1:23" ht="12.5" x14ac:dyDescent="0.25">
      <c r="A863" s="2" t="s">
        <v>429</v>
      </c>
      <c r="B863" s="2">
        <v>106</v>
      </c>
      <c r="C863" s="2">
        <v>118683135</v>
      </c>
      <c r="D863" s="2" t="s">
        <v>514</v>
      </c>
      <c r="E863" s="2" t="s">
        <v>1676</v>
      </c>
      <c r="F863" s="2" t="s">
        <v>14</v>
      </c>
      <c r="G863" s="2" t="s">
        <v>15</v>
      </c>
      <c r="H863" s="2">
        <v>52000000</v>
      </c>
      <c r="I863" s="2">
        <v>5.8</v>
      </c>
      <c r="J863" s="2">
        <f t="shared" si="6"/>
        <v>66683135</v>
      </c>
      <c r="K863" s="2">
        <f t="shared" si="7"/>
        <v>-8.0381227976080629E-3</v>
      </c>
      <c r="L863" s="2" t="str">
        <f>IF(ISNUMBER(SEARCH("|",IMDB_Movies!$D863)),LEFT(IMDB_Movies!$D863,SEARCH("|",IMDB_Movies!$D863)-1),IMDB_Movies!$D863)</f>
        <v>Comedy</v>
      </c>
      <c r="V863" s="2"/>
      <c r="W863" s="2"/>
    </row>
    <row r="864" spans="1:23" ht="12.5" x14ac:dyDescent="0.25">
      <c r="A864" s="2" t="s">
        <v>1677</v>
      </c>
      <c r="B864" s="2">
        <v>108</v>
      </c>
      <c r="C864" s="2">
        <v>143704210</v>
      </c>
      <c r="D864" s="2" t="s">
        <v>1678</v>
      </c>
      <c r="E864" s="2" t="s">
        <v>1679</v>
      </c>
      <c r="F864" s="2" t="s">
        <v>14</v>
      </c>
      <c r="G864" s="2" t="s">
        <v>15</v>
      </c>
      <c r="H864" s="2">
        <v>52000000</v>
      </c>
      <c r="I864" s="2">
        <v>6.3</v>
      </c>
      <c r="J864" s="2">
        <f t="shared" si="6"/>
        <v>91704210</v>
      </c>
      <c r="K864" s="2">
        <f t="shared" si="7"/>
        <v>-8.1100127711273892E-3</v>
      </c>
      <c r="L864" s="2" t="str">
        <f>IF(ISNUMBER(SEARCH("|",IMDB_Movies!$D864)),LEFT(IMDB_Movies!$D864,SEARCH("|",IMDB_Movies!$D864)-1),IMDB_Movies!$D864)</f>
        <v>Comedy</v>
      </c>
      <c r="V864" s="2"/>
      <c r="W864" s="2"/>
    </row>
    <row r="865" spans="1:23" ht="12.5" x14ac:dyDescent="0.25">
      <c r="A865" s="2" t="s">
        <v>1145</v>
      </c>
      <c r="B865" s="2">
        <v>125</v>
      </c>
      <c r="C865" s="2">
        <v>110476776</v>
      </c>
      <c r="D865" s="2" t="s">
        <v>600</v>
      </c>
      <c r="E865" s="2" t="s">
        <v>1680</v>
      </c>
      <c r="F865" s="2" t="s">
        <v>14</v>
      </c>
      <c r="G865" s="2" t="s">
        <v>15</v>
      </c>
      <c r="H865" s="2">
        <v>52000000</v>
      </c>
      <c r="I865" s="2">
        <v>5.7</v>
      </c>
      <c r="J865" s="2">
        <f t="shared" si="6"/>
        <v>58476776</v>
      </c>
      <c r="K865" s="2">
        <f t="shared" si="7"/>
        <v>-8.2051030640000206E-3</v>
      </c>
      <c r="L865" s="2" t="str">
        <f>IF(ISNUMBER(SEARCH("|",IMDB_Movies!$D865)),LEFT(IMDB_Movies!$D865,SEARCH("|",IMDB_Movies!$D865)-1),IMDB_Movies!$D865)</f>
        <v>Comedy</v>
      </c>
      <c r="V865" s="2"/>
      <c r="W865" s="2"/>
    </row>
    <row r="866" spans="1:23" ht="12.5" x14ac:dyDescent="0.25">
      <c r="A866" s="2" t="s">
        <v>1681</v>
      </c>
      <c r="B866" s="2">
        <v>107</v>
      </c>
      <c r="C866" s="2">
        <v>80270227</v>
      </c>
      <c r="D866" s="2" t="s">
        <v>582</v>
      </c>
      <c r="E866" s="2" t="s">
        <v>1682</v>
      </c>
      <c r="F866" s="2" t="s">
        <v>14</v>
      </c>
      <c r="G866" s="2" t="s">
        <v>15</v>
      </c>
      <c r="H866" s="2">
        <v>50000000</v>
      </c>
      <c r="I866" s="2">
        <v>5.0999999999999996</v>
      </c>
      <c r="J866" s="2">
        <f t="shared" si="6"/>
        <v>30270227</v>
      </c>
      <c r="K866" s="2">
        <f t="shared" si="7"/>
        <v>-8.2700439590244271E-3</v>
      </c>
      <c r="L866" s="2" t="str">
        <f>IF(ISNUMBER(SEARCH("|",IMDB_Movies!$D866)),LEFT(IMDB_Movies!$D866,SEARCH("|",IMDB_Movies!$D866)-1),IMDB_Movies!$D866)</f>
        <v>Action</v>
      </c>
      <c r="V866" s="2"/>
      <c r="W866" s="2"/>
    </row>
    <row r="867" spans="1:23" ht="12.5" x14ac:dyDescent="0.25">
      <c r="A867" s="2" t="s">
        <v>1683</v>
      </c>
      <c r="B867" s="2">
        <v>215</v>
      </c>
      <c r="C867" s="2">
        <v>36385763</v>
      </c>
      <c r="D867" s="2" t="s">
        <v>1175</v>
      </c>
      <c r="E867" s="2" t="s">
        <v>1684</v>
      </c>
      <c r="F867" s="2" t="s">
        <v>14</v>
      </c>
      <c r="G867" s="2" t="s">
        <v>15</v>
      </c>
      <c r="H867" s="2">
        <v>52000000</v>
      </c>
      <c r="I867" s="2">
        <v>7.6</v>
      </c>
      <c r="J867" s="2">
        <f t="shared" si="6"/>
        <v>-15614237</v>
      </c>
      <c r="K867" s="2">
        <f t="shared" si="7"/>
        <v>-8.3057699746830315E-3</v>
      </c>
      <c r="L867" s="2" t="str">
        <f>IF(ISNUMBER(SEARCH("|",IMDB_Movies!$D867)),LEFT(IMDB_Movies!$D867,SEARCH("|",IMDB_Movies!$D867)-1),IMDB_Movies!$D867)</f>
        <v>Drama</v>
      </c>
      <c r="V867" s="2"/>
      <c r="W867" s="2"/>
    </row>
    <row r="868" spans="1:23" ht="12.5" x14ac:dyDescent="0.25">
      <c r="A868" s="2" t="s">
        <v>1685</v>
      </c>
      <c r="B868" s="2">
        <v>118</v>
      </c>
      <c r="C868" s="2">
        <v>37035845</v>
      </c>
      <c r="D868" s="2" t="s">
        <v>975</v>
      </c>
      <c r="E868" s="2" t="s">
        <v>1686</v>
      </c>
      <c r="F868" s="2" t="s">
        <v>14</v>
      </c>
      <c r="G868" s="2" t="s">
        <v>15</v>
      </c>
      <c r="H868" s="2">
        <v>52000000</v>
      </c>
      <c r="I868" s="2">
        <v>6.4</v>
      </c>
      <c r="J868" s="2">
        <f t="shared" si="6"/>
        <v>-14964155</v>
      </c>
      <c r="K868" s="2">
        <f t="shared" si="7"/>
        <v>-8.3096261238213252E-3</v>
      </c>
      <c r="L868" s="2" t="str">
        <f>IF(ISNUMBER(SEARCH("|",IMDB_Movies!$D868)),LEFT(IMDB_Movies!$D868,SEARCH("|",IMDB_Movies!$D868)-1),IMDB_Movies!$D868)</f>
        <v>Comedy</v>
      </c>
      <c r="V868" s="2"/>
      <c r="W868" s="2"/>
    </row>
    <row r="869" spans="1:23" ht="12.5" x14ac:dyDescent="0.25">
      <c r="A869" s="2" t="s">
        <v>1687</v>
      </c>
      <c r="B869" s="2">
        <v>118</v>
      </c>
      <c r="C869" s="2">
        <v>34580635</v>
      </c>
      <c r="D869" s="2" t="s">
        <v>1431</v>
      </c>
      <c r="E869" s="2" t="s">
        <v>1688</v>
      </c>
      <c r="F869" s="2" t="s">
        <v>14</v>
      </c>
      <c r="G869" s="2" t="s">
        <v>22</v>
      </c>
      <c r="H869" s="2">
        <v>52000000</v>
      </c>
      <c r="I869" s="2">
        <v>7.4</v>
      </c>
      <c r="J869" s="2">
        <f t="shared" si="6"/>
        <v>-17419365</v>
      </c>
      <c r="K869" s="2">
        <f t="shared" si="7"/>
        <v>-8.3139818517999637E-3</v>
      </c>
      <c r="L869" s="2" t="str">
        <f>IF(ISNUMBER(SEARCH("|",IMDB_Movies!$D869)),LEFT(IMDB_Movies!$D869,SEARCH("|",IMDB_Movies!$D869)-1),IMDB_Movies!$D869)</f>
        <v>Biography</v>
      </c>
      <c r="V869" s="2"/>
      <c r="W869" s="2"/>
    </row>
    <row r="870" spans="1:23" ht="12.5" x14ac:dyDescent="0.25">
      <c r="A870" s="2" t="s">
        <v>191</v>
      </c>
      <c r="B870" s="2">
        <v>178</v>
      </c>
      <c r="C870" s="2">
        <v>42438300</v>
      </c>
      <c r="D870" s="2" t="s">
        <v>614</v>
      </c>
      <c r="E870" s="2" t="s">
        <v>1689</v>
      </c>
      <c r="F870" s="2" t="s">
        <v>14</v>
      </c>
      <c r="G870" s="2" t="s">
        <v>15</v>
      </c>
      <c r="H870" s="2">
        <v>52000000</v>
      </c>
      <c r="I870" s="2">
        <v>8.1999999999999993</v>
      </c>
      <c r="J870" s="2">
        <f t="shared" si="6"/>
        <v>-9561700</v>
      </c>
      <c r="K870" s="2">
        <f t="shared" si="7"/>
        <v>-8.3164670267505646E-3</v>
      </c>
      <c r="L870" s="2" t="str">
        <f>IF(ISNUMBER(SEARCH("|",IMDB_Movies!$D870)),LEFT(IMDB_Movies!$D870,SEARCH("|",IMDB_Movies!$D870)-1),IMDB_Movies!$D870)</f>
        <v>Biography</v>
      </c>
      <c r="V870" s="2"/>
      <c r="W870" s="2"/>
    </row>
    <row r="871" spans="1:23" ht="12.5" x14ac:dyDescent="0.25">
      <c r="A871" s="2" t="s">
        <v>1690</v>
      </c>
      <c r="B871" s="2">
        <v>92</v>
      </c>
      <c r="C871" s="2">
        <v>23324666</v>
      </c>
      <c r="D871" s="2" t="s">
        <v>25</v>
      </c>
      <c r="E871" s="2" t="s">
        <v>1691</v>
      </c>
      <c r="F871" s="2" t="s">
        <v>14</v>
      </c>
      <c r="G871" s="2" t="s">
        <v>686</v>
      </c>
      <c r="H871" s="2">
        <v>52000000</v>
      </c>
      <c r="I871" s="2">
        <v>6.5</v>
      </c>
      <c r="J871" s="2">
        <f t="shared" si="6"/>
        <v>-28675334</v>
      </c>
      <c r="K871" s="2">
        <f t="shared" si="7"/>
        <v>-8.3249884800469867E-3</v>
      </c>
      <c r="L871" s="2" t="str">
        <f>IF(ISNUMBER(SEARCH("|",IMDB_Movies!$D871)),LEFT(IMDB_Movies!$D871,SEARCH("|",IMDB_Movies!$D871)-1),IMDB_Movies!$D871)</f>
        <v>Action</v>
      </c>
      <c r="V871" s="2"/>
      <c r="W871" s="2"/>
    </row>
    <row r="872" spans="1:23" ht="12.5" x14ac:dyDescent="0.25">
      <c r="A872" s="2" t="s">
        <v>1692</v>
      </c>
      <c r="B872" s="2">
        <v>104</v>
      </c>
      <c r="C872" s="2">
        <v>23020488</v>
      </c>
      <c r="D872" s="2" t="s">
        <v>461</v>
      </c>
      <c r="E872" s="2" t="s">
        <v>1693</v>
      </c>
      <c r="F872" s="2" t="s">
        <v>14</v>
      </c>
      <c r="G872" s="2" t="s">
        <v>15</v>
      </c>
      <c r="H872" s="2">
        <v>52000000</v>
      </c>
      <c r="I872" s="2">
        <v>5.5</v>
      </c>
      <c r="J872" s="2">
        <f t="shared" si="6"/>
        <v>-28979512</v>
      </c>
      <c r="K872" s="2">
        <f t="shared" si="7"/>
        <v>-8.3190152816307178E-3</v>
      </c>
      <c r="L872" s="2" t="str">
        <f>IF(ISNUMBER(SEARCH("|",IMDB_Movies!$D872)),LEFT(IMDB_Movies!$D872,SEARCH("|",IMDB_Movies!$D872)-1),IMDB_Movies!$D872)</f>
        <v>Action</v>
      </c>
      <c r="V872" s="2"/>
      <c r="W872" s="2"/>
    </row>
    <row r="873" spans="1:23" ht="12.5" x14ac:dyDescent="0.25">
      <c r="A873" s="2" t="s">
        <v>1211</v>
      </c>
      <c r="B873" s="2">
        <v>116</v>
      </c>
      <c r="C873" s="2">
        <v>90567722</v>
      </c>
      <c r="D873" s="2" t="s">
        <v>709</v>
      </c>
      <c r="E873" s="2" t="s">
        <v>1694</v>
      </c>
      <c r="F873" s="2" t="s">
        <v>14</v>
      </c>
      <c r="G873" s="2" t="s">
        <v>15</v>
      </c>
      <c r="H873" s="2">
        <v>51000000</v>
      </c>
      <c r="I873" s="2">
        <v>6.5</v>
      </c>
      <c r="J873" s="2">
        <f t="shared" si="6"/>
        <v>39567722</v>
      </c>
      <c r="K873" s="2">
        <f t="shared" si="7"/>
        <v>-8.3128120800776938E-3</v>
      </c>
      <c r="L873" s="2" t="str">
        <f>IF(ISNUMBER(SEARCH("|",IMDB_Movies!$D873)),LEFT(IMDB_Movies!$D873,SEARCH("|",IMDB_Movies!$D873)-1),IMDB_Movies!$D873)</f>
        <v>Comedy</v>
      </c>
      <c r="V873" s="2"/>
      <c r="W873" s="2"/>
    </row>
    <row r="874" spans="1:23" ht="12.5" x14ac:dyDescent="0.25">
      <c r="A874" s="2" t="s">
        <v>1695</v>
      </c>
      <c r="B874" s="2">
        <v>90</v>
      </c>
      <c r="C874" s="2">
        <v>72601713</v>
      </c>
      <c r="D874" s="2" t="s">
        <v>1030</v>
      </c>
      <c r="E874" s="2" t="s">
        <v>1696</v>
      </c>
      <c r="F874" s="2" t="s">
        <v>14</v>
      </c>
      <c r="G874" s="2" t="s">
        <v>287</v>
      </c>
      <c r="H874" s="2">
        <v>51000000</v>
      </c>
      <c r="I874" s="2">
        <v>5.6</v>
      </c>
      <c r="J874" s="2">
        <f t="shared" si="6"/>
        <v>21601713</v>
      </c>
      <c r="K874" s="2">
        <f t="shared" si="7"/>
        <v>-8.3586915668994316E-3</v>
      </c>
      <c r="L874" s="2" t="str">
        <f>IF(ISNUMBER(SEARCH("|",IMDB_Movies!$D874)),LEFT(IMDB_Movies!$D874,SEARCH("|",IMDB_Movies!$D874)-1),IMDB_Movies!$D874)</f>
        <v>Animation</v>
      </c>
      <c r="V874" s="2"/>
      <c r="W874" s="2"/>
    </row>
    <row r="875" spans="1:23" ht="12.5" x14ac:dyDescent="0.25">
      <c r="A875" s="2" t="s">
        <v>80</v>
      </c>
      <c r="B875" s="2">
        <v>130</v>
      </c>
      <c r="C875" s="2">
        <v>296623634</v>
      </c>
      <c r="D875" s="2" t="s">
        <v>409</v>
      </c>
      <c r="E875" s="2" t="s">
        <v>1697</v>
      </c>
      <c r="F875" s="2" t="s">
        <v>14</v>
      </c>
      <c r="G875" s="2" t="s">
        <v>15</v>
      </c>
      <c r="H875" s="2">
        <v>50000000</v>
      </c>
      <c r="I875" s="2">
        <v>4.5999999999999996</v>
      </c>
      <c r="J875" s="2">
        <f t="shared" si="6"/>
        <v>246623634</v>
      </c>
      <c r="K875" s="2">
        <f t="shared" si="7"/>
        <v>-8.3900701137064656E-3</v>
      </c>
      <c r="L875" s="2" t="str">
        <f>IF(ISNUMBER(SEARCH("|",IMDB_Movies!$D875)),LEFT(IMDB_Movies!$D875,SEARCH("|",IMDB_Movies!$D875)-1),IMDB_Movies!$D875)</f>
        <v>Adventure</v>
      </c>
      <c r="V875" s="2"/>
      <c r="W875" s="2"/>
    </row>
    <row r="876" spans="1:23" ht="12.5" x14ac:dyDescent="0.25">
      <c r="A876" s="2" t="s">
        <v>61</v>
      </c>
      <c r="B876" s="2">
        <v>90</v>
      </c>
      <c r="C876" s="2">
        <v>267652016</v>
      </c>
      <c r="D876" s="2" t="s">
        <v>106</v>
      </c>
      <c r="E876" s="2" t="s">
        <v>1698</v>
      </c>
      <c r="F876" s="2" t="s">
        <v>14</v>
      </c>
      <c r="G876" s="2" t="s">
        <v>15</v>
      </c>
      <c r="H876" s="2">
        <v>60000000</v>
      </c>
      <c r="I876" s="2">
        <v>7.9</v>
      </c>
      <c r="J876" s="2">
        <f t="shared" si="6"/>
        <v>207652016</v>
      </c>
      <c r="K876" s="2">
        <f t="shared" si="7"/>
        <v>-8.6361035387049548E-3</v>
      </c>
      <c r="L876" s="2" t="str">
        <f>IF(ISNUMBER(SEARCH("|",IMDB_Movies!$D876)),LEFT(IMDB_Movies!$D876,SEARCH("|",IMDB_Movies!$D876)-1),IMDB_Movies!$D876)</f>
        <v>Adventure</v>
      </c>
      <c r="V876" s="2"/>
      <c r="W876" s="2"/>
    </row>
    <row r="877" spans="1:23" ht="12.5" x14ac:dyDescent="0.25">
      <c r="A877" s="2" t="s">
        <v>1699</v>
      </c>
      <c r="B877" s="2">
        <v>106</v>
      </c>
      <c r="C877" s="2">
        <v>62453315</v>
      </c>
      <c r="D877" s="2" t="s">
        <v>1700</v>
      </c>
      <c r="E877" s="2" t="s">
        <v>1701</v>
      </c>
      <c r="F877" s="2" t="s">
        <v>14</v>
      </c>
      <c r="G877" s="2" t="s">
        <v>15</v>
      </c>
      <c r="H877" s="2">
        <v>50200000</v>
      </c>
      <c r="I877" s="2">
        <v>7.1</v>
      </c>
      <c r="J877" s="2">
        <f t="shared" si="6"/>
        <v>12253315</v>
      </c>
      <c r="K877" s="2">
        <f t="shared" si="7"/>
        <v>-8.9319027219052684E-3</v>
      </c>
      <c r="L877" s="2" t="str">
        <f>IF(ISNUMBER(SEARCH("|",IMDB_Movies!$D877)),LEFT(IMDB_Movies!$D877,SEARCH("|",IMDB_Movies!$D877)-1),IMDB_Movies!$D877)</f>
        <v>Romance</v>
      </c>
      <c r="V877" s="2"/>
      <c r="W877" s="2"/>
    </row>
    <row r="878" spans="1:23" ht="12.5" x14ac:dyDescent="0.25">
      <c r="A878" s="2" t="s">
        <v>208</v>
      </c>
      <c r="B878" s="2">
        <v>155</v>
      </c>
      <c r="C878" s="2">
        <v>165500000</v>
      </c>
      <c r="D878" s="2" t="s">
        <v>83</v>
      </c>
      <c r="E878" s="2" t="s">
        <v>1702</v>
      </c>
      <c r="F878" s="2" t="s">
        <v>14</v>
      </c>
      <c r="G878" s="2" t="s">
        <v>15</v>
      </c>
      <c r="H878" s="2">
        <v>48000000</v>
      </c>
      <c r="I878" s="2">
        <v>6.9</v>
      </c>
      <c r="J878" s="2">
        <f t="shared" si="6"/>
        <v>117500000</v>
      </c>
      <c r="K878" s="2">
        <f t="shared" si="7"/>
        <v>-8.9550169095493105E-3</v>
      </c>
      <c r="L878" s="2" t="str">
        <f>IF(ISNUMBER(SEARCH("|",IMDB_Movies!$D878)),LEFT(IMDB_Movies!$D878,SEARCH("|",IMDB_Movies!$D878)-1),IMDB_Movies!$D878)</f>
        <v>Action</v>
      </c>
      <c r="V878" s="2"/>
      <c r="W878" s="2"/>
    </row>
    <row r="879" spans="1:23" ht="12.5" x14ac:dyDescent="0.25">
      <c r="A879" s="2" t="s">
        <v>1158</v>
      </c>
      <c r="B879" s="2">
        <v>139</v>
      </c>
      <c r="C879" s="2">
        <v>153620822</v>
      </c>
      <c r="D879" s="2" t="s">
        <v>1537</v>
      </c>
      <c r="E879" s="2" t="s">
        <v>1703</v>
      </c>
      <c r="F879" s="2" t="s">
        <v>14</v>
      </c>
      <c r="G879" s="2" t="s">
        <v>15</v>
      </c>
      <c r="H879" s="2">
        <v>50000000</v>
      </c>
      <c r="I879" s="2">
        <v>7.3</v>
      </c>
      <c r="J879" s="2">
        <f t="shared" si="6"/>
        <v>103620822</v>
      </c>
      <c r="K879" s="2">
        <f t="shared" si="7"/>
        <v>-9.0574980687371815E-3</v>
      </c>
      <c r="L879" s="2" t="str">
        <f>IF(ISNUMBER(SEARCH("|",IMDB_Movies!$D879)),LEFT(IMDB_Movies!$D879,SEARCH("|",IMDB_Movies!$D879)-1),IMDB_Movies!$D879)</f>
        <v>Comedy</v>
      </c>
      <c r="V879" s="2"/>
      <c r="W879" s="2"/>
    </row>
    <row r="880" spans="1:23" ht="12.5" x14ac:dyDescent="0.25">
      <c r="A880" s="2" t="s">
        <v>1234</v>
      </c>
      <c r="B880" s="2">
        <v>112</v>
      </c>
      <c r="C880" s="2">
        <v>218628680</v>
      </c>
      <c r="D880" s="2" t="s">
        <v>975</v>
      </c>
      <c r="E880" s="2" t="s">
        <v>1704</v>
      </c>
      <c r="F880" s="2" t="s">
        <v>14</v>
      </c>
      <c r="G880" s="2" t="s">
        <v>15</v>
      </c>
      <c r="H880" s="2">
        <v>50000000</v>
      </c>
      <c r="I880" s="2">
        <v>7</v>
      </c>
      <c r="J880" s="2">
        <f t="shared" si="6"/>
        <v>168628680</v>
      </c>
      <c r="K880" s="2">
        <f t="shared" si="7"/>
        <v>-9.1582089932559646E-3</v>
      </c>
      <c r="L880" s="2" t="str">
        <f>IF(ISNUMBER(SEARCH("|",IMDB_Movies!$D880)),LEFT(IMDB_Movies!$D880,SEARCH("|",IMDB_Movies!$D880)-1),IMDB_Movies!$D880)</f>
        <v>Comedy</v>
      </c>
      <c r="V880" s="2"/>
      <c r="W880" s="2"/>
    </row>
    <row r="881" spans="1:23" ht="12.5" x14ac:dyDescent="0.25">
      <c r="A881" s="2" t="s">
        <v>513</v>
      </c>
      <c r="B881" s="2">
        <v>139</v>
      </c>
      <c r="C881" s="2">
        <v>147637474</v>
      </c>
      <c r="D881" s="2" t="s">
        <v>514</v>
      </c>
      <c r="E881" s="2" t="s">
        <v>1705</v>
      </c>
      <c r="F881" s="2" t="s">
        <v>14</v>
      </c>
      <c r="G881" s="2" t="s">
        <v>15</v>
      </c>
      <c r="H881" s="2">
        <v>50000000</v>
      </c>
      <c r="I881" s="2">
        <v>7.7</v>
      </c>
      <c r="J881" s="2">
        <f t="shared" si="6"/>
        <v>97637474</v>
      </c>
      <c r="K881" s="2">
        <f t="shared" si="7"/>
        <v>-9.3252273333916755E-3</v>
      </c>
      <c r="L881" s="2" t="str">
        <f>IF(ISNUMBER(SEARCH("|",IMDB_Movies!$D881)),LEFT(IMDB_Movies!$D881,SEARCH("|",IMDB_Movies!$D881)-1),IMDB_Movies!$D881)</f>
        <v>Comedy</v>
      </c>
      <c r="V881" s="2"/>
      <c r="W881" s="2"/>
    </row>
    <row r="882" spans="1:23" ht="12.5" x14ac:dyDescent="0.25">
      <c r="A882" s="2" t="s">
        <v>203</v>
      </c>
      <c r="B882" s="2">
        <v>115</v>
      </c>
      <c r="C882" s="2">
        <v>135014968</v>
      </c>
      <c r="D882" s="2" t="s">
        <v>1706</v>
      </c>
      <c r="E882" s="2" t="s">
        <v>1707</v>
      </c>
      <c r="F882" s="2" t="s">
        <v>14</v>
      </c>
      <c r="G882" s="2" t="s">
        <v>15</v>
      </c>
      <c r="H882" s="2">
        <v>50000000</v>
      </c>
      <c r="I882" s="2">
        <v>6.7</v>
      </c>
      <c r="J882" s="2">
        <f t="shared" si="6"/>
        <v>85014968</v>
      </c>
      <c r="K882" s="2">
        <f t="shared" si="7"/>
        <v>-9.4214660527673182E-3</v>
      </c>
      <c r="L882" s="2" t="str">
        <f>IF(ISNUMBER(SEARCH("|",IMDB_Movies!$D882)),LEFT(IMDB_Movies!$D882,SEARCH("|",IMDB_Movies!$D882)-1),IMDB_Movies!$D882)</f>
        <v>Biography</v>
      </c>
      <c r="V882" s="2"/>
      <c r="W882" s="2"/>
    </row>
    <row r="883" spans="1:23" ht="12.5" x14ac:dyDescent="0.25">
      <c r="A883" s="2" t="s">
        <v>622</v>
      </c>
      <c r="B883" s="2">
        <v>143</v>
      </c>
      <c r="C883" s="2">
        <v>2175312</v>
      </c>
      <c r="D883" s="2" t="s">
        <v>709</v>
      </c>
      <c r="E883" s="2" t="s">
        <v>1708</v>
      </c>
      <c r="F883" s="2" t="s">
        <v>14</v>
      </c>
      <c r="G883" s="2" t="s">
        <v>15</v>
      </c>
      <c r="H883" s="2">
        <v>50000000</v>
      </c>
      <c r="I883" s="2">
        <v>6.3</v>
      </c>
      <c r="J883" s="2">
        <f t="shared" si="6"/>
        <v>-47824688</v>
      </c>
      <c r="K883" s="2">
        <f t="shared" si="7"/>
        <v>-9.5062698874081603E-3</v>
      </c>
      <c r="L883" s="2" t="str">
        <f>IF(ISNUMBER(SEARCH("|",IMDB_Movies!$D883)),LEFT(IMDB_Movies!$D883,SEARCH("|",IMDB_Movies!$D883)-1),IMDB_Movies!$D883)</f>
        <v>Comedy</v>
      </c>
      <c r="V883" s="2"/>
      <c r="W883" s="2"/>
    </row>
    <row r="884" spans="1:23" ht="12.5" x14ac:dyDescent="0.25">
      <c r="A884" s="2" t="s">
        <v>974</v>
      </c>
      <c r="B884" s="2">
        <v>96</v>
      </c>
      <c r="C884" s="2">
        <v>126203320</v>
      </c>
      <c r="D884" s="2" t="s">
        <v>600</v>
      </c>
      <c r="E884" s="2" t="s">
        <v>1709</v>
      </c>
      <c r="F884" s="2" t="s">
        <v>14</v>
      </c>
      <c r="G884" s="2" t="s">
        <v>15</v>
      </c>
      <c r="H884" s="2">
        <v>50000000</v>
      </c>
      <c r="I884" s="2">
        <v>5.8</v>
      </c>
      <c r="J884" s="2">
        <f t="shared" si="6"/>
        <v>76203320</v>
      </c>
      <c r="K884" s="2">
        <f t="shared" si="7"/>
        <v>-9.4867648961707782E-3</v>
      </c>
      <c r="L884" s="2" t="str">
        <f>IF(ISNUMBER(SEARCH("|",IMDB_Movies!$D884)),LEFT(IMDB_Movies!$D884,SEARCH("|",IMDB_Movies!$D884)-1),IMDB_Movies!$D884)</f>
        <v>Comedy</v>
      </c>
      <c r="V884" s="2"/>
      <c r="W884" s="2"/>
    </row>
    <row r="885" spans="1:23" ht="12.5" x14ac:dyDescent="0.25">
      <c r="A885" s="2" t="s">
        <v>130</v>
      </c>
      <c r="B885" s="2">
        <v>112</v>
      </c>
      <c r="C885" s="2">
        <v>126975169</v>
      </c>
      <c r="D885" s="2" t="s">
        <v>1710</v>
      </c>
      <c r="E885" s="2" t="s">
        <v>1711</v>
      </c>
      <c r="F885" s="2" t="s">
        <v>14</v>
      </c>
      <c r="G885" s="2" t="s">
        <v>15</v>
      </c>
      <c r="H885" s="2">
        <v>50000000</v>
      </c>
      <c r="I885" s="2">
        <v>7.1</v>
      </c>
      <c r="J885" s="2">
        <f t="shared" si="6"/>
        <v>76975169</v>
      </c>
      <c r="K885" s="2">
        <f t="shared" si="7"/>
        <v>-9.5637686050467144E-3</v>
      </c>
      <c r="L885" s="2" t="str">
        <f>IF(ISNUMBER(SEARCH("|",IMDB_Movies!$D885)),LEFT(IMDB_Movies!$D885,SEARCH("|",IMDB_Movies!$D885)-1),IMDB_Movies!$D885)</f>
        <v>Mystery</v>
      </c>
      <c r="V885" s="2"/>
      <c r="W885" s="2"/>
    </row>
    <row r="886" spans="1:23" ht="12.5" x14ac:dyDescent="0.25">
      <c r="A886" s="2" t="s">
        <v>549</v>
      </c>
      <c r="B886" s="2">
        <v>131</v>
      </c>
      <c r="C886" s="2">
        <v>125548685</v>
      </c>
      <c r="D886" s="2" t="s">
        <v>555</v>
      </c>
      <c r="E886" s="2" t="s">
        <v>1712</v>
      </c>
      <c r="F886" s="2" t="s">
        <v>14</v>
      </c>
      <c r="G886" s="2" t="s">
        <v>15</v>
      </c>
      <c r="H886" s="2">
        <v>52000000</v>
      </c>
      <c r="I886" s="2">
        <v>7.3</v>
      </c>
      <c r="J886" s="2">
        <f t="shared" si="6"/>
        <v>73548685</v>
      </c>
      <c r="K886" s="2">
        <f t="shared" si="7"/>
        <v>-9.6416886118531418E-3</v>
      </c>
      <c r="L886" s="2" t="str">
        <f>IF(ISNUMBER(SEARCH("|",IMDB_Movies!$D886)),LEFT(IMDB_Movies!$D886,SEARCH("|",IMDB_Movies!$D886)-1),IMDB_Movies!$D886)</f>
        <v>Biography</v>
      </c>
      <c r="V886" s="2"/>
      <c r="W886" s="2"/>
    </row>
    <row r="887" spans="1:23" ht="12.5" x14ac:dyDescent="0.25">
      <c r="A887" s="2" t="s">
        <v>1456</v>
      </c>
      <c r="B887" s="2">
        <v>116</v>
      </c>
      <c r="C887" s="2">
        <v>105807520</v>
      </c>
      <c r="D887" s="2" t="s">
        <v>600</v>
      </c>
      <c r="E887" s="2" t="s">
        <v>1713</v>
      </c>
      <c r="F887" s="2" t="s">
        <v>14</v>
      </c>
      <c r="G887" s="2" t="s">
        <v>15</v>
      </c>
      <c r="H887" s="2">
        <v>50000000</v>
      </c>
      <c r="I887" s="2">
        <v>6.4</v>
      </c>
      <c r="J887" s="2">
        <f t="shared" si="6"/>
        <v>55807520</v>
      </c>
      <c r="K887" s="2">
        <f t="shared" si="7"/>
        <v>-9.7249731709349186E-3</v>
      </c>
      <c r="L887" s="2" t="str">
        <f>IF(ISNUMBER(SEARCH("|",IMDB_Movies!$D887)),LEFT(IMDB_Movies!$D887,SEARCH("|",IMDB_Movies!$D887)-1),IMDB_Movies!$D887)</f>
        <v>Comedy</v>
      </c>
      <c r="V887" s="2"/>
      <c r="W887" s="2"/>
    </row>
    <row r="888" spans="1:23" ht="12.5" x14ac:dyDescent="0.25">
      <c r="A888" s="2" t="s">
        <v>754</v>
      </c>
      <c r="B888" s="2">
        <v>112</v>
      </c>
      <c r="C888" s="2">
        <v>191616238</v>
      </c>
      <c r="D888" s="2" t="s">
        <v>623</v>
      </c>
      <c r="E888" s="2" t="s">
        <v>1714</v>
      </c>
      <c r="F888" s="2" t="s">
        <v>14</v>
      </c>
      <c r="G888" s="2" t="s">
        <v>15</v>
      </c>
      <c r="H888" s="2">
        <v>50000000</v>
      </c>
      <c r="I888" s="2">
        <v>7.1</v>
      </c>
      <c r="J888" s="2">
        <f t="shared" si="6"/>
        <v>141616238</v>
      </c>
      <c r="K888" s="2">
        <f t="shared" si="7"/>
        <v>-9.784397734356862E-3</v>
      </c>
      <c r="L888" s="2" t="str">
        <f>IF(ISNUMBER(SEARCH("|",IMDB_Movies!$D888)),LEFT(IMDB_Movies!$D888,SEARCH("|",IMDB_Movies!$D888)-1),IMDB_Movies!$D888)</f>
        <v>Action</v>
      </c>
      <c r="V888" s="2"/>
      <c r="W888" s="2"/>
    </row>
    <row r="889" spans="1:23" ht="12.5" x14ac:dyDescent="0.25">
      <c r="A889" s="2" t="s">
        <v>1715</v>
      </c>
      <c r="B889" s="2">
        <v>123</v>
      </c>
      <c r="C889" s="2">
        <v>105264608</v>
      </c>
      <c r="D889" s="2" t="s">
        <v>1716</v>
      </c>
      <c r="E889" s="2" t="s">
        <v>1717</v>
      </c>
      <c r="F889" s="2" t="s">
        <v>14</v>
      </c>
      <c r="G889" s="2" t="s">
        <v>15</v>
      </c>
      <c r="H889" s="2">
        <v>60000000</v>
      </c>
      <c r="I889" s="2">
        <v>7.6</v>
      </c>
      <c r="J889" s="2">
        <f t="shared" si="6"/>
        <v>45264608</v>
      </c>
      <c r="K889" s="2">
        <f t="shared" si="7"/>
        <v>-9.9269862351796037E-3</v>
      </c>
      <c r="L889" s="2" t="str">
        <f>IF(ISNUMBER(SEARCH("|",IMDB_Movies!$D889)),LEFT(IMDB_Movies!$D889,SEARCH("|",IMDB_Movies!$D889)-1),IMDB_Movies!$D889)</f>
        <v>Drama</v>
      </c>
      <c r="V889" s="2"/>
      <c r="W889" s="2"/>
    </row>
    <row r="890" spans="1:23" ht="12.5" x14ac:dyDescent="0.25">
      <c r="A890" s="2" t="s">
        <v>429</v>
      </c>
      <c r="B890" s="2">
        <v>104</v>
      </c>
      <c r="C890" s="2">
        <v>97680195</v>
      </c>
      <c r="D890" s="2" t="s">
        <v>600</v>
      </c>
      <c r="E890" s="2" t="s">
        <v>1718</v>
      </c>
      <c r="F890" s="2" t="s">
        <v>14</v>
      </c>
      <c r="G890" s="2" t="s">
        <v>15</v>
      </c>
      <c r="H890" s="2">
        <v>70000000</v>
      </c>
      <c r="I890" s="2">
        <v>6.8</v>
      </c>
      <c r="J890" s="2">
        <f t="shared" si="6"/>
        <v>27680195</v>
      </c>
      <c r="K890" s="2">
        <f t="shared" si="7"/>
        <v>-1.0011871852223764E-2</v>
      </c>
      <c r="L890" s="2" t="str">
        <f>IF(ISNUMBER(SEARCH("|",IMDB_Movies!$D890)),LEFT(IMDB_Movies!$D890,SEARCH("|",IMDB_Movies!$D890)-1),IMDB_Movies!$D890)</f>
        <v>Comedy</v>
      </c>
      <c r="V890" s="2"/>
      <c r="W890" s="2"/>
    </row>
    <row r="891" spans="1:23" ht="12.5" x14ac:dyDescent="0.25">
      <c r="A891" s="2" t="s">
        <v>1719</v>
      </c>
      <c r="B891" s="2">
        <v>107</v>
      </c>
      <c r="C891" s="2">
        <v>126088877</v>
      </c>
      <c r="D891" s="2" t="s">
        <v>623</v>
      </c>
      <c r="E891" s="2" t="s">
        <v>1720</v>
      </c>
      <c r="F891" s="2" t="s">
        <v>14</v>
      </c>
      <c r="G891" s="2" t="s">
        <v>15</v>
      </c>
      <c r="H891" s="2">
        <v>50000000</v>
      </c>
      <c r="I891" s="2">
        <v>6.6</v>
      </c>
      <c r="J891" s="2">
        <f t="shared" si="6"/>
        <v>76088877</v>
      </c>
      <c r="K891" s="2">
        <f t="shared" si="7"/>
        <v>-1.0110629361343155E-2</v>
      </c>
      <c r="L891" s="2" t="str">
        <f>IF(ISNUMBER(SEARCH("|",IMDB_Movies!$D891)),LEFT(IMDB_Movies!$D891,SEARCH("|",IMDB_Movies!$D891)-1),IMDB_Movies!$D891)</f>
        <v>Action</v>
      </c>
      <c r="V891" s="2"/>
      <c r="W891" s="2"/>
    </row>
    <row r="892" spans="1:23" ht="12.5" x14ac:dyDescent="0.25">
      <c r="A892" s="2" t="s">
        <v>458</v>
      </c>
      <c r="B892" s="2">
        <v>124</v>
      </c>
      <c r="C892" s="2">
        <v>91030827</v>
      </c>
      <c r="D892" s="2" t="s">
        <v>891</v>
      </c>
      <c r="E892" s="2" t="s">
        <v>1721</v>
      </c>
      <c r="F892" s="2" t="s">
        <v>14</v>
      </c>
      <c r="G892" s="2" t="s">
        <v>15</v>
      </c>
      <c r="H892" s="2">
        <v>50000000</v>
      </c>
      <c r="I892" s="2">
        <v>6.7</v>
      </c>
      <c r="J892" s="2">
        <f t="shared" si="6"/>
        <v>41030827</v>
      </c>
      <c r="K892" s="2">
        <f t="shared" si="7"/>
        <v>-1.0189209327010181E-2</v>
      </c>
      <c r="L892" s="2" t="str">
        <f>IF(ISNUMBER(SEARCH("|",IMDB_Movies!$D892)),LEFT(IMDB_Movies!$D892,SEARCH("|",IMDB_Movies!$D892)-1),IMDB_Movies!$D892)</f>
        <v>Comedy</v>
      </c>
      <c r="V892" s="2"/>
      <c r="W892" s="2"/>
    </row>
    <row r="893" spans="1:23" ht="12.5" x14ac:dyDescent="0.25">
      <c r="A893" s="2" t="s">
        <v>1545</v>
      </c>
      <c r="B893" s="2">
        <v>96</v>
      </c>
      <c r="C893" s="2">
        <v>150315155</v>
      </c>
      <c r="D893" s="2" t="s">
        <v>1058</v>
      </c>
      <c r="E893" s="2" t="s">
        <v>1722</v>
      </c>
      <c r="F893" s="2" t="s">
        <v>14</v>
      </c>
      <c r="G893" s="2" t="s">
        <v>15</v>
      </c>
      <c r="H893" s="2">
        <v>50000000</v>
      </c>
      <c r="I893" s="2">
        <v>6.1</v>
      </c>
      <c r="J893" s="2">
        <f t="shared" si="6"/>
        <v>100315155</v>
      </c>
      <c r="K893" s="2">
        <f t="shared" si="7"/>
        <v>-1.0236684518046987E-2</v>
      </c>
      <c r="L893" s="2" t="str">
        <f>IF(ISNUMBER(SEARCH("|",IMDB_Movies!$D893)),LEFT(IMDB_Movies!$D893,SEARCH("|",IMDB_Movies!$D893)-1),IMDB_Movies!$D893)</f>
        <v>Comedy</v>
      </c>
      <c r="V893" s="2"/>
      <c r="W893" s="2"/>
    </row>
    <row r="894" spans="1:23" ht="12.5" x14ac:dyDescent="0.25">
      <c r="A894" s="2" t="s">
        <v>65</v>
      </c>
      <c r="B894" s="2">
        <v>125</v>
      </c>
      <c r="C894" s="2">
        <v>127997349</v>
      </c>
      <c r="D894" s="2" t="s">
        <v>1723</v>
      </c>
      <c r="E894" s="2" t="s">
        <v>1724</v>
      </c>
      <c r="F894" s="2" t="s">
        <v>14</v>
      </c>
      <c r="G894" s="2" t="s">
        <v>15</v>
      </c>
      <c r="H894" s="2">
        <v>50000000</v>
      </c>
      <c r="I894" s="2">
        <v>6</v>
      </c>
      <c r="J894" s="2">
        <f t="shared" si="6"/>
        <v>77997349</v>
      </c>
      <c r="K894" s="2">
        <f t="shared" si="7"/>
        <v>-1.0338951051275481E-2</v>
      </c>
      <c r="L894" s="2" t="str">
        <f>IF(ISNUMBER(SEARCH("|",IMDB_Movies!$D894)),LEFT(IMDB_Movies!$D894,SEARCH("|",IMDB_Movies!$D894)-1),IMDB_Movies!$D894)</f>
        <v>Adventure</v>
      </c>
      <c r="V894" s="2"/>
      <c r="W894" s="2"/>
    </row>
    <row r="895" spans="1:23" ht="12.5" x14ac:dyDescent="0.25">
      <c r="A895" s="2" t="s">
        <v>1725</v>
      </c>
      <c r="B895" s="2">
        <v>129</v>
      </c>
      <c r="C895" s="2">
        <v>88504640</v>
      </c>
      <c r="D895" s="2" t="s">
        <v>770</v>
      </c>
      <c r="E895" s="2" t="s">
        <v>1726</v>
      </c>
      <c r="F895" s="2" t="s">
        <v>14</v>
      </c>
      <c r="G895" s="2" t="s">
        <v>15</v>
      </c>
      <c r="H895" s="2">
        <v>45000000</v>
      </c>
      <c r="I895" s="2">
        <v>7.6</v>
      </c>
      <c r="J895" s="2">
        <f t="shared" si="6"/>
        <v>43504640</v>
      </c>
      <c r="K895" s="2">
        <f t="shared" si="7"/>
        <v>-1.0419982249299301E-2</v>
      </c>
      <c r="L895" s="2" t="str">
        <f>IF(ISNUMBER(SEARCH("|",IMDB_Movies!$D895)),LEFT(IMDB_Movies!$D895,SEARCH("|",IMDB_Movies!$D895)-1),IMDB_Movies!$D895)</f>
        <v>Crime</v>
      </c>
      <c r="V895" s="2"/>
      <c r="W895" s="2"/>
    </row>
    <row r="896" spans="1:23" ht="12.5" x14ac:dyDescent="0.25">
      <c r="A896" s="2" t="s">
        <v>1727</v>
      </c>
      <c r="B896" s="2">
        <v>90</v>
      </c>
      <c r="C896" s="2">
        <v>81517441</v>
      </c>
      <c r="D896" s="2" t="s">
        <v>177</v>
      </c>
      <c r="E896" s="2" t="s">
        <v>1728</v>
      </c>
      <c r="F896" s="2" t="s">
        <v>14</v>
      </c>
      <c r="G896" s="2" t="s">
        <v>15</v>
      </c>
      <c r="H896" s="2">
        <v>50000000</v>
      </c>
      <c r="I896" s="2">
        <v>7.1</v>
      </c>
      <c r="J896" s="2">
        <f t="shared" si="6"/>
        <v>31517441</v>
      </c>
      <c r="K896" s="2">
        <f t="shared" si="7"/>
        <v>-1.0455711707986273E-2</v>
      </c>
      <c r="L896" s="2" t="str">
        <f>IF(ISNUMBER(SEARCH("|",IMDB_Movies!$D896)),LEFT(IMDB_Movies!$D896,SEARCH("|",IMDB_Movies!$D896)-1),IMDB_Movies!$D896)</f>
        <v>Action</v>
      </c>
      <c r="V896" s="2"/>
      <c r="W896" s="2"/>
    </row>
    <row r="897" spans="1:23" ht="12.5" x14ac:dyDescent="0.25">
      <c r="A897" s="2" t="s">
        <v>1729</v>
      </c>
      <c r="B897" s="2">
        <v>109</v>
      </c>
      <c r="C897" s="2">
        <v>81022333</v>
      </c>
      <c r="D897" s="2" t="s">
        <v>519</v>
      </c>
      <c r="E897" s="2" t="s">
        <v>1730</v>
      </c>
      <c r="F897" s="2" t="s">
        <v>14</v>
      </c>
      <c r="G897" s="2" t="s">
        <v>15</v>
      </c>
      <c r="H897" s="2">
        <v>50000000</v>
      </c>
      <c r="I897" s="2">
        <v>5</v>
      </c>
      <c r="J897" s="2">
        <f t="shared" si="6"/>
        <v>31022333</v>
      </c>
      <c r="K897" s="2">
        <f t="shared" si="7"/>
        <v>-1.0495533043091719E-2</v>
      </c>
      <c r="L897" s="2" t="str">
        <f>IF(ISNUMBER(SEARCH("|",IMDB_Movies!$D897)),LEFT(IMDB_Movies!$D897,SEARCH("|",IMDB_Movies!$D897)-1),IMDB_Movies!$D897)</f>
        <v>Action</v>
      </c>
      <c r="V897" s="2"/>
      <c r="W897" s="2"/>
    </row>
    <row r="898" spans="1:23" ht="12.5" x14ac:dyDescent="0.25">
      <c r="A898" s="2" t="s">
        <v>386</v>
      </c>
      <c r="B898" s="2">
        <v>121</v>
      </c>
      <c r="C898" s="2">
        <v>79948113</v>
      </c>
      <c r="D898" s="2" t="s">
        <v>788</v>
      </c>
      <c r="E898" s="2" t="s">
        <v>1731</v>
      </c>
      <c r="F898" s="2" t="s">
        <v>14</v>
      </c>
      <c r="G898" s="2" t="s">
        <v>15</v>
      </c>
      <c r="H898" s="2">
        <v>50000000</v>
      </c>
      <c r="I898" s="2">
        <v>6.2</v>
      </c>
      <c r="J898" s="2">
        <f t="shared" si="6"/>
        <v>29948113</v>
      </c>
      <c r="K898" s="2">
        <f t="shared" si="7"/>
        <v>-1.0534989848519105E-2</v>
      </c>
      <c r="L898" s="2" t="str">
        <f>IF(ISNUMBER(SEARCH("|",IMDB_Movies!$D898)),LEFT(IMDB_Movies!$D898,SEARCH("|",IMDB_Movies!$D898)-1),IMDB_Movies!$D898)</f>
        <v>Drama</v>
      </c>
      <c r="V898" s="2"/>
      <c r="W898" s="2"/>
    </row>
    <row r="899" spans="1:23" ht="12.5" x14ac:dyDescent="0.25">
      <c r="A899" s="2" t="s">
        <v>1592</v>
      </c>
      <c r="B899" s="2">
        <v>95</v>
      </c>
      <c r="C899" s="2">
        <v>88658172</v>
      </c>
      <c r="D899" s="2" t="s">
        <v>600</v>
      </c>
      <c r="E899" s="2" t="s">
        <v>1732</v>
      </c>
      <c r="F899" s="2" t="s">
        <v>14</v>
      </c>
      <c r="G899" s="2" t="s">
        <v>15</v>
      </c>
      <c r="H899" s="2">
        <v>50000000</v>
      </c>
      <c r="I899" s="2">
        <v>5.6</v>
      </c>
      <c r="J899" s="2">
        <f t="shared" si="6"/>
        <v>38658172</v>
      </c>
      <c r="K899" s="2">
        <f t="shared" si="7"/>
        <v>-1.0573595672292548E-2</v>
      </c>
      <c r="L899" s="2" t="str">
        <f>IF(ISNUMBER(SEARCH("|",IMDB_Movies!$D899)),LEFT(IMDB_Movies!$D899,SEARCH("|",IMDB_Movies!$D899)-1),IMDB_Movies!$D899)</f>
        <v>Comedy</v>
      </c>
      <c r="V899" s="2"/>
      <c r="W899" s="2"/>
    </row>
    <row r="900" spans="1:23" ht="12.5" x14ac:dyDescent="0.25">
      <c r="A900" s="2" t="s">
        <v>1293</v>
      </c>
      <c r="B900" s="2">
        <v>118</v>
      </c>
      <c r="C900" s="2">
        <v>84244877</v>
      </c>
      <c r="D900" s="2" t="s">
        <v>514</v>
      </c>
      <c r="E900" s="2" t="s">
        <v>1733</v>
      </c>
      <c r="F900" s="2" t="s">
        <v>14</v>
      </c>
      <c r="G900" s="2" t="s">
        <v>15</v>
      </c>
      <c r="H900" s="2">
        <v>50000000</v>
      </c>
      <c r="I900" s="2">
        <v>7.4</v>
      </c>
      <c r="J900" s="2">
        <f t="shared" si="6"/>
        <v>34244877</v>
      </c>
      <c r="K900" s="2">
        <f t="shared" si="7"/>
        <v>-1.0619646371888542E-2</v>
      </c>
      <c r="L900" s="2" t="str">
        <f>IF(ISNUMBER(SEARCH("|",IMDB_Movies!$D900)),LEFT(IMDB_Movies!$D900,SEARCH("|",IMDB_Movies!$D900)-1),IMDB_Movies!$D900)</f>
        <v>Comedy</v>
      </c>
      <c r="V900" s="2"/>
      <c r="W900" s="2"/>
    </row>
    <row r="901" spans="1:23" ht="12.5" x14ac:dyDescent="0.25">
      <c r="A901" s="2" t="s">
        <v>1734</v>
      </c>
      <c r="B901" s="2">
        <v>80</v>
      </c>
      <c r="C901" s="2">
        <v>75367693</v>
      </c>
      <c r="D901" s="2" t="s">
        <v>296</v>
      </c>
      <c r="E901" s="2" t="s">
        <v>1735</v>
      </c>
      <c r="F901" s="2" t="s">
        <v>14</v>
      </c>
      <c r="G901" s="2" t="s">
        <v>15</v>
      </c>
      <c r="H901" s="2">
        <v>35000000</v>
      </c>
      <c r="I901" s="2">
        <v>5</v>
      </c>
      <c r="J901" s="2">
        <f t="shared" si="6"/>
        <v>40367693</v>
      </c>
      <c r="K901" s="2">
        <f t="shared" si="7"/>
        <v>-1.0661989478431519E-2</v>
      </c>
      <c r="L901" s="2" t="str">
        <f>IF(ISNUMBER(SEARCH("|",IMDB_Movies!$D901)),LEFT(IMDB_Movies!$D901,SEARCH("|",IMDB_Movies!$D901)-1),IMDB_Movies!$D901)</f>
        <v>Animation</v>
      </c>
      <c r="V901" s="2"/>
      <c r="W901" s="2"/>
    </row>
    <row r="902" spans="1:23" ht="12.5" x14ac:dyDescent="0.25">
      <c r="A902" s="2" t="s">
        <v>1736</v>
      </c>
      <c r="B902" s="2">
        <v>99</v>
      </c>
      <c r="C902" s="2">
        <v>73701902</v>
      </c>
      <c r="D902" s="2" t="s">
        <v>1058</v>
      </c>
      <c r="E902" s="2" t="s">
        <v>1737</v>
      </c>
      <c r="F902" s="2" t="s">
        <v>14</v>
      </c>
      <c r="G902" s="2" t="s">
        <v>15</v>
      </c>
      <c r="H902" s="2">
        <v>60000000</v>
      </c>
      <c r="I902" s="2">
        <v>5.2</v>
      </c>
      <c r="J902" s="2">
        <f t="shared" si="6"/>
        <v>13701902</v>
      </c>
      <c r="K902" s="2">
        <f t="shared" si="7"/>
        <v>-1.0673729758495584E-2</v>
      </c>
      <c r="L902" s="2" t="str">
        <f>IF(ISNUMBER(SEARCH("|",IMDB_Movies!$D902)),LEFT(IMDB_Movies!$D902,SEARCH("|",IMDB_Movies!$D902)-1),IMDB_Movies!$D902)</f>
        <v>Comedy</v>
      </c>
      <c r="V902" s="2"/>
      <c r="W902" s="2"/>
    </row>
    <row r="903" spans="1:23" ht="12.5" x14ac:dyDescent="0.25">
      <c r="A903" s="2" t="s">
        <v>1738</v>
      </c>
      <c r="B903" s="2">
        <v>133</v>
      </c>
      <c r="C903" s="2">
        <v>75605492</v>
      </c>
      <c r="D903" s="2" t="s">
        <v>585</v>
      </c>
      <c r="E903" s="2" t="s">
        <v>1739</v>
      </c>
      <c r="F903" s="2" t="s">
        <v>14</v>
      </c>
      <c r="G903" s="2" t="s">
        <v>15</v>
      </c>
      <c r="H903" s="2">
        <v>50000000</v>
      </c>
      <c r="I903" s="2">
        <v>7.6</v>
      </c>
      <c r="J903" s="2">
        <f t="shared" si="6"/>
        <v>25605492</v>
      </c>
      <c r="K903" s="2">
        <f t="shared" si="7"/>
        <v>-1.0722220986471754E-2</v>
      </c>
      <c r="L903" s="2" t="str">
        <f>IF(ISNUMBER(SEARCH("|",IMDB_Movies!$D903)),LEFT(IMDB_Movies!$D903,SEARCH("|",IMDB_Movies!$D903)-1),IMDB_Movies!$D903)</f>
        <v>Biography</v>
      </c>
      <c r="V903" s="2"/>
      <c r="W903" s="2"/>
    </row>
    <row r="904" spans="1:23" ht="12.5" x14ac:dyDescent="0.25">
      <c r="A904" s="2" t="s">
        <v>266</v>
      </c>
      <c r="B904" s="2">
        <v>127</v>
      </c>
      <c r="C904" s="2">
        <v>67823573</v>
      </c>
      <c r="D904" s="2" t="s">
        <v>342</v>
      </c>
      <c r="E904" s="2" t="s">
        <v>1740</v>
      </c>
      <c r="F904" s="2" t="s">
        <v>14</v>
      </c>
      <c r="G904" s="2" t="s">
        <v>15</v>
      </c>
      <c r="H904" s="2">
        <v>50000000</v>
      </c>
      <c r="I904" s="2">
        <v>6.6</v>
      </c>
      <c r="J904" s="2">
        <f t="shared" si="6"/>
        <v>17823573</v>
      </c>
      <c r="K904" s="2">
        <f t="shared" si="7"/>
        <v>-1.0757430901887325E-2</v>
      </c>
      <c r="L904" s="2" t="str">
        <f>IF(ISNUMBER(SEARCH("|",IMDB_Movies!$D904)),LEFT(IMDB_Movies!$D904,SEARCH("|",IMDB_Movies!$D904)-1),IMDB_Movies!$D904)</f>
        <v>Action</v>
      </c>
      <c r="V904" s="2"/>
      <c r="W904" s="2"/>
    </row>
    <row r="905" spans="1:23" ht="12.5" x14ac:dyDescent="0.25">
      <c r="A905" s="2" t="s">
        <v>1741</v>
      </c>
      <c r="B905" s="2">
        <v>106</v>
      </c>
      <c r="C905" s="2">
        <v>91439400</v>
      </c>
      <c r="D905" s="2" t="s">
        <v>425</v>
      </c>
      <c r="E905" s="2" t="s">
        <v>1742</v>
      </c>
      <c r="F905" s="2" t="s">
        <v>14</v>
      </c>
      <c r="G905" s="2" t="s">
        <v>22</v>
      </c>
      <c r="H905" s="2">
        <v>50000000</v>
      </c>
      <c r="I905" s="2">
        <v>7</v>
      </c>
      <c r="J905" s="2">
        <f t="shared" si="6"/>
        <v>41439400</v>
      </c>
      <c r="K905" s="2">
        <f t="shared" si="7"/>
        <v>-1.0786271153505505E-2</v>
      </c>
      <c r="L905" s="2" t="str">
        <f>IF(ISNUMBER(SEARCH("|",IMDB_Movies!$D905)),LEFT(IMDB_Movies!$D905,SEARCH("|",IMDB_Movies!$D905)-1),IMDB_Movies!$D905)</f>
        <v>Action</v>
      </c>
      <c r="V905" s="2"/>
      <c r="W905" s="2"/>
    </row>
    <row r="906" spans="1:23" ht="12.5" x14ac:dyDescent="0.25">
      <c r="A906" s="2" t="s">
        <v>1743</v>
      </c>
      <c r="B906" s="2">
        <v>98</v>
      </c>
      <c r="C906" s="2">
        <v>67128202</v>
      </c>
      <c r="D906" s="2" t="s">
        <v>1744</v>
      </c>
      <c r="E906" s="2" t="s">
        <v>1745</v>
      </c>
      <c r="F906" s="2" t="s">
        <v>14</v>
      </c>
      <c r="G906" s="2" t="s">
        <v>15</v>
      </c>
      <c r="H906" s="2">
        <v>65000000</v>
      </c>
      <c r="I906" s="2">
        <v>5.7</v>
      </c>
      <c r="J906" s="2">
        <f t="shared" si="6"/>
        <v>2128202</v>
      </c>
      <c r="K906" s="2">
        <f t="shared" si="7"/>
        <v>-1.0835063009983152E-2</v>
      </c>
      <c r="L906" s="2" t="str">
        <f>IF(ISNUMBER(SEARCH("|",IMDB_Movies!$D906)),LEFT(IMDB_Movies!$D906,SEARCH("|",IMDB_Movies!$D906)-1),IMDB_Movies!$D906)</f>
        <v>Action</v>
      </c>
      <c r="V906" s="2"/>
      <c r="W906" s="2"/>
    </row>
    <row r="907" spans="1:23" ht="12.5" x14ac:dyDescent="0.25">
      <c r="A907" s="2" t="s">
        <v>1746</v>
      </c>
      <c r="B907" s="2">
        <v>132</v>
      </c>
      <c r="C907" s="2">
        <v>70496802</v>
      </c>
      <c r="D907" s="2" t="s">
        <v>342</v>
      </c>
      <c r="E907" s="2" t="s">
        <v>1747</v>
      </c>
      <c r="F907" s="2" t="s">
        <v>14</v>
      </c>
      <c r="G907" s="2" t="s">
        <v>15</v>
      </c>
      <c r="H907" s="2">
        <v>54000000</v>
      </c>
      <c r="I907" s="2">
        <v>8.1999999999999993</v>
      </c>
      <c r="J907" s="2">
        <f t="shared" si="6"/>
        <v>16496802</v>
      </c>
      <c r="K907" s="2">
        <f t="shared" si="7"/>
        <v>-1.0882436701212476E-2</v>
      </c>
      <c r="L907" s="2" t="str">
        <f>IF(ISNUMBER(SEARCH("|",IMDB_Movies!$D907)),LEFT(IMDB_Movies!$D907,SEARCH("|",IMDB_Movies!$D907)-1),IMDB_Movies!$D907)</f>
        <v>Action</v>
      </c>
      <c r="V907" s="2"/>
      <c r="W907" s="2"/>
    </row>
    <row r="908" spans="1:23" ht="12.5" x14ac:dyDescent="0.25">
      <c r="A908" s="2" t="s">
        <v>1685</v>
      </c>
      <c r="B908" s="2">
        <v>114</v>
      </c>
      <c r="C908" s="2">
        <v>60470220</v>
      </c>
      <c r="D908" s="2" t="s">
        <v>582</v>
      </c>
      <c r="E908" s="2" t="s">
        <v>1748</v>
      </c>
      <c r="F908" s="2" t="s">
        <v>14</v>
      </c>
      <c r="G908" s="2" t="s">
        <v>15</v>
      </c>
      <c r="H908" s="2">
        <v>50000000</v>
      </c>
      <c r="I908" s="2">
        <v>6.2</v>
      </c>
      <c r="J908" s="2">
        <f t="shared" si="6"/>
        <v>10470220</v>
      </c>
      <c r="K908" s="2">
        <f t="shared" si="7"/>
        <v>-1.0919123664519513E-2</v>
      </c>
      <c r="L908" s="2" t="str">
        <f>IF(ISNUMBER(SEARCH("|",IMDB_Movies!$D908)),LEFT(IMDB_Movies!$D908,SEARCH("|",IMDB_Movies!$D908)-1),IMDB_Movies!$D908)</f>
        <v>Action</v>
      </c>
      <c r="V908" s="2"/>
      <c r="W908" s="2"/>
    </row>
    <row r="909" spans="1:23" ht="12.5" x14ac:dyDescent="0.25">
      <c r="A909" s="2" t="s">
        <v>1749</v>
      </c>
      <c r="B909" s="2">
        <v>78</v>
      </c>
      <c r="C909" s="2">
        <v>58336565</v>
      </c>
      <c r="D909" s="2" t="s">
        <v>181</v>
      </c>
      <c r="E909" s="2" t="s">
        <v>1750</v>
      </c>
      <c r="F909" s="2" t="s">
        <v>14</v>
      </c>
      <c r="G909" s="2" t="s">
        <v>15</v>
      </c>
      <c r="H909" s="2">
        <v>50000000</v>
      </c>
      <c r="I909" s="2">
        <v>6.6</v>
      </c>
      <c r="J909" s="2">
        <f t="shared" si="6"/>
        <v>8336565</v>
      </c>
      <c r="K909" s="2">
        <f t="shared" si="7"/>
        <v>-1.0942163963925588E-2</v>
      </c>
      <c r="L909" s="2" t="str">
        <f>IF(ISNUMBER(SEARCH("|",IMDB_Movies!$D909)),LEFT(IMDB_Movies!$D909,SEARCH("|",IMDB_Movies!$D909)-1),IMDB_Movies!$D909)</f>
        <v>Adventure</v>
      </c>
      <c r="V909" s="2"/>
      <c r="W909" s="2"/>
    </row>
    <row r="910" spans="1:23" ht="12.5" x14ac:dyDescent="0.25">
      <c r="A910" s="2" t="s">
        <v>1751</v>
      </c>
      <c r="B910" s="2">
        <v>101</v>
      </c>
      <c r="C910" s="2">
        <v>66002004</v>
      </c>
      <c r="D910" s="2" t="s">
        <v>1752</v>
      </c>
      <c r="E910" s="2" t="s">
        <v>1753</v>
      </c>
      <c r="F910" s="2" t="s">
        <v>14</v>
      </c>
      <c r="G910" s="2" t="s">
        <v>15</v>
      </c>
      <c r="H910" s="2">
        <v>50000000</v>
      </c>
      <c r="I910" s="2">
        <v>4.7</v>
      </c>
      <c r="J910" s="2">
        <f t="shared" si="6"/>
        <v>16002004</v>
      </c>
      <c r="K910" s="2">
        <f t="shared" si="7"/>
        <v>-1.0963522490584089E-2</v>
      </c>
      <c r="L910" s="2" t="str">
        <f>IF(ISNUMBER(SEARCH("|",IMDB_Movies!$D910)),LEFT(IMDB_Movies!$D910,SEARCH("|",IMDB_Movies!$D910)-1),IMDB_Movies!$D910)</f>
        <v>Adventure</v>
      </c>
      <c r="V910" s="2"/>
      <c r="W910" s="2"/>
    </row>
    <row r="911" spans="1:23" ht="12.5" x14ac:dyDescent="0.25">
      <c r="A911" s="2" t="s">
        <v>1754</v>
      </c>
      <c r="B911" s="2">
        <v>113</v>
      </c>
      <c r="C911" s="2">
        <v>54997476</v>
      </c>
      <c r="D911" s="2" t="s">
        <v>770</v>
      </c>
      <c r="E911" s="2" t="s">
        <v>1755</v>
      </c>
      <c r="F911" s="2" t="s">
        <v>14</v>
      </c>
      <c r="G911" s="2" t="s">
        <v>15</v>
      </c>
      <c r="H911" s="2">
        <v>50000000</v>
      </c>
      <c r="I911" s="2">
        <v>6.3</v>
      </c>
      <c r="J911" s="2">
        <f t="shared" si="6"/>
        <v>4997476</v>
      </c>
      <c r="K911" s="2">
        <f t="shared" si="7"/>
        <v>-1.0991072193376064E-2</v>
      </c>
      <c r="L911" s="2" t="str">
        <f>IF(ISNUMBER(SEARCH("|",IMDB_Movies!$D911)),LEFT(IMDB_Movies!$D911,SEARCH("|",IMDB_Movies!$D911)-1),IMDB_Movies!$D911)</f>
        <v>Crime</v>
      </c>
      <c r="V911" s="2"/>
      <c r="W911" s="2"/>
    </row>
    <row r="912" spans="1:23" ht="12.5" x14ac:dyDescent="0.25">
      <c r="A912" s="2" t="s">
        <v>1756</v>
      </c>
      <c r="B912" s="2">
        <v>98</v>
      </c>
      <c r="C912" s="2">
        <v>55682070</v>
      </c>
      <c r="D912" s="2" t="s">
        <v>1197</v>
      </c>
      <c r="E912" s="2" t="s">
        <v>1757</v>
      </c>
      <c r="F912" s="2" t="s">
        <v>14</v>
      </c>
      <c r="G912" s="2" t="s">
        <v>287</v>
      </c>
      <c r="H912" s="2">
        <v>50000000</v>
      </c>
      <c r="I912" s="2">
        <v>6.1</v>
      </c>
      <c r="J912" s="2">
        <f t="shared" si="6"/>
        <v>5682070</v>
      </c>
      <c r="K912" s="2">
        <f t="shared" si="7"/>
        <v>-1.1009826344983899E-2</v>
      </c>
      <c r="L912" s="2" t="str">
        <f>IF(ISNUMBER(SEARCH("|",IMDB_Movies!$D912)),LEFT(IMDB_Movies!$D912,SEARCH("|",IMDB_Movies!$D912)-1),IMDB_Movies!$D912)</f>
        <v>Action</v>
      </c>
      <c r="V912" s="2"/>
      <c r="W912" s="2"/>
    </row>
    <row r="913" spans="1:23" ht="12.5" x14ac:dyDescent="0.25">
      <c r="A913" s="2" t="s">
        <v>1758</v>
      </c>
      <c r="B913" s="2">
        <v>124</v>
      </c>
      <c r="C913" s="2">
        <v>52752475</v>
      </c>
      <c r="D913" s="2" t="s">
        <v>1400</v>
      </c>
      <c r="E913" s="2" t="s">
        <v>1759</v>
      </c>
      <c r="F913" s="2" t="s">
        <v>14</v>
      </c>
      <c r="G913" s="2" t="s">
        <v>15</v>
      </c>
      <c r="H913" s="2">
        <v>50000000</v>
      </c>
      <c r="I913" s="2">
        <v>6.7</v>
      </c>
      <c r="J913" s="2">
        <f t="shared" si="6"/>
        <v>2752475</v>
      </c>
      <c r="K913" s="2">
        <f t="shared" si="7"/>
        <v>-1.1029136684391429E-2</v>
      </c>
      <c r="L913" s="2" t="str">
        <f>IF(ISNUMBER(SEARCH("|",IMDB_Movies!$D913)),LEFT(IMDB_Movies!$D913,SEARCH("|",IMDB_Movies!$D913)-1),IMDB_Movies!$D913)</f>
        <v>Drama</v>
      </c>
      <c r="V913" s="2"/>
      <c r="W913" s="2"/>
    </row>
    <row r="914" spans="1:23" ht="12.5" x14ac:dyDescent="0.25">
      <c r="A914" s="2" t="s">
        <v>924</v>
      </c>
      <c r="B914" s="2">
        <v>109</v>
      </c>
      <c r="C914" s="2">
        <v>55092830</v>
      </c>
      <c r="D914" s="2" t="s">
        <v>90</v>
      </c>
      <c r="E914" s="2" t="s">
        <v>1760</v>
      </c>
      <c r="F914" s="2" t="s">
        <v>14</v>
      </c>
      <c r="G914" s="2" t="s">
        <v>15</v>
      </c>
      <c r="H914" s="2">
        <v>60000000</v>
      </c>
      <c r="I914" s="2">
        <v>6.1</v>
      </c>
      <c r="J914" s="2">
        <f t="shared" si="6"/>
        <v>-4907170</v>
      </c>
      <c r="K914" s="2">
        <f t="shared" si="7"/>
        <v>-1.1046157133669089E-2</v>
      </c>
      <c r="L914" s="2" t="str">
        <f>IF(ISNUMBER(SEARCH("|",IMDB_Movies!$D914)),LEFT(IMDB_Movies!$D914,SEARCH("|",IMDB_Movies!$D914)-1),IMDB_Movies!$D914)</f>
        <v>Action</v>
      </c>
      <c r="V914" s="2"/>
      <c r="W914" s="2"/>
    </row>
    <row r="915" spans="1:23" ht="12.5" x14ac:dyDescent="0.25">
      <c r="A915" s="2" t="s">
        <v>1761</v>
      </c>
      <c r="B915" s="2">
        <v>128</v>
      </c>
      <c r="C915" s="2">
        <v>50815288</v>
      </c>
      <c r="D915" s="2" t="s">
        <v>1400</v>
      </c>
      <c r="E915" s="2" t="s">
        <v>1762</v>
      </c>
      <c r="F915" s="2" t="s">
        <v>14</v>
      </c>
      <c r="G915" s="2" t="s">
        <v>15</v>
      </c>
      <c r="H915" s="2">
        <v>50000000</v>
      </c>
      <c r="I915" s="2">
        <v>7</v>
      </c>
      <c r="J915" s="2">
        <f t="shared" si="6"/>
        <v>815288</v>
      </c>
      <c r="K915" s="2">
        <f t="shared" si="7"/>
        <v>-1.1073607481412019E-2</v>
      </c>
      <c r="L915" s="2" t="str">
        <f>IF(ISNUMBER(SEARCH("|",IMDB_Movies!$D915)),LEFT(IMDB_Movies!$D915,SEARCH("|",IMDB_Movies!$D915)-1),IMDB_Movies!$D915)</f>
        <v>Drama</v>
      </c>
      <c r="V915" s="2"/>
      <c r="W915" s="2"/>
    </row>
    <row r="916" spans="1:23" ht="12.5" x14ac:dyDescent="0.25">
      <c r="A916" s="2" t="s">
        <v>108</v>
      </c>
      <c r="B916" s="2">
        <v>144</v>
      </c>
      <c r="C916" s="2">
        <v>52822418</v>
      </c>
      <c r="D916" s="2" t="s">
        <v>684</v>
      </c>
      <c r="E916" s="2" t="s">
        <v>1763</v>
      </c>
      <c r="F916" s="2" t="s">
        <v>14</v>
      </c>
      <c r="G916" s="2" t="s">
        <v>15</v>
      </c>
      <c r="H916" s="2">
        <v>50000000</v>
      </c>
      <c r="I916" s="2">
        <v>7.4</v>
      </c>
      <c r="J916" s="2">
        <f t="shared" si="6"/>
        <v>2822418</v>
      </c>
      <c r="K916" s="2">
        <f t="shared" si="7"/>
        <v>-1.1089144507525942E-2</v>
      </c>
      <c r="L916" s="2" t="str">
        <f>IF(ISNUMBER(SEARCH("|",IMDB_Movies!$D916)),LEFT(IMDB_Movies!$D916,SEARCH("|",IMDB_Movies!$D916)-1),IMDB_Movies!$D916)</f>
        <v>Action</v>
      </c>
      <c r="V916" s="2"/>
      <c r="W916" s="2"/>
    </row>
    <row r="917" spans="1:23" ht="12.5" x14ac:dyDescent="0.25">
      <c r="A917" s="2" t="s">
        <v>1764</v>
      </c>
      <c r="B917" s="2">
        <v>95</v>
      </c>
      <c r="C917" s="2">
        <v>50150619</v>
      </c>
      <c r="D917" s="2" t="s">
        <v>1142</v>
      </c>
      <c r="E917" s="2" t="s">
        <v>1765</v>
      </c>
      <c r="F917" s="2" t="s">
        <v>14</v>
      </c>
      <c r="G917" s="2" t="s">
        <v>15</v>
      </c>
      <c r="H917" s="2">
        <v>50000000</v>
      </c>
      <c r="I917" s="2">
        <v>7.3</v>
      </c>
      <c r="J917" s="2">
        <f t="shared" si="6"/>
        <v>150619</v>
      </c>
      <c r="K917" s="2">
        <f t="shared" si="7"/>
        <v>-1.1106264829078968E-2</v>
      </c>
      <c r="L917" s="2" t="str">
        <f>IF(ISNUMBER(SEARCH("|",IMDB_Movies!$D917)),LEFT(IMDB_Movies!$D917,SEARCH("|",IMDB_Movies!$D917)-1),IMDB_Movies!$D917)</f>
        <v>Adventure</v>
      </c>
      <c r="V917" s="2"/>
      <c r="W917" s="2"/>
    </row>
    <row r="918" spans="1:23" ht="12.5" x14ac:dyDescent="0.25">
      <c r="A918" s="2" t="s">
        <v>1766</v>
      </c>
      <c r="B918" s="2">
        <v>105</v>
      </c>
      <c r="C918" s="2">
        <v>48745150</v>
      </c>
      <c r="D918" s="2" t="s">
        <v>550</v>
      </c>
      <c r="E918" s="2" t="s">
        <v>1767</v>
      </c>
      <c r="F918" s="2" t="s">
        <v>14</v>
      </c>
      <c r="G918" s="2" t="s">
        <v>15</v>
      </c>
      <c r="H918" s="2">
        <v>50000000</v>
      </c>
      <c r="I918" s="2">
        <v>5.8</v>
      </c>
      <c r="J918" s="2">
        <f t="shared" si="6"/>
        <v>-1254850</v>
      </c>
      <c r="K918" s="2">
        <f t="shared" si="7"/>
        <v>-1.1121309038653821E-2</v>
      </c>
      <c r="L918" s="2" t="str">
        <f>IF(ISNUMBER(SEARCH("|",IMDB_Movies!$D918)),LEFT(IMDB_Movies!$D918,SEARCH("|",IMDB_Movies!$D918)-1),IMDB_Movies!$D918)</f>
        <v>Crime</v>
      </c>
      <c r="V918" s="2"/>
      <c r="W918" s="2"/>
    </row>
    <row r="919" spans="1:23" ht="12.5" x14ac:dyDescent="0.25">
      <c r="A919" s="2" t="s">
        <v>1279</v>
      </c>
      <c r="B919" s="2">
        <v>121</v>
      </c>
      <c r="C919" s="2">
        <v>50007168</v>
      </c>
      <c r="D919" s="2" t="s">
        <v>177</v>
      </c>
      <c r="E919" s="2" t="s">
        <v>1768</v>
      </c>
      <c r="F919" s="2" t="s">
        <v>14</v>
      </c>
      <c r="G919" s="2" t="s">
        <v>15</v>
      </c>
      <c r="H919" s="2">
        <v>50000000</v>
      </c>
      <c r="I919" s="2">
        <v>6.7</v>
      </c>
      <c r="J919" s="2">
        <f t="shared" si="6"/>
        <v>7168</v>
      </c>
      <c r="K919" s="2">
        <f t="shared" si="7"/>
        <v>-1.1135272235532324E-2</v>
      </c>
      <c r="L919" s="2" t="str">
        <f>IF(ISNUMBER(SEARCH("|",IMDB_Movies!$D919)),LEFT(IMDB_Movies!$D919,SEARCH("|",IMDB_Movies!$D919)-1),IMDB_Movies!$D919)</f>
        <v>Action</v>
      </c>
      <c r="V919" s="2"/>
      <c r="W919" s="2"/>
    </row>
    <row r="920" spans="1:23" ht="12.5" x14ac:dyDescent="0.25">
      <c r="A920" s="2" t="s">
        <v>76</v>
      </c>
      <c r="B920" s="2">
        <v>125</v>
      </c>
      <c r="C920" s="2">
        <v>48154732</v>
      </c>
      <c r="D920" s="2" t="s">
        <v>529</v>
      </c>
      <c r="E920" s="2" t="s">
        <v>1769</v>
      </c>
      <c r="F920" s="2" t="s">
        <v>14</v>
      </c>
      <c r="G920" s="2" t="s">
        <v>15</v>
      </c>
      <c r="H920" s="2">
        <v>50000000</v>
      </c>
      <c r="I920" s="2">
        <v>5.8</v>
      </c>
      <c r="J920" s="2">
        <f t="shared" si="6"/>
        <v>-1845268</v>
      </c>
      <c r="K920" s="2">
        <f t="shared" si="7"/>
        <v>-1.1150227853044174E-2</v>
      </c>
      <c r="L920" s="2" t="str">
        <f>IF(ISNUMBER(SEARCH("|",IMDB_Movies!$D920)),LEFT(IMDB_Movies!$D920,SEARCH("|",IMDB_Movies!$D920)-1),IMDB_Movies!$D920)</f>
        <v>Action</v>
      </c>
      <c r="V920" s="2"/>
      <c r="W920" s="2"/>
    </row>
    <row r="921" spans="1:23" ht="12.5" x14ac:dyDescent="0.25">
      <c r="A921" s="2" t="s">
        <v>255</v>
      </c>
      <c r="B921" s="2">
        <v>129</v>
      </c>
      <c r="C921" s="2">
        <v>48265581</v>
      </c>
      <c r="D921" s="2" t="s">
        <v>690</v>
      </c>
      <c r="E921" s="2" t="s">
        <v>1770</v>
      </c>
      <c r="F921" s="2" t="s">
        <v>14</v>
      </c>
      <c r="G921" s="2" t="s">
        <v>15</v>
      </c>
      <c r="H921" s="2">
        <v>50000000</v>
      </c>
      <c r="I921" s="2">
        <v>7.8</v>
      </c>
      <c r="J921" s="2">
        <f t="shared" si="6"/>
        <v>-1734419</v>
      </c>
      <c r="K921" s="2">
        <f t="shared" si="7"/>
        <v>-1.1163755146479527E-2</v>
      </c>
      <c r="L921" s="2" t="str">
        <f>IF(ISNUMBER(SEARCH("|",IMDB_Movies!$D921)),LEFT(IMDB_Movies!$D921,SEARCH("|",IMDB_Movies!$D921)-1),IMDB_Movies!$D921)</f>
        <v>Drama</v>
      </c>
      <c r="V921" s="2"/>
      <c r="W921" s="2"/>
    </row>
    <row r="922" spans="1:23" ht="12.5" x14ac:dyDescent="0.25">
      <c r="A922" s="2" t="s">
        <v>1771</v>
      </c>
      <c r="B922" s="2">
        <v>132</v>
      </c>
      <c r="C922" s="2">
        <v>46982632</v>
      </c>
      <c r="D922" s="2" t="s">
        <v>1772</v>
      </c>
      <c r="E922" s="2" t="s">
        <v>1773</v>
      </c>
      <c r="F922" s="2" t="s">
        <v>14</v>
      </c>
      <c r="G922" s="2" t="s">
        <v>104</v>
      </c>
      <c r="H922" s="2">
        <v>50000000</v>
      </c>
      <c r="I922" s="2">
        <v>6.6</v>
      </c>
      <c r="J922" s="2">
        <f t="shared" si="6"/>
        <v>-3017368</v>
      </c>
      <c r="K922" s="2">
        <f t="shared" si="7"/>
        <v>-1.1177378869500329E-2</v>
      </c>
      <c r="L922" s="2" t="str">
        <f>IF(ISNUMBER(SEARCH("|",IMDB_Movies!$D922)),LEFT(IMDB_Movies!$D922,SEARCH("|",IMDB_Movies!$D922)-1),IMDB_Movies!$D922)</f>
        <v>Adventure</v>
      </c>
      <c r="V922" s="2"/>
      <c r="W922" s="2"/>
    </row>
    <row r="923" spans="1:23" ht="12.5" x14ac:dyDescent="0.25">
      <c r="A923" s="2" t="s">
        <v>1774</v>
      </c>
      <c r="B923" s="2">
        <v>118</v>
      </c>
      <c r="C923" s="2">
        <v>44737059</v>
      </c>
      <c r="D923" s="2" t="s">
        <v>1350</v>
      </c>
      <c r="E923" s="2" t="s">
        <v>1775</v>
      </c>
      <c r="F923" s="2" t="s">
        <v>14</v>
      </c>
      <c r="G923" s="2" t="s">
        <v>15</v>
      </c>
      <c r="H923" s="2">
        <v>50000000</v>
      </c>
      <c r="I923" s="2">
        <v>6.5</v>
      </c>
      <c r="J923" s="2">
        <f t="shared" si="6"/>
        <v>-5262941</v>
      </c>
      <c r="K923" s="2">
        <f t="shared" si="7"/>
        <v>-1.1190019487615988E-2</v>
      </c>
      <c r="L923" s="2" t="str">
        <f>IF(ISNUMBER(SEARCH("|",IMDB_Movies!$D923)),LEFT(IMDB_Movies!$D923,SEARCH("|",IMDB_Movies!$D923)-1),IMDB_Movies!$D923)</f>
        <v>Comedy</v>
      </c>
      <c r="V923" s="2"/>
      <c r="W923" s="2"/>
    </row>
    <row r="924" spans="1:23" ht="12.5" x14ac:dyDescent="0.25">
      <c r="A924" s="2" t="s">
        <v>1776</v>
      </c>
      <c r="B924" s="2">
        <v>113</v>
      </c>
      <c r="C924" s="2">
        <v>56724080</v>
      </c>
      <c r="D924" s="2" t="s">
        <v>709</v>
      </c>
      <c r="E924" s="2" t="s">
        <v>1777</v>
      </c>
      <c r="F924" s="2" t="s">
        <v>14</v>
      </c>
      <c r="G924" s="2" t="s">
        <v>15</v>
      </c>
      <c r="H924" s="2">
        <v>50000000</v>
      </c>
      <c r="I924" s="2">
        <v>6.7</v>
      </c>
      <c r="J924" s="2">
        <f t="shared" si="6"/>
        <v>6724080</v>
      </c>
      <c r="K924" s="2">
        <f t="shared" si="7"/>
        <v>-1.1200939658212844E-2</v>
      </c>
      <c r="L924" s="2" t="str">
        <f>IF(ISNUMBER(SEARCH("|",IMDB_Movies!$D924)),LEFT(IMDB_Movies!$D924,SEARCH("|",IMDB_Movies!$D924)-1),IMDB_Movies!$D924)</f>
        <v>Comedy</v>
      </c>
      <c r="V924" s="2"/>
      <c r="W924" s="2"/>
    </row>
    <row r="925" spans="1:23" ht="12.5" x14ac:dyDescent="0.25">
      <c r="A925" s="2" t="s">
        <v>1067</v>
      </c>
      <c r="B925" s="2">
        <v>140</v>
      </c>
      <c r="C925" s="2">
        <v>44484065</v>
      </c>
      <c r="D925" s="2" t="s">
        <v>845</v>
      </c>
      <c r="E925" s="2" t="s">
        <v>1778</v>
      </c>
      <c r="F925" s="2" t="s">
        <v>14</v>
      </c>
      <c r="G925" s="2" t="s">
        <v>287</v>
      </c>
      <c r="H925" s="2">
        <v>50000000</v>
      </c>
      <c r="I925" s="2">
        <v>7.3</v>
      </c>
      <c r="J925" s="2">
        <f t="shared" si="6"/>
        <v>-5515935</v>
      </c>
      <c r="K925" s="2">
        <f t="shared" si="7"/>
        <v>-1.1221253118317879E-2</v>
      </c>
      <c r="L925" s="2" t="str">
        <f>IF(ISNUMBER(SEARCH("|",IMDB_Movies!$D925)),LEFT(IMDB_Movies!$D925,SEARCH("|",IMDB_Movies!$D925)-1),IMDB_Movies!$D925)</f>
        <v>Action</v>
      </c>
      <c r="V925" s="2"/>
      <c r="W925" s="2"/>
    </row>
    <row r="926" spans="1:23" ht="12.5" x14ac:dyDescent="0.25">
      <c r="A926" s="2" t="s">
        <v>1779</v>
      </c>
      <c r="B926" s="2">
        <v>89</v>
      </c>
      <c r="C926" s="2">
        <v>47553512</v>
      </c>
      <c r="D926" s="2" t="s">
        <v>25</v>
      </c>
      <c r="E926" s="2" t="s">
        <v>1780</v>
      </c>
      <c r="F926" s="2" t="s">
        <v>14</v>
      </c>
      <c r="G926" s="2" t="s">
        <v>15</v>
      </c>
      <c r="H926" s="2">
        <v>50000000</v>
      </c>
      <c r="I926" s="2">
        <v>5.8</v>
      </c>
      <c r="J926" s="2">
        <f t="shared" si="6"/>
        <v>-2446488</v>
      </c>
      <c r="K926" s="2">
        <f t="shared" si="7"/>
        <v>-1.123199939061045E-2</v>
      </c>
      <c r="L926" s="2" t="str">
        <f>IF(ISNUMBER(SEARCH("|",IMDB_Movies!$D926)),LEFT(IMDB_Movies!$D926,SEARCH("|",IMDB_Movies!$D926)-1),IMDB_Movies!$D926)</f>
        <v>Action</v>
      </c>
      <c r="V926" s="2"/>
      <c r="W926" s="2"/>
    </row>
    <row r="927" spans="1:23" ht="12.5" x14ac:dyDescent="0.25">
      <c r="A927" s="2" t="s">
        <v>1781</v>
      </c>
      <c r="B927" s="2">
        <v>104</v>
      </c>
      <c r="C927" s="2">
        <v>42610000</v>
      </c>
      <c r="D927" s="2" t="s">
        <v>150</v>
      </c>
      <c r="E927" s="2" t="s">
        <v>1782</v>
      </c>
      <c r="F927" s="2" t="s">
        <v>14</v>
      </c>
      <c r="G927" s="2" t="s">
        <v>15</v>
      </c>
      <c r="H927" s="2">
        <v>55000000</v>
      </c>
      <c r="I927" s="2">
        <v>5.5</v>
      </c>
      <c r="J927" s="2">
        <f t="shared" si="6"/>
        <v>-12390000</v>
      </c>
      <c r="K927" s="2">
        <f t="shared" si="7"/>
        <v>-1.124512304897074E-2</v>
      </c>
      <c r="L927" s="2" t="str">
        <f>IF(ISNUMBER(SEARCH("|",IMDB_Movies!$D927)),LEFT(IMDB_Movies!$D927,SEARCH("|",IMDB_Movies!$D927)-1),IMDB_Movies!$D927)</f>
        <v>Action</v>
      </c>
      <c r="V927" s="2"/>
      <c r="W927" s="2"/>
    </row>
    <row r="928" spans="1:23" ht="12.5" x14ac:dyDescent="0.25">
      <c r="A928" s="2" t="s">
        <v>991</v>
      </c>
      <c r="B928" s="2">
        <v>106</v>
      </c>
      <c r="C928" s="2">
        <v>41482207</v>
      </c>
      <c r="D928" s="2" t="s">
        <v>327</v>
      </c>
      <c r="E928" s="2" t="s">
        <v>1783</v>
      </c>
      <c r="F928" s="2" t="s">
        <v>14</v>
      </c>
      <c r="G928" s="2" t="s">
        <v>15</v>
      </c>
      <c r="H928" s="2">
        <v>50000000</v>
      </c>
      <c r="I928" s="2">
        <v>6.3</v>
      </c>
      <c r="J928" s="2">
        <f t="shared" si="6"/>
        <v>-8517793</v>
      </c>
      <c r="K928" s="2">
        <f t="shared" si="7"/>
        <v>-1.1256603439353417E-2</v>
      </c>
      <c r="L928" s="2" t="str">
        <f>IF(ISNUMBER(SEARCH("|",IMDB_Movies!$D928)),LEFT(IMDB_Movies!$D928,SEARCH("|",IMDB_Movies!$D928)-1),IMDB_Movies!$D928)</f>
        <v>Comedy</v>
      </c>
      <c r="V928" s="2"/>
      <c r="W928" s="2"/>
    </row>
    <row r="929" spans="1:23" ht="12.5" x14ac:dyDescent="0.25">
      <c r="A929" s="2" t="s">
        <v>1685</v>
      </c>
      <c r="B929" s="2">
        <v>141</v>
      </c>
      <c r="C929" s="2">
        <v>47105085</v>
      </c>
      <c r="D929" s="2" t="s">
        <v>694</v>
      </c>
      <c r="E929" s="2" t="s">
        <v>1784</v>
      </c>
      <c r="F929" s="2" t="s">
        <v>14</v>
      </c>
      <c r="G929" s="2" t="s">
        <v>15</v>
      </c>
      <c r="H929" s="2">
        <v>50000000</v>
      </c>
      <c r="I929" s="2">
        <v>7.4</v>
      </c>
      <c r="J929" s="2">
        <f t="shared" si="6"/>
        <v>-2894915</v>
      </c>
      <c r="K929" s="2">
        <f t="shared" si="7"/>
        <v>-1.1265078640056329E-2</v>
      </c>
      <c r="L929" s="2" t="str">
        <f>IF(ISNUMBER(SEARCH("|",IMDB_Movies!$D929)),LEFT(IMDB_Movies!$D929,SEARCH("|",IMDB_Movies!$D929)-1),IMDB_Movies!$D929)</f>
        <v>Crime</v>
      </c>
      <c r="V929" s="2"/>
      <c r="W929" s="2"/>
    </row>
    <row r="930" spans="1:23" ht="12.5" x14ac:dyDescent="0.25">
      <c r="A930" s="2" t="s">
        <v>903</v>
      </c>
      <c r="B930" s="2">
        <v>124</v>
      </c>
      <c r="C930" s="2">
        <v>41256277</v>
      </c>
      <c r="D930" s="2" t="s">
        <v>25</v>
      </c>
      <c r="E930" s="2" t="s">
        <v>1785</v>
      </c>
      <c r="F930" s="2" t="s">
        <v>14</v>
      </c>
      <c r="G930" s="2" t="s">
        <v>15</v>
      </c>
      <c r="H930" s="2">
        <v>50000000</v>
      </c>
      <c r="I930" s="2">
        <v>5.9</v>
      </c>
      <c r="J930" s="2">
        <f t="shared" si="6"/>
        <v>-8743723</v>
      </c>
      <c r="K930" s="2">
        <f t="shared" si="7"/>
        <v>-1.1277881916981411E-2</v>
      </c>
      <c r="L930" s="2" t="str">
        <f>IF(ISNUMBER(SEARCH("|",IMDB_Movies!$D930)),LEFT(IMDB_Movies!$D930,SEARCH("|",IMDB_Movies!$D930)-1),IMDB_Movies!$D930)</f>
        <v>Action</v>
      </c>
      <c r="V930" s="2"/>
      <c r="W930" s="2"/>
    </row>
    <row r="931" spans="1:23" ht="12.5" x14ac:dyDescent="0.25">
      <c r="A931" s="2" t="s">
        <v>1786</v>
      </c>
      <c r="B931" s="2">
        <v>98</v>
      </c>
      <c r="C931" s="2">
        <v>50740078</v>
      </c>
      <c r="D931" s="2" t="s">
        <v>790</v>
      </c>
      <c r="E931" s="2" t="s">
        <v>1787</v>
      </c>
      <c r="F931" s="2" t="s">
        <v>14</v>
      </c>
      <c r="G931" s="2" t="s">
        <v>287</v>
      </c>
      <c r="H931" s="2">
        <v>45000000</v>
      </c>
      <c r="I931" s="2">
        <v>6.2</v>
      </c>
      <c r="J931" s="2">
        <f t="shared" si="6"/>
        <v>5740078</v>
      </c>
      <c r="K931" s="2">
        <f t="shared" si="7"/>
        <v>-1.1286199160307275E-2</v>
      </c>
      <c r="L931" s="2" t="str">
        <f>IF(ISNUMBER(SEARCH("|",IMDB_Movies!$D931)),LEFT(IMDB_Movies!$D931,SEARCH("|",IMDB_Movies!$D931)-1),IMDB_Movies!$D931)</f>
        <v>Action</v>
      </c>
      <c r="V931" s="2"/>
      <c r="W931" s="2"/>
    </row>
    <row r="932" spans="1:23" ht="12.5" x14ac:dyDescent="0.25">
      <c r="A932" s="2" t="s">
        <v>1788</v>
      </c>
      <c r="B932" s="2">
        <v>108</v>
      </c>
      <c r="C932" s="2">
        <v>40203020</v>
      </c>
      <c r="D932" s="2" t="s">
        <v>514</v>
      </c>
      <c r="E932" s="2" t="s">
        <v>1789</v>
      </c>
      <c r="F932" s="2" t="s">
        <v>14</v>
      </c>
      <c r="G932" s="2" t="s">
        <v>22</v>
      </c>
      <c r="H932" s="2">
        <v>40000000</v>
      </c>
      <c r="I932" s="2">
        <v>5.9</v>
      </c>
      <c r="J932" s="2">
        <f t="shared" si="6"/>
        <v>203020</v>
      </c>
      <c r="K932" s="2">
        <f t="shared" si="7"/>
        <v>-1.1298302802634297E-2</v>
      </c>
      <c r="L932" s="2" t="str">
        <f>IF(ISNUMBER(SEARCH("|",IMDB_Movies!$D932)),LEFT(IMDB_Movies!$D932,SEARCH("|",IMDB_Movies!$D932)-1),IMDB_Movies!$D932)</f>
        <v>Comedy</v>
      </c>
      <c r="V932" s="2"/>
      <c r="W932" s="2"/>
    </row>
    <row r="933" spans="1:23" ht="12.5" x14ac:dyDescent="0.25">
      <c r="A933" s="2" t="s">
        <v>1790</v>
      </c>
      <c r="B933" s="2">
        <v>114</v>
      </c>
      <c r="C933" s="2">
        <v>40905277</v>
      </c>
      <c r="D933" s="2" t="s">
        <v>1791</v>
      </c>
      <c r="E933" s="2" t="s">
        <v>1792</v>
      </c>
      <c r="F933" s="2" t="s">
        <v>14</v>
      </c>
      <c r="G933" s="2" t="s">
        <v>15</v>
      </c>
      <c r="H933" s="2">
        <v>50000000</v>
      </c>
      <c r="I933" s="2">
        <v>6.5</v>
      </c>
      <c r="J933" s="2">
        <f t="shared" si="6"/>
        <v>-9094723</v>
      </c>
      <c r="K933" s="2">
        <f t="shared" si="7"/>
        <v>-1.1302352808820164E-2</v>
      </c>
      <c r="L933" s="2" t="str">
        <f>IF(ISNUMBER(SEARCH("|",IMDB_Movies!$D933)),LEFT(IMDB_Movies!$D933,SEARCH("|",IMDB_Movies!$D933)-1),IMDB_Movies!$D933)</f>
        <v>Crime</v>
      </c>
      <c r="V933" s="2"/>
      <c r="W933" s="2"/>
    </row>
    <row r="934" spans="1:23" ht="12.5" x14ac:dyDescent="0.25">
      <c r="A934" s="2" t="s">
        <v>1793</v>
      </c>
      <c r="B934" s="2">
        <v>101</v>
      </c>
      <c r="C934" s="2">
        <v>38590500</v>
      </c>
      <c r="D934" s="2" t="s">
        <v>20</v>
      </c>
      <c r="E934" s="2" t="s">
        <v>1794</v>
      </c>
      <c r="F934" s="2" t="s">
        <v>14</v>
      </c>
      <c r="G934" s="2" t="s">
        <v>15</v>
      </c>
      <c r="H934" s="2">
        <v>50000000</v>
      </c>
      <c r="I934" s="2">
        <v>4.4000000000000004</v>
      </c>
      <c r="J934" s="2">
        <f t="shared" si="6"/>
        <v>-11409500</v>
      </c>
      <c r="K934" s="2">
        <f t="shared" si="7"/>
        <v>-1.1310421433209011E-2</v>
      </c>
      <c r="L934" s="2" t="str">
        <f>IF(ISNUMBER(SEARCH("|",IMDB_Movies!$D934)),LEFT(IMDB_Movies!$D934,SEARCH("|",IMDB_Movies!$D934)-1),IMDB_Movies!$D934)</f>
        <v>Action</v>
      </c>
      <c r="V934" s="2"/>
      <c r="W934" s="2"/>
    </row>
    <row r="935" spans="1:23" ht="12.5" x14ac:dyDescent="0.25">
      <c r="A935" s="2" t="s">
        <v>1666</v>
      </c>
      <c r="B935" s="2">
        <v>93</v>
      </c>
      <c r="C935" s="2">
        <v>39177541</v>
      </c>
      <c r="D935" s="2" t="s">
        <v>62</v>
      </c>
      <c r="E935" s="2" t="s">
        <v>1795</v>
      </c>
      <c r="F935" s="2" t="s">
        <v>14</v>
      </c>
      <c r="G935" s="2" t="s">
        <v>15</v>
      </c>
      <c r="H935" s="2">
        <v>50000000</v>
      </c>
      <c r="I935" s="2">
        <v>3.5</v>
      </c>
      <c r="J935" s="2">
        <f t="shared" si="6"/>
        <v>-10822459</v>
      </c>
      <c r="K935" s="2">
        <f t="shared" si="7"/>
        <v>-1.131673999693384E-2</v>
      </c>
      <c r="L935" s="2" t="str">
        <f>IF(ISNUMBER(SEARCH("|",IMDB_Movies!$D935)),LEFT(IMDB_Movies!$D935,SEARCH("|",IMDB_Movies!$D935)-1),IMDB_Movies!$D935)</f>
        <v>Action</v>
      </c>
      <c r="V935" s="2"/>
      <c r="W935" s="2"/>
    </row>
    <row r="936" spans="1:23" ht="12.5" x14ac:dyDescent="0.25">
      <c r="A936" s="2" t="s">
        <v>1796</v>
      </c>
      <c r="B936" s="2">
        <v>119</v>
      </c>
      <c r="C936" s="2">
        <v>39778599</v>
      </c>
      <c r="D936" s="2" t="s">
        <v>652</v>
      </c>
      <c r="E936" s="2" t="s">
        <v>1797</v>
      </c>
      <c r="F936" s="2" t="s">
        <v>14</v>
      </c>
      <c r="G936" s="2" t="s">
        <v>15</v>
      </c>
      <c r="H936" s="2">
        <v>50000000</v>
      </c>
      <c r="I936" s="2">
        <v>6.6</v>
      </c>
      <c r="J936" s="2">
        <f t="shared" si="6"/>
        <v>-10221401</v>
      </c>
      <c r="K936" s="2">
        <f t="shared" si="7"/>
        <v>-1.1323507316862658E-2</v>
      </c>
      <c r="L936" s="2" t="str">
        <f>IF(ISNUMBER(SEARCH("|",IMDB_Movies!$D936)),LEFT(IMDB_Movies!$D936,SEARCH("|",IMDB_Movies!$D936)-1),IMDB_Movies!$D936)</f>
        <v>Adventure</v>
      </c>
      <c r="V936" s="2"/>
      <c r="W936" s="2"/>
    </row>
    <row r="937" spans="1:23" ht="12.5" x14ac:dyDescent="0.25">
      <c r="A937" s="2" t="s">
        <v>1145</v>
      </c>
      <c r="B937" s="2">
        <v>119</v>
      </c>
      <c r="C937" s="2">
        <v>37486138</v>
      </c>
      <c r="D937" s="2" t="s">
        <v>514</v>
      </c>
      <c r="E937" s="2" t="s">
        <v>1798</v>
      </c>
      <c r="F937" s="2" t="s">
        <v>14</v>
      </c>
      <c r="G937" s="2" t="s">
        <v>15</v>
      </c>
      <c r="H937" s="2">
        <v>50000000</v>
      </c>
      <c r="I937" s="2">
        <v>6</v>
      </c>
      <c r="J937" s="2">
        <f t="shared" si="6"/>
        <v>-12513862</v>
      </c>
      <c r="K937" s="2">
        <f t="shared" si="7"/>
        <v>-1.1330735412010743E-2</v>
      </c>
      <c r="L937" s="2" t="str">
        <f>IF(ISNUMBER(SEARCH("|",IMDB_Movies!$D937)),LEFT(IMDB_Movies!$D937,SEARCH("|",IMDB_Movies!$D937)-1),IMDB_Movies!$D937)</f>
        <v>Comedy</v>
      </c>
      <c r="V937" s="2"/>
      <c r="W937" s="2"/>
    </row>
    <row r="938" spans="1:23" ht="12.5" x14ac:dyDescent="0.25">
      <c r="A938" s="2" t="s">
        <v>1746</v>
      </c>
      <c r="B938" s="2">
        <v>99</v>
      </c>
      <c r="C938" s="2">
        <v>38105077</v>
      </c>
      <c r="D938" s="2" t="s">
        <v>125</v>
      </c>
      <c r="E938" s="2" t="s">
        <v>1799</v>
      </c>
      <c r="F938" s="2" t="s">
        <v>14</v>
      </c>
      <c r="G938" s="2" t="s">
        <v>15</v>
      </c>
      <c r="H938" s="2">
        <v>40000000</v>
      </c>
      <c r="I938" s="2">
        <v>6.4</v>
      </c>
      <c r="J938" s="2">
        <f t="shared" si="6"/>
        <v>-1894923</v>
      </c>
      <c r="K938" s="2">
        <f t="shared" si="7"/>
        <v>-1.1336234196050761E-2</v>
      </c>
      <c r="L938" s="2" t="str">
        <f>IF(ISNUMBER(SEARCH("|",IMDB_Movies!$D938)),LEFT(IMDB_Movies!$D938,SEARCH("|",IMDB_Movies!$D938)-1),IMDB_Movies!$D938)</f>
        <v>Action</v>
      </c>
      <c r="V938" s="2"/>
      <c r="W938" s="2"/>
    </row>
    <row r="939" spans="1:23" ht="12.5" x14ac:dyDescent="0.25">
      <c r="A939" s="2" t="s">
        <v>39</v>
      </c>
      <c r="B939" s="2">
        <v>137</v>
      </c>
      <c r="C939" s="2">
        <v>35168395</v>
      </c>
      <c r="D939" s="2" t="s">
        <v>1672</v>
      </c>
      <c r="E939" s="2" t="s">
        <v>1800</v>
      </c>
      <c r="F939" s="2" t="s">
        <v>14</v>
      </c>
      <c r="G939" s="2" t="s">
        <v>15</v>
      </c>
      <c r="H939" s="2">
        <v>50000000</v>
      </c>
      <c r="I939" s="2">
        <v>6.5</v>
      </c>
      <c r="J939" s="2">
        <f t="shared" si="6"/>
        <v>-14831605</v>
      </c>
      <c r="K939" s="2">
        <f t="shared" si="7"/>
        <v>-1.1339439911321065E-2</v>
      </c>
      <c r="L939" s="2" t="str">
        <f>IF(ISNUMBER(SEARCH("|",IMDB_Movies!$D939)),LEFT(IMDB_Movies!$D939,SEARCH("|",IMDB_Movies!$D939)-1),IMDB_Movies!$D939)</f>
        <v>Drama</v>
      </c>
      <c r="V939" s="2"/>
      <c r="W939" s="2"/>
    </row>
    <row r="940" spans="1:23" ht="12.5" x14ac:dyDescent="0.25">
      <c r="A940" s="2" t="s">
        <v>1801</v>
      </c>
      <c r="B940" s="2">
        <v>117</v>
      </c>
      <c r="C940" s="2">
        <v>32800000</v>
      </c>
      <c r="D940" s="2" t="s">
        <v>1802</v>
      </c>
      <c r="E940" s="2" t="s">
        <v>1803</v>
      </c>
      <c r="F940" s="2" t="s">
        <v>14</v>
      </c>
      <c r="G940" s="2" t="s">
        <v>15</v>
      </c>
      <c r="H940" s="2">
        <v>40000000</v>
      </c>
      <c r="I940" s="2">
        <v>4.3</v>
      </c>
      <c r="J940" s="2">
        <f t="shared" si="6"/>
        <v>-7200000</v>
      </c>
      <c r="K940" s="2">
        <f t="shared" si="7"/>
        <v>-1.1343204615405425E-2</v>
      </c>
      <c r="L940" s="2" t="str">
        <f>IF(ISNUMBER(SEARCH("|",IMDB_Movies!$D940)),LEFT(IMDB_Movies!$D940,SEARCH("|",IMDB_Movies!$D940)-1),IMDB_Movies!$D940)</f>
        <v>Comedy</v>
      </c>
      <c r="V940" s="2"/>
      <c r="W940" s="2"/>
    </row>
    <row r="941" spans="1:23" ht="12.5" x14ac:dyDescent="0.25">
      <c r="A941" s="2" t="s">
        <v>1592</v>
      </c>
      <c r="B941" s="2">
        <v>87</v>
      </c>
      <c r="C941" s="2">
        <v>33643461</v>
      </c>
      <c r="D941" s="2" t="s">
        <v>1058</v>
      </c>
      <c r="E941" s="2" t="s">
        <v>1804</v>
      </c>
      <c r="F941" s="2" t="s">
        <v>14</v>
      </c>
      <c r="G941" s="2" t="s">
        <v>15</v>
      </c>
      <c r="H941" s="2">
        <v>50000000</v>
      </c>
      <c r="I941" s="2">
        <v>4.2</v>
      </c>
      <c r="J941" s="2">
        <f t="shared" si="6"/>
        <v>-16356539</v>
      </c>
      <c r="K941" s="2">
        <f t="shared" si="7"/>
        <v>-1.1344269212847528E-2</v>
      </c>
      <c r="L941" s="2" t="str">
        <f>IF(ISNUMBER(SEARCH("|",IMDB_Movies!$D941)),LEFT(IMDB_Movies!$D941,SEARCH("|",IMDB_Movies!$D941)-1),IMDB_Movies!$D941)</f>
        <v>Comedy</v>
      </c>
      <c r="V941" s="2"/>
      <c r="W941" s="2"/>
    </row>
    <row r="942" spans="1:23" ht="12.5" x14ac:dyDescent="0.25">
      <c r="A942" s="2" t="s">
        <v>1279</v>
      </c>
      <c r="B942" s="2">
        <v>129</v>
      </c>
      <c r="C942" s="2">
        <v>32741596</v>
      </c>
      <c r="D942" s="2" t="s">
        <v>1805</v>
      </c>
      <c r="E942" s="2" t="s">
        <v>1806</v>
      </c>
      <c r="F942" s="2" t="s">
        <v>14</v>
      </c>
      <c r="G942" s="2" t="s">
        <v>15</v>
      </c>
      <c r="H942" s="2">
        <v>50000000</v>
      </c>
      <c r="I942" s="2">
        <v>6.5</v>
      </c>
      <c r="J942" s="2">
        <f t="shared" si="6"/>
        <v>-17258404</v>
      </c>
      <c r="K942" s="2">
        <f t="shared" si="7"/>
        <v>-1.1346899154687517E-2</v>
      </c>
      <c r="L942" s="2" t="str">
        <f>IF(ISNUMBER(SEARCH("|",IMDB_Movies!$D942)),LEFT(IMDB_Movies!$D942,SEARCH("|",IMDB_Movies!$D942)-1),IMDB_Movies!$D942)</f>
        <v>Drama</v>
      </c>
      <c r="V942" s="2"/>
      <c r="W942" s="2"/>
    </row>
    <row r="943" spans="1:23" ht="12.5" x14ac:dyDescent="0.25">
      <c r="A943" s="2" t="s">
        <v>1807</v>
      </c>
      <c r="B943" s="2">
        <v>115</v>
      </c>
      <c r="C943" s="2">
        <v>31874869</v>
      </c>
      <c r="D943" s="2" t="s">
        <v>793</v>
      </c>
      <c r="E943" s="2" t="s">
        <v>1808</v>
      </c>
      <c r="F943" s="2" t="s">
        <v>14</v>
      </c>
      <c r="G943" s="2" t="s">
        <v>15</v>
      </c>
      <c r="H943" s="2">
        <v>50000000</v>
      </c>
      <c r="I943" s="2">
        <v>6.1</v>
      </c>
      <c r="J943" s="2">
        <f t="shared" si="6"/>
        <v>-18125131</v>
      </c>
      <c r="K943" s="2">
        <f t="shared" si="7"/>
        <v>-1.1348859946926628E-2</v>
      </c>
      <c r="L943" s="2" t="str">
        <f>IF(ISNUMBER(SEARCH("|",IMDB_Movies!$D943)),LEFT(IMDB_Movies!$D943,SEARCH("|",IMDB_Movies!$D943)-1),IMDB_Movies!$D943)</f>
        <v>Crime</v>
      </c>
      <c r="V943" s="2"/>
      <c r="W943" s="2"/>
    </row>
    <row r="944" spans="1:23" ht="12.5" x14ac:dyDescent="0.25">
      <c r="A944" s="2" t="s">
        <v>391</v>
      </c>
      <c r="B944" s="2">
        <v>132</v>
      </c>
      <c r="C944" s="2">
        <v>30306268</v>
      </c>
      <c r="D944" s="2" t="s">
        <v>125</v>
      </c>
      <c r="E944" s="2" t="s">
        <v>1809</v>
      </c>
      <c r="F944" s="2" t="s">
        <v>14</v>
      </c>
      <c r="G944" s="2" t="s">
        <v>686</v>
      </c>
      <c r="H944" s="2">
        <v>50000000</v>
      </c>
      <c r="I944" s="2">
        <v>6.3</v>
      </c>
      <c r="J944" s="2">
        <f t="shared" si="6"/>
        <v>-19693732</v>
      </c>
      <c r="K944" s="2">
        <f t="shared" si="7"/>
        <v>-1.1350178961687782E-2</v>
      </c>
      <c r="L944" s="2" t="str">
        <f>IF(ISNUMBER(SEARCH("|",IMDB_Movies!$D944)),LEFT(IMDB_Movies!$D944,SEARCH("|",IMDB_Movies!$D944)-1),IMDB_Movies!$D944)</f>
        <v>Action</v>
      </c>
      <c r="V944" s="2"/>
      <c r="W944" s="2"/>
    </row>
    <row r="945" spans="1:23" ht="12.5" x14ac:dyDescent="0.25">
      <c r="A945" s="2" t="s">
        <v>1810</v>
      </c>
      <c r="B945" s="2">
        <v>131</v>
      </c>
      <c r="C945" s="2">
        <v>27667947</v>
      </c>
      <c r="D945" s="2" t="s">
        <v>763</v>
      </c>
      <c r="E945" s="2" t="s">
        <v>1811</v>
      </c>
      <c r="F945" s="2" t="s">
        <v>14</v>
      </c>
      <c r="G945" s="2" t="s">
        <v>22</v>
      </c>
      <c r="H945" s="2">
        <v>50000000</v>
      </c>
      <c r="I945" s="2">
        <v>6.2</v>
      </c>
      <c r="J945" s="2">
        <f t="shared" si="6"/>
        <v>-22332053</v>
      </c>
      <c r="K945" s="2">
        <f t="shared" si="7"/>
        <v>-1.1350339316512078E-2</v>
      </c>
      <c r="L945" s="2" t="str">
        <f>IF(ISNUMBER(SEARCH("|",IMDB_Movies!$D945)),LEFT(IMDB_Movies!$D945,SEARCH("|",IMDB_Movies!$D945)-1),IMDB_Movies!$D945)</f>
        <v>Crime</v>
      </c>
      <c r="V945" s="2"/>
      <c r="W945" s="2"/>
    </row>
    <row r="946" spans="1:23" ht="12.5" x14ac:dyDescent="0.25">
      <c r="A946" s="2" t="s">
        <v>1340</v>
      </c>
      <c r="B946" s="2">
        <v>95</v>
      </c>
      <c r="C946" s="2">
        <v>27067160</v>
      </c>
      <c r="D946" s="2" t="s">
        <v>514</v>
      </c>
      <c r="E946" s="2" t="s">
        <v>1812</v>
      </c>
      <c r="F946" s="2" t="s">
        <v>14</v>
      </c>
      <c r="G946" s="2" t="s">
        <v>15</v>
      </c>
      <c r="H946" s="2">
        <v>50000000</v>
      </c>
      <c r="I946" s="2">
        <v>5.9</v>
      </c>
      <c r="J946" s="2">
        <f t="shared" si="6"/>
        <v>-22932840</v>
      </c>
      <c r="K946" s="2">
        <f t="shared" si="7"/>
        <v>-1.1348562704300433E-2</v>
      </c>
      <c r="L946" s="2" t="str">
        <f>IF(ISNUMBER(SEARCH("|",IMDB_Movies!$D946)),LEFT(IMDB_Movies!$D946,SEARCH("|",IMDB_Movies!$D946)-1),IMDB_Movies!$D946)</f>
        <v>Comedy</v>
      </c>
      <c r="V946" s="2"/>
      <c r="W946" s="2"/>
    </row>
    <row r="947" spans="1:23" ht="12.5" x14ac:dyDescent="0.25">
      <c r="A947" s="2" t="s">
        <v>1813</v>
      </c>
      <c r="B947" s="2">
        <v>125</v>
      </c>
      <c r="C947" s="2">
        <v>26616999</v>
      </c>
      <c r="D947" s="2" t="s">
        <v>597</v>
      </c>
      <c r="E947" s="2" t="s">
        <v>1814</v>
      </c>
      <c r="F947" s="2" t="s">
        <v>14</v>
      </c>
      <c r="G947" s="2" t="s">
        <v>15</v>
      </c>
      <c r="H947" s="2">
        <v>40000000</v>
      </c>
      <c r="I947" s="2">
        <v>5.9</v>
      </c>
      <c r="J947" s="2">
        <f t="shared" si="6"/>
        <v>-13383001</v>
      </c>
      <c r="K947" s="2">
        <f t="shared" si="7"/>
        <v>-1.1346346027527541E-2</v>
      </c>
      <c r="L947" s="2" t="str">
        <f>IF(ISNUMBER(SEARCH("|",IMDB_Movies!$D947)),LEFT(IMDB_Movies!$D947,SEARCH("|",IMDB_Movies!$D947)-1),IMDB_Movies!$D947)</f>
        <v>Action</v>
      </c>
      <c r="V947" s="2"/>
      <c r="W947" s="2"/>
    </row>
    <row r="948" spans="1:23" ht="12.5" x14ac:dyDescent="0.25">
      <c r="A948" s="2" t="s">
        <v>477</v>
      </c>
      <c r="B948" s="2">
        <v>98</v>
      </c>
      <c r="C948" s="2">
        <v>26536120</v>
      </c>
      <c r="D948" s="2" t="s">
        <v>845</v>
      </c>
      <c r="E948" s="2" t="s">
        <v>1815</v>
      </c>
      <c r="F948" s="2" t="s">
        <v>14</v>
      </c>
      <c r="G948" s="2" t="s">
        <v>287</v>
      </c>
      <c r="H948" s="2">
        <v>50000000</v>
      </c>
      <c r="I948" s="2">
        <v>6.5</v>
      </c>
      <c r="J948" s="2">
        <f t="shared" si="6"/>
        <v>-23463880</v>
      </c>
      <c r="K948" s="2">
        <f t="shared" si="7"/>
        <v>-1.1344993526920729E-2</v>
      </c>
      <c r="L948" s="2" t="str">
        <f>IF(ISNUMBER(SEARCH("|",IMDB_Movies!$D948)),LEFT(IMDB_Movies!$D948,SEARCH("|",IMDB_Movies!$D948)-1),IMDB_Movies!$D948)</f>
        <v>Action</v>
      </c>
      <c r="V948" s="2"/>
      <c r="W948" s="2"/>
    </row>
    <row r="949" spans="1:23" ht="12.5" x14ac:dyDescent="0.25">
      <c r="A949" s="2" t="s">
        <v>1279</v>
      </c>
      <c r="B949" s="2">
        <v>110</v>
      </c>
      <c r="C949" s="2">
        <v>26199517</v>
      </c>
      <c r="D949" s="2" t="s">
        <v>845</v>
      </c>
      <c r="E949" s="2" t="s">
        <v>1816</v>
      </c>
      <c r="F949" s="2" t="s">
        <v>14</v>
      </c>
      <c r="G949" s="2" t="s">
        <v>15</v>
      </c>
      <c r="H949" s="2">
        <v>50000000</v>
      </c>
      <c r="I949" s="2">
        <v>6.4</v>
      </c>
      <c r="J949" s="2">
        <f t="shared" si="6"/>
        <v>-23800483</v>
      </c>
      <c r="K949" s="2">
        <f t="shared" si="7"/>
        <v>-1.1342386639824833E-2</v>
      </c>
      <c r="L949" s="2" t="str">
        <f>IF(ISNUMBER(SEARCH("|",IMDB_Movies!$D949)),LEFT(IMDB_Movies!$D949,SEARCH("|",IMDB_Movies!$D949)-1),IMDB_Movies!$D949)</f>
        <v>Action</v>
      </c>
      <c r="V949" s="2"/>
      <c r="W949" s="2"/>
    </row>
    <row r="950" spans="1:23" ht="12.5" x14ac:dyDescent="0.25">
      <c r="A950" s="2" t="s">
        <v>659</v>
      </c>
      <c r="B950" s="2">
        <v>118</v>
      </c>
      <c r="C950" s="2">
        <v>25450527</v>
      </c>
      <c r="D950" s="2" t="s">
        <v>845</v>
      </c>
      <c r="E950" s="2" t="s">
        <v>1817</v>
      </c>
      <c r="F950" s="2" t="s">
        <v>14</v>
      </c>
      <c r="G950" s="2" t="s">
        <v>15</v>
      </c>
      <c r="H950" s="2">
        <v>50000000</v>
      </c>
      <c r="I950" s="2">
        <v>6.5</v>
      </c>
      <c r="J950" s="2">
        <f t="shared" si="6"/>
        <v>-24549473</v>
      </c>
      <c r="K950" s="2">
        <f t="shared" si="7"/>
        <v>-1.1339532677251143E-2</v>
      </c>
      <c r="L950" s="2" t="str">
        <f>IF(ISNUMBER(SEARCH("|",IMDB_Movies!$D950)),LEFT(IMDB_Movies!$D950,SEARCH("|",IMDB_Movies!$D950)-1),IMDB_Movies!$D950)</f>
        <v>Action</v>
      </c>
      <c r="V950" s="2"/>
      <c r="W950" s="2"/>
    </row>
    <row r="951" spans="1:23" ht="12.5" x14ac:dyDescent="0.25">
      <c r="A951" s="2" t="s">
        <v>1818</v>
      </c>
      <c r="B951" s="2">
        <v>101</v>
      </c>
      <c r="C951" s="2">
        <v>25407250</v>
      </c>
      <c r="D951" s="2" t="s">
        <v>90</v>
      </c>
      <c r="E951" s="2" t="s">
        <v>1819</v>
      </c>
      <c r="F951" s="2" t="s">
        <v>14</v>
      </c>
      <c r="G951" s="2" t="s">
        <v>15</v>
      </c>
      <c r="H951" s="2">
        <v>50000000</v>
      </c>
      <c r="I951" s="2">
        <v>5.7</v>
      </c>
      <c r="J951" s="2">
        <f t="shared" si="6"/>
        <v>-24592750</v>
      </c>
      <c r="K951" s="2">
        <f t="shared" si="7"/>
        <v>-1.133613185384234E-2</v>
      </c>
      <c r="L951" s="2" t="str">
        <f>IF(ISNUMBER(SEARCH("|",IMDB_Movies!$D951)),LEFT(IMDB_Movies!$D951,SEARCH("|",IMDB_Movies!$D951)-1),IMDB_Movies!$D951)</f>
        <v>Action</v>
      </c>
      <c r="V951" s="2"/>
      <c r="W951" s="2"/>
    </row>
    <row r="952" spans="1:23" ht="12.5" x14ac:dyDescent="0.25">
      <c r="A952" s="2" t="s">
        <v>231</v>
      </c>
      <c r="B952" s="2">
        <v>90</v>
      </c>
      <c r="C952" s="2">
        <v>23159305</v>
      </c>
      <c r="D952" s="2" t="s">
        <v>235</v>
      </c>
      <c r="E952" s="2" t="s">
        <v>1820</v>
      </c>
      <c r="F952" s="2" t="s">
        <v>14</v>
      </c>
      <c r="G952" s="2" t="s">
        <v>15</v>
      </c>
      <c r="H952" s="2">
        <v>70000000</v>
      </c>
      <c r="I952" s="2">
        <v>8</v>
      </c>
      <c r="J952" s="2">
        <f t="shared" si="6"/>
        <v>-46840695</v>
      </c>
      <c r="K952" s="2">
        <f t="shared" si="7"/>
        <v>-1.1332697158462428E-2</v>
      </c>
      <c r="L952" s="2" t="str">
        <f>IF(ISNUMBER(SEARCH("|",IMDB_Movies!$D952)),LEFT(IMDB_Movies!$D952,SEARCH("|",IMDB_Movies!$D952)-1),IMDB_Movies!$D952)</f>
        <v>Action</v>
      </c>
      <c r="V952" s="2"/>
      <c r="W952" s="2"/>
    </row>
    <row r="953" spans="1:23" ht="12.5" x14ac:dyDescent="0.25">
      <c r="A953" s="2" t="s">
        <v>1821</v>
      </c>
      <c r="B953" s="2">
        <v>119</v>
      </c>
      <c r="C953" s="2">
        <v>24006726</v>
      </c>
      <c r="D953" s="2" t="s">
        <v>1822</v>
      </c>
      <c r="E953" s="2" t="s">
        <v>1823</v>
      </c>
      <c r="F953" s="2" t="s">
        <v>14</v>
      </c>
      <c r="G953" s="2" t="s">
        <v>15</v>
      </c>
      <c r="H953" s="2">
        <v>50000000</v>
      </c>
      <c r="I953" s="2">
        <v>7.3</v>
      </c>
      <c r="J953" s="2">
        <f t="shared" si="6"/>
        <v>-25993274</v>
      </c>
      <c r="K953" s="2">
        <f t="shared" si="7"/>
        <v>-1.1322873256865981E-2</v>
      </c>
      <c r="L953" s="2" t="str">
        <f>IF(ISNUMBER(SEARCH("|",IMDB_Movies!$D953)),LEFT(IMDB_Movies!$D953,SEARCH("|",IMDB_Movies!$D953)-1),IMDB_Movies!$D953)</f>
        <v>Adventure</v>
      </c>
      <c r="V953" s="2"/>
      <c r="W953" s="2"/>
    </row>
    <row r="954" spans="1:23" ht="12.5" x14ac:dyDescent="0.25">
      <c r="A954" s="2" t="s">
        <v>820</v>
      </c>
      <c r="B954" s="2">
        <v>139</v>
      </c>
      <c r="C954" s="2">
        <v>20389967</v>
      </c>
      <c r="D954" s="2" t="s">
        <v>1824</v>
      </c>
      <c r="E954" s="2" t="s">
        <v>1825</v>
      </c>
      <c r="F954" s="2" t="s">
        <v>14</v>
      </c>
      <c r="G954" s="2" t="s">
        <v>15</v>
      </c>
      <c r="H954" s="2">
        <v>50000000</v>
      </c>
      <c r="I954" s="2">
        <v>6.7</v>
      </c>
      <c r="J954" s="2">
        <f t="shared" si="6"/>
        <v>-29610033</v>
      </c>
      <c r="K954" s="2">
        <f t="shared" si="7"/>
        <v>-1.1318415610923857E-2</v>
      </c>
      <c r="L954" s="2" t="str">
        <f>IF(ISNUMBER(SEARCH("|",IMDB_Movies!$D954)),LEFT(IMDB_Movies!$D954,SEARCH("|",IMDB_Movies!$D954)-1),IMDB_Movies!$D954)</f>
        <v>Action</v>
      </c>
      <c r="V954" s="2"/>
      <c r="W954" s="2"/>
    </row>
    <row r="955" spans="1:23" ht="12.5" x14ac:dyDescent="0.25">
      <c r="A955" s="2" t="s">
        <v>1601</v>
      </c>
      <c r="B955" s="2">
        <v>130</v>
      </c>
      <c r="C955" s="2">
        <v>19593740</v>
      </c>
      <c r="D955" s="2" t="s">
        <v>763</v>
      </c>
      <c r="E955" s="2" t="s">
        <v>1826</v>
      </c>
      <c r="F955" s="2" t="s">
        <v>14</v>
      </c>
      <c r="G955" s="2" t="s">
        <v>15</v>
      </c>
      <c r="H955" s="2">
        <v>50000000</v>
      </c>
      <c r="I955" s="2">
        <v>7.5</v>
      </c>
      <c r="J955" s="2">
        <f t="shared" si="6"/>
        <v>-30406260</v>
      </c>
      <c r="K955" s="2">
        <f t="shared" si="7"/>
        <v>-1.131135208851727E-2</v>
      </c>
      <c r="L955" s="2" t="str">
        <f>IF(ISNUMBER(SEARCH("|",IMDB_Movies!$D955)),LEFT(IMDB_Movies!$D955,SEARCH("|",IMDB_Movies!$D955)-1),IMDB_Movies!$D955)</f>
        <v>Crime</v>
      </c>
      <c r="V955" s="2"/>
      <c r="W955" s="2"/>
    </row>
    <row r="956" spans="1:23" ht="12.5" x14ac:dyDescent="0.25">
      <c r="A956" s="2" t="s">
        <v>1525</v>
      </c>
      <c r="B956" s="2">
        <v>100</v>
      </c>
      <c r="C956" s="2">
        <v>19118247</v>
      </c>
      <c r="D956" s="2" t="s">
        <v>768</v>
      </c>
      <c r="E956" s="2" t="s">
        <v>1827</v>
      </c>
      <c r="F956" s="2" t="s">
        <v>14</v>
      </c>
      <c r="G956" s="2" t="s">
        <v>15</v>
      </c>
      <c r="H956" s="2">
        <v>40000000</v>
      </c>
      <c r="I956" s="2">
        <v>5.4</v>
      </c>
      <c r="J956" s="2">
        <f t="shared" si="6"/>
        <v>-20881753</v>
      </c>
      <c r="K956" s="2">
        <f t="shared" si="7"/>
        <v>-1.1303714623796687E-2</v>
      </c>
      <c r="L956" s="2" t="str">
        <f>IF(ISNUMBER(SEARCH("|",IMDB_Movies!$D956)),LEFT(IMDB_Movies!$D956,SEARCH("|",IMDB_Movies!$D956)-1),IMDB_Movies!$D956)</f>
        <v>Action</v>
      </c>
      <c r="V956" s="2"/>
      <c r="W956" s="2"/>
    </row>
    <row r="957" spans="1:23" ht="12.5" x14ac:dyDescent="0.25">
      <c r="A957" s="2" t="s">
        <v>1741</v>
      </c>
      <c r="B957" s="2">
        <v>114</v>
      </c>
      <c r="C957" s="2">
        <v>26442251</v>
      </c>
      <c r="D957" s="2" t="s">
        <v>177</v>
      </c>
      <c r="E957" s="2" t="s">
        <v>1828</v>
      </c>
      <c r="F957" s="2" t="s">
        <v>14</v>
      </c>
      <c r="G957" s="2" t="s">
        <v>15</v>
      </c>
      <c r="H957" s="2">
        <v>50000000</v>
      </c>
      <c r="I957" s="2">
        <v>6.6</v>
      </c>
      <c r="J957" s="2">
        <f t="shared" si="6"/>
        <v>-23557749</v>
      </c>
      <c r="K957" s="2">
        <f t="shared" si="7"/>
        <v>-1.129951858506327E-2</v>
      </c>
      <c r="L957" s="2" t="str">
        <f>IF(ISNUMBER(SEARCH("|",IMDB_Movies!$D957)),LEFT(IMDB_Movies!$D957,SEARCH("|",IMDB_Movies!$D957)-1),IMDB_Movies!$D957)</f>
        <v>Action</v>
      </c>
      <c r="V957" s="2"/>
      <c r="W957" s="2"/>
    </row>
    <row r="958" spans="1:23" ht="12.5" x14ac:dyDescent="0.25">
      <c r="A958" s="2" t="s">
        <v>1829</v>
      </c>
      <c r="B958" s="2">
        <v>96</v>
      </c>
      <c r="C958" s="2">
        <v>17114882</v>
      </c>
      <c r="D958" s="2" t="s">
        <v>793</v>
      </c>
      <c r="E958" s="2" t="s">
        <v>1830</v>
      </c>
      <c r="F958" s="2" t="s">
        <v>14</v>
      </c>
      <c r="G958" s="2" t="s">
        <v>15</v>
      </c>
      <c r="H958" s="2">
        <v>25000000</v>
      </c>
      <c r="I958" s="2">
        <v>7.7</v>
      </c>
      <c r="J958" s="2">
        <f t="shared" si="6"/>
        <v>-7885118</v>
      </c>
      <c r="K958" s="2">
        <f t="shared" si="7"/>
        <v>-1.129681825801097E-2</v>
      </c>
      <c r="L958" s="2" t="str">
        <f>IF(ISNUMBER(SEARCH("|",IMDB_Movies!$D958)),LEFT(IMDB_Movies!$D958,SEARCH("|",IMDB_Movies!$D958)-1),IMDB_Movies!$D958)</f>
        <v>Crime</v>
      </c>
      <c r="V958" s="2"/>
      <c r="W958" s="2"/>
    </row>
    <row r="959" spans="1:23" ht="12.5" x14ac:dyDescent="0.25">
      <c r="A959" s="2" t="s">
        <v>1831</v>
      </c>
      <c r="B959" s="2">
        <v>110</v>
      </c>
      <c r="C959" s="2">
        <v>18472363</v>
      </c>
      <c r="D959" s="2" t="s">
        <v>1156</v>
      </c>
      <c r="E959" s="2" t="s">
        <v>1832</v>
      </c>
      <c r="F959" s="2" t="s">
        <v>14</v>
      </c>
      <c r="G959" s="2" t="s">
        <v>15</v>
      </c>
      <c r="H959" s="2">
        <v>50000000</v>
      </c>
      <c r="I959" s="2">
        <v>5.8</v>
      </c>
      <c r="J959" s="2">
        <f t="shared" si="6"/>
        <v>-31527637</v>
      </c>
      <c r="K959" s="2">
        <f t="shared" si="7"/>
        <v>-1.1298612731625576E-2</v>
      </c>
      <c r="L959" s="2" t="str">
        <f>IF(ISNUMBER(SEARCH("|",IMDB_Movies!$D959)),LEFT(IMDB_Movies!$D959,SEARCH("|",IMDB_Movies!$D959)-1),IMDB_Movies!$D959)</f>
        <v>Action</v>
      </c>
      <c r="V959" s="2"/>
      <c r="W959" s="2"/>
    </row>
    <row r="960" spans="1:23" ht="12.5" x14ac:dyDescent="0.25">
      <c r="A960" s="2" t="s">
        <v>711</v>
      </c>
      <c r="B960" s="2">
        <v>158</v>
      </c>
      <c r="C960" s="2">
        <v>14131298</v>
      </c>
      <c r="D960" s="2" t="s">
        <v>1188</v>
      </c>
      <c r="E960" s="2" t="s">
        <v>1833</v>
      </c>
      <c r="F960" s="2" t="s">
        <v>14</v>
      </c>
      <c r="G960" s="2" t="s">
        <v>686</v>
      </c>
      <c r="H960" s="2">
        <v>390000000</v>
      </c>
      <c r="I960" s="2">
        <v>6.4</v>
      </c>
      <c r="J960" s="2">
        <f t="shared" si="6"/>
        <v>-375868702</v>
      </c>
      <c r="K960" s="2">
        <f t="shared" si="7"/>
        <v>-1.129015947729948E-2</v>
      </c>
      <c r="L960" s="2" t="str">
        <f>IF(ISNUMBER(SEARCH("|",IMDB_Movies!$D960)),LEFT(IMDB_Movies!$D960,SEARCH("|",IMDB_Movies!$D960)-1),IMDB_Movies!$D960)</f>
        <v>Adventure</v>
      </c>
      <c r="V960" s="2"/>
      <c r="W960" s="2"/>
    </row>
    <row r="961" spans="1:23" ht="12.5" x14ac:dyDescent="0.25">
      <c r="A961" s="2" t="s">
        <v>1834</v>
      </c>
      <c r="B961" s="2">
        <v>102</v>
      </c>
      <c r="C961" s="2">
        <v>21557240</v>
      </c>
      <c r="D961" s="2" t="s">
        <v>1835</v>
      </c>
      <c r="E961" s="2" t="s">
        <v>1836</v>
      </c>
      <c r="F961" s="2" t="s">
        <v>14</v>
      </c>
      <c r="G961" s="2" t="s">
        <v>15</v>
      </c>
      <c r="H961" s="2">
        <v>49900000</v>
      </c>
      <c r="I961" s="2">
        <v>5.6</v>
      </c>
      <c r="J961" s="2">
        <f t="shared" si="6"/>
        <v>-28342760</v>
      </c>
      <c r="K961" s="2">
        <f t="shared" si="7"/>
        <v>-1.1094800596830122E-2</v>
      </c>
      <c r="L961" s="2" t="str">
        <f>IF(ISNUMBER(SEARCH("|",IMDB_Movies!$D961)),LEFT(IMDB_Movies!$D961,SEARCH("|",IMDB_Movies!$D961)-1),IMDB_Movies!$D961)</f>
        <v>Adventure</v>
      </c>
      <c r="V961" s="2"/>
      <c r="W961" s="2"/>
    </row>
    <row r="962" spans="1:23" ht="12.5" x14ac:dyDescent="0.25">
      <c r="A962" s="2" t="s">
        <v>1837</v>
      </c>
      <c r="B962" s="2">
        <v>84</v>
      </c>
      <c r="C962" s="2">
        <v>21283440</v>
      </c>
      <c r="D962" s="2" t="s">
        <v>690</v>
      </c>
      <c r="E962" s="2" t="s">
        <v>1838</v>
      </c>
      <c r="F962" s="2" t="s">
        <v>14</v>
      </c>
      <c r="G962" s="2" t="s">
        <v>15</v>
      </c>
      <c r="H962" s="2">
        <v>55000000</v>
      </c>
      <c r="I962" s="2">
        <v>6</v>
      </c>
      <c r="J962" s="2">
        <f t="shared" si="6"/>
        <v>-33716560</v>
      </c>
      <c r="K962" s="2">
        <f t="shared" si="7"/>
        <v>-1.1088531302232462E-2</v>
      </c>
      <c r="L962" s="2" t="str">
        <f>IF(ISNUMBER(SEARCH("|",IMDB_Movies!$D962)),LEFT(IMDB_Movies!$D962,SEARCH("|",IMDB_Movies!$D962)-1),IMDB_Movies!$D962)</f>
        <v>Drama</v>
      </c>
      <c r="V962" s="2"/>
      <c r="W962" s="2"/>
    </row>
    <row r="963" spans="1:23" ht="12.5" x14ac:dyDescent="0.25">
      <c r="A963" s="2" t="s">
        <v>1839</v>
      </c>
      <c r="B963" s="2">
        <v>115</v>
      </c>
      <c r="C963" s="2">
        <v>10556196</v>
      </c>
      <c r="D963" s="2" t="s">
        <v>763</v>
      </c>
      <c r="E963" s="2" t="s">
        <v>1840</v>
      </c>
      <c r="F963" s="2" t="s">
        <v>14</v>
      </c>
      <c r="G963" s="2" t="s">
        <v>15</v>
      </c>
      <c r="H963" s="2">
        <v>50000000</v>
      </c>
      <c r="I963" s="2">
        <v>6.2</v>
      </c>
      <c r="J963" s="2">
        <f t="shared" si="6"/>
        <v>-39443804</v>
      </c>
      <c r="K963" s="2">
        <f t="shared" si="7"/>
        <v>-1.1080507484530365E-2</v>
      </c>
      <c r="L963" s="2" t="str">
        <f>IF(ISNUMBER(SEARCH("|",IMDB_Movies!$D963)),LEFT(IMDB_Movies!$D963,SEARCH("|",IMDB_Movies!$D963)-1),IMDB_Movies!$D963)</f>
        <v>Crime</v>
      </c>
      <c r="V963" s="2"/>
      <c r="W963" s="2"/>
    </row>
    <row r="964" spans="1:23" ht="12.5" x14ac:dyDescent="0.25">
      <c r="A964" s="2" t="s">
        <v>1841</v>
      </c>
      <c r="B964" s="2">
        <v>99</v>
      </c>
      <c r="C964" s="2">
        <v>16671505</v>
      </c>
      <c r="D964" s="2" t="s">
        <v>1842</v>
      </c>
      <c r="E964" s="2" t="s">
        <v>1843</v>
      </c>
      <c r="F964" s="2" t="s">
        <v>14</v>
      </c>
      <c r="G964" s="2" t="s">
        <v>15</v>
      </c>
      <c r="H964" s="2">
        <v>50000000</v>
      </c>
      <c r="I964" s="2">
        <v>5.9</v>
      </c>
      <c r="J964" s="2">
        <f t="shared" si="6"/>
        <v>-33328495</v>
      </c>
      <c r="K964" s="2">
        <f t="shared" si="7"/>
        <v>-1.1066373252849142E-2</v>
      </c>
      <c r="L964" s="2" t="str">
        <f>IF(ISNUMBER(SEARCH("|",IMDB_Movies!$D964)),LEFT(IMDB_Movies!$D964,SEARCH("|",IMDB_Movies!$D964)-1),IMDB_Movies!$D964)</f>
        <v>Adventure</v>
      </c>
      <c r="V964" s="2"/>
      <c r="W964" s="2"/>
    </row>
    <row r="965" spans="1:23" ht="12.5" x14ac:dyDescent="0.25">
      <c r="A965" s="2" t="s">
        <v>1844</v>
      </c>
      <c r="B965" s="2">
        <v>135</v>
      </c>
      <c r="C965" s="2">
        <v>10400000</v>
      </c>
      <c r="D965" s="2" t="s">
        <v>85</v>
      </c>
      <c r="E965" s="2" t="s">
        <v>1845</v>
      </c>
      <c r="F965" s="2" t="s">
        <v>14</v>
      </c>
      <c r="G965" s="2" t="s">
        <v>15</v>
      </c>
      <c r="H965" s="2">
        <v>50000000</v>
      </c>
      <c r="I965" s="2">
        <v>5.0999999999999996</v>
      </c>
      <c r="J965" s="2">
        <f t="shared" si="6"/>
        <v>-39600000</v>
      </c>
      <c r="K965" s="2">
        <f t="shared" si="7"/>
        <v>-1.1056543275194113E-2</v>
      </c>
      <c r="L965" s="2" t="str">
        <f>IF(ISNUMBER(SEARCH("|",IMDB_Movies!$D965)),LEFT(IMDB_Movies!$D965,SEARCH("|",IMDB_Movies!$D965)-1),IMDB_Movies!$D965)</f>
        <v>Drama</v>
      </c>
      <c r="V965" s="2"/>
      <c r="W965" s="2"/>
    </row>
    <row r="966" spans="1:23" ht="12.5" x14ac:dyDescent="0.25">
      <c r="A966" s="2" t="s">
        <v>206</v>
      </c>
      <c r="B966" s="2">
        <v>108</v>
      </c>
      <c r="C966" s="2">
        <v>9528092</v>
      </c>
      <c r="D966" s="2" t="s">
        <v>1243</v>
      </c>
      <c r="E966" s="2" t="s">
        <v>1846</v>
      </c>
      <c r="F966" s="2" t="s">
        <v>14</v>
      </c>
      <c r="G966" s="2" t="s">
        <v>15</v>
      </c>
      <c r="H966" s="2">
        <v>22000000</v>
      </c>
      <c r="I966" s="2">
        <v>6.8</v>
      </c>
      <c r="J966" s="2">
        <f t="shared" si="6"/>
        <v>-12471908</v>
      </c>
      <c r="K966" s="2">
        <f t="shared" si="7"/>
        <v>-1.1042279492350916E-2</v>
      </c>
      <c r="L966" s="2" t="str">
        <f>IF(ISNUMBER(SEARCH("|",IMDB_Movies!$D966)),LEFT(IMDB_Movies!$D966,SEARCH("|",IMDB_Movies!$D966)-1),IMDB_Movies!$D966)</f>
        <v>Biography</v>
      </c>
      <c r="V966" s="2"/>
      <c r="W966" s="2"/>
    </row>
    <row r="967" spans="1:23" ht="12.5" x14ac:dyDescent="0.25">
      <c r="A967" s="2" t="s">
        <v>618</v>
      </c>
      <c r="B967" s="2">
        <v>127</v>
      </c>
      <c r="C967" s="2">
        <v>10137232</v>
      </c>
      <c r="D967" s="2" t="s">
        <v>1847</v>
      </c>
      <c r="E967" s="2" t="s">
        <v>1848</v>
      </c>
      <c r="F967" s="2" t="s">
        <v>14</v>
      </c>
      <c r="G967" s="2" t="s">
        <v>686</v>
      </c>
      <c r="H967" s="2">
        <v>50000000</v>
      </c>
      <c r="I967" s="2">
        <v>6</v>
      </c>
      <c r="J967" s="2">
        <f t="shared" si="6"/>
        <v>-39862768</v>
      </c>
      <c r="K967" s="2">
        <f t="shared" si="7"/>
        <v>-1.1047325427378896E-2</v>
      </c>
      <c r="L967" s="2" t="str">
        <f>IF(ISNUMBER(SEARCH("|",IMDB_Movies!$D967)),LEFT(IMDB_Movies!$D967,SEARCH("|",IMDB_Movies!$D967)-1),IMDB_Movies!$D967)</f>
        <v>Action</v>
      </c>
      <c r="V967" s="2"/>
      <c r="W967" s="2"/>
    </row>
    <row r="968" spans="1:23" ht="12.5" x14ac:dyDescent="0.25">
      <c r="A968" s="2" t="s">
        <v>1612</v>
      </c>
      <c r="B968" s="2">
        <v>107</v>
      </c>
      <c r="C968" s="2">
        <v>9795017</v>
      </c>
      <c r="D968" s="2" t="s">
        <v>763</v>
      </c>
      <c r="E968" s="2" t="s">
        <v>1849</v>
      </c>
      <c r="F968" s="2" t="s">
        <v>14</v>
      </c>
      <c r="G968" s="2" t="s">
        <v>15</v>
      </c>
      <c r="H968" s="2">
        <v>50000000</v>
      </c>
      <c r="I968" s="2">
        <v>5.0999999999999996</v>
      </c>
      <c r="J968" s="2">
        <f t="shared" si="6"/>
        <v>-40204983</v>
      </c>
      <c r="K968" s="2">
        <f t="shared" si="7"/>
        <v>-1.1032862840191206E-2</v>
      </c>
      <c r="L968" s="2" t="str">
        <f>IF(ISNUMBER(SEARCH("|",IMDB_Movies!$D968)),LEFT(IMDB_Movies!$D968,SEARCH("|",IMDB_Movies!$D968)-1),IMDB_Movies!$D968)</f>
        <v>Crime</v>
      </c>
      <c r="V968" s="2"/>
      <c r="W968" s="2"/>
    </row>
    <row r="969" spans="1:23" ht="12.5" x14ac:dyDescent="0.25">
      <c r="A969" s="2" t="s">
        <v>1550</v>
      </c>
      <c r="B969" s="2">
        <v>95</v>
      </c>
      <c r="C969" s="2">
        <v>20488579</v>
      </c>
      <c r="D969" s="2" t="s">
        <v>981</v>
      </c>
      <c r="E969" s="2" t="s">
        <v>1850</v>
      </c>
      <c r="F969" s="2" t="s">
        <v>14</v>
      </c>
      <c r="G969" s="2" t="s">
        <v>15</v>
      </c>
      <c r="H969" s="2">
        <v>50000000</v>
      </c>
      <c r="I969" s="2">
        <v>5.8</v>
      </c>
      <c r="J969" s="2">
        <f t="shared" si="6"/>
        <v>-29511421</v>
      </c>
      <c r="K969" s="2">
        <f t="shared" si="7"/>
        <v>-1.1018149936519181E-2</v>
      </c>
      <c r="L969" s="2" t="str">
        <f>IF(ISNUMBER(SEARCH("|",IMDB_Movies!$D969)),LEFT(IMDB_Movies!$D969,SEARCH("|",IMDB_Movies!$D969)-1),IMDB_Movies!$D969)</f>
        <v>Action</v>
      </c>
      <c r="V969" s="2"/>
      <c r="W969" s="2"/>
    </row>
    <row r="970" spans="1:23" ht="12.5" x14ac:dyDescent="0.25">
      <c r="A970" s="2" t="s">
        <v>1851</v>
      </c>
      <c r="B970" s="2">
        <v>124</v>
      </c>
      <c r="C970" s="2">
        <v>19445217</v>
      </c>
      <c r="D970" s="2" t="s">
        <v>256</v>
      </c>
      <c r="E970" s="2" t="s">
        <v>1852</v>
      </c>
      <c r="F970" s="2" t="s">
        <v>14</v>
      </c>
      <c r="G970" s="2" t="s">
        <v>15</v>
      </c>
      <c r="H970" s="2">
        <v>60000000</v>
      </c>
      <c r="I970" s="2">
        <v>6.2</v>
      </c>
      <c r="J970" s="2">
        <f t="shared" si="6"/>
        <v>-40554783</v>
      </c>
      <c r="K970" s="2">
        <f t="shared" si="7"/>
        <v>-1.1011024434534049E-2</v>
      </c>
      <c r="L970" s="2" t="str">
        <f>IF(ISNUMBER(SEARCH("|",IMDB_Movies!$D970)),LEFT(IMDB_Movies!$D970,SEARCH("|",IMDB_Movies!$D970)-1),IMDB_Movies!$D970)</f>
        <v>Drama</v>
      </c>
      <c r="V970" s="2"/>
      <c r="W970" s="2"/>
    </row>
    <row r="971" spans="1:23" ht="12.5" x14ac:dyDescent="0.25">
      <c r="A971" s="2" t="s">
        <v>1853</v>
      </c>
      <c r="B971" s="2">
        <v>109</v>
      </c>
      <c r="C971" s="2">
        <v>8355815</v>
      </c>
      <c r="D971" s="2" t="s">
        <v>1802</v>
      </c>
      <c r="E971" s="2" t="s">
        <v>1854</v>
      </c>
      <c r="F971" s="2" t="s">
        <v>14</v>
      </c>
      <c r="G971" s="2" t="s">
        <v>22</v>
      </c>
      <c r="H971" s="2">
        <v>55000000</v>
      </c>
      <c r="I971" s="2">
        <v>6.4</v>
      </c>
      <c r="J971" s="2">
        <f t="shared" si="6"/>
        <v>-46644185</v>
      </c>
      <c r="K971" s="2">
        <f t="shared" si="7"/>
        <v>-1.0999445438586233E-2</v>
      </c>
      <c r="L971" s="2" t="str">
        <f>IF(ISNUMBER(SEARCH("|",IMDB_Movies!$D971)),LEFT(IMDB_Movies!$D971,SEARCH("|",IMDB_Movies!$D971)-1),IMDB_Movies!$D971)</f>
        <v>Comedy</v>
      </c>
      <c r="V971" s="2"/>
      <c r="W971" s="2"/>
    </row>
    <row r="972" spans="1:23" ht="12.5" x14ac:dyDescent="0.25">
      <c r="A972" s="2" t="s">
        <v>758</v>
      </c>
      <c r="B972" s="2">
        <v>102</v>
      </c>
      <c r="C972" s="2">
        <v>28837115</v>
      </c>
      <c r="D972" s="2" t="s">
        <v>709</v>
      </c>
      <c r="E972" s="2" t="s">
        <v>1855</v>
      </c>
      <c r="F972" s="2" t="s">
        <v>14</v>
      </c>
      <c r="G972" s="2" t="s">
        <v>15</v>
      </c>
      <c r="H972" s="2">
        <v>50000000</v>
      </c>
      <c r="I972" s="2">
        <v>4.8</v>
      </c>
      <c r="J972" s="2">
        <f t="shared" si="6"/>
        <v>-21162885</v>
      </c>
      <c r="K972" s="2">
        <f t="shared" si="7"/>
        <v>-1.0979936777666824E-2</v>
      </c>
      <c r="L972" s="2" t="str">
        <f>IF(ISNUMBER(SEARCH("|",IMDB_Movies!$D972)),LEFT(IMDB_Movies!$D972,SEARCH("|",IMDB_Movies!$D972)-1),IMDB_Movies!$D972)</f>
        <v>Comedy</v>
      </c>
      <c r="V972" s="2"/>
      <c r="W972" s="2"/>
    </row>
    <row r="973" spans="1:23" ht="12.5" x14ac:dyDescent="0.25">
      <c r="A973" s="2" t="s">
        <v>1856</v>
      </c>
      <c r="B973" s="2">
        <v>88</v>
      </c>
      <c r="C973" s="2">
        <v>6471394</v>
      </c>
      <c r="D973" s="2" t="s">
        <v>375</v>
      </c>
      <c r="E973" s="2" t="s">
        <v>1857</v>
      </c>
      <c r="F973" s="2" t="s">
        <v>14</v>
      </c>
      <c r="G973" s="2" t="s">
        <v>15</v>
      </c>
      <c r="H973" s="2">
        <v>50000000</v>
      </c>
      <c r="I973" s="2">
        <v>4.9000000000000004</v>
      </c>
      <c r="J973" s="2">
        <f t="shared" si="6"/>
        <v>-43528606</v>
      </c>
      <c r="K973" s="2">
        <f t="shared" si="7"/>
        <v>-1.0978925713872136E-2</v>
      </c>
      <c r="L973" s="2" t="str">
        <f>IF(ISNUMBER(SEARCH("|",IMDB_Movies!$D973)),LEFT(IMDB_Movies!$D973,SEARCH("|",IMDB_Movies!$D973)-1),IMDB_Movies!$D973)</f>
        <v>Comedy</v>
      </c>
      <c r="V973" s="2"/>
      <c r="W973" s="2"/>
    </row>
    <row r="974" spans="1:23" ht="12.5" x14ac:dyDescent="0.25">
      <c r="A974" s="2" t="s">
        <v>1061</v>
      </c>
      <c r="B974" s="2">
        <v>87</v>
      </c>
      <c r="C974" s="2">
        <v>6291602</v>
      </c>
      <c r="D974" s="2" t="s">
        <v>1858</v>
      </c>
      <c r="E974" s="2" t="s">
        <v>1859</v>
      </c>
      <c r="F974" s="2" t="s">
        <v>14</v>
      </c>
      <c r="G974" s="2" t="s">
        <v>15</v>
      </c>
      <c r="H974" s="2">
        <v>50000000</v>
      </c>
      <c r="I974" s="2">
        <v>5.6</v>
      </c>
      <c r="J974" s="2">
        <f t="shared" si="6"/>
        <v>-43708398</v>
      </c>
      <c r="K974" s="2">
        <f t="shared" si="7"/>
        <v>-1.0961851853545233E-2</v>
      </c>
      <c r="L974" s="2" t="str">
        <f>IF(ISNUMBER(SEARCH("|",IMDB_Movies!$D974)),LEFT(IMDB_Movies!$D974,SEARCH("|",IMDB_Movies!$D974)-1),IMDB_Movies!$D974)</f>
        <v>Comedy</v>
      </c>
      <c r="V974" s="2"/>
      <c r="W974" s="2"/>
    </row>
    <row r="975" spans="1:23" ht="12.5" x14ac:dyDescent="0.25">
      <c r="A975" s="2" t="s">
        <v>1860</v>
      </c>
      <c r="B975" s="2">
        <v>104</v>
      </c>
      <c r="C975" s="2">
        <v>10706786</v>
      </c>
      <c r="D975" s="2" t="s">
        <v>495</v>
      </c>
      <c r="E975" s="2" t="s">
        <v>1861</v>
      </c>
      <c r="F975" s="2" t="s">
        <v>14</v>
      </c>
      <c r="G975" s="2" t="s">
        <v>15</v>
      </c>
      <c r="H975" s="2">
        <v>50000000</v>
      </c>
      <c r="I975" s="2">
        <v>5.5</v>
      </c>
      <c r="J975" s="2">
        <f t="shared" si="6"/>
        <v>-39293214</v>
      </c>
      <c r="K975" s="2">
        <f t="shared" si="7"/>
        <v>-1.094463945614659E-2</v>
      </c>
      <c r="L975" s="2" t="str">
        <f>IF(ISNUMBER(SEARCH("|",IMDB_Movies!$D975)),LEFT(IMDB_Movies!$D975,SEARCH("|",IMDB_Movies!$D975)-1),IMDB_Movies!$D975)</f>
        <v>Action</v>
      </c>
      <c r="V975" s="2"/>
      <c r="W975" s="2"/>
    </row>
    <row r="976" spans="1:23" ht="12.5" x14ac:dyDescent="0.25">
      <c r="A976" s="2" t="s">
        <v>1192</v>
      </c>
      <c r="B976" s="2">
        <v>96</v>
      </c>
      <c r="C976" s="2">
        <v>8742261</v>
      </c>
      <c r="D976" s="2" t="s">
        <v>845</v>
      </c>
      <c r="E976" s="2" t="s">
        <v>1862</v>
      </c>
      <c r="F976" s="2" t="s">
        <v>14</v>
      </c>
      <c r="G976" s="2" t="s">
        <v>104</v>
      </c>
      <c r="H976" s="2">
        <v>18000000</v>
      </c>
      <c r="I976" s="2">
        <v>3.7</v>
      </c>
      <c r="J976" s="2">
        <f t="shared" si="6"/>
        <v>-9257739</v>
      </c>
      <c r="K976" s="2">
        <f t="shared" si="7"/>
        <v>-1.0930488289339003E-2</v>
      </c>
      <c r="L976" s="2" t="str">
        <f>IF(ISNUMBER(SEARCH("|",IMDB_Movies!$D976)),LEFT(IMDB_Movies!$D976,SEARCH("|",IMDB_Movies!$D976)-1),IMDB_Movies!$D976)</f>
        <v>Action</v>
      </c>
      <c r="V976" s="2"/>
      <c r="W976" s="2"/>
    </row>
    <row r="977" spans="1:23" ht="12.5" x14ac:dyDescent="0.25">
      <c r="A977" s="2" t="s">
        <v>1863</v>
      </c>
      <c r="B977" s="2">
        <v>85</v>
      </c>
      <c r="C977" s="2">
        <v>43905746</v>
      </c>
      <c r="D977" s="2" t="s">
        <v>981</v>
      </c>
      <c r="E977" s="2" t="s">
        <v>1864</v>
      </c>
      <c r="F977" s="2" t="s">
        <v>14</v>
      </c>
      <c r="G977" s="2" t="s">
        <v>15</v>
      </c>
      <c r="H977" s="2">
        <v>49000000</v>
      </c>
      <c r="I977" s="2">
        <v>5.9</v>
      </c>
      <c r="J977" s="2">
        <f t="shared" si="6"/>
        <v>-5094254</v>
      </c>
      <c r="K977" s="2">
        <f t="shared" si="7"/>
        <v>-1.0938675198661317E-2</v>
      </c>
      <c r="L977" s="2" t="str">
        <f>IF(ISNUMBER(SEARCH("|",IMDB_Movies!$D977)),LEFT(IMDB_Movies!$D977,SEARCH("|",IMDB_Movies!$D977)-1),IMDB_Movies!$D977)</f>
        <v>Action</v>
      </c>
      <c r="V977" s="2"/>
      <c r="W977" s="2"/>
    </row>
    <row r="978" spans="1:23" ht="12.5" x14ac:dyDescent="0.25">
      <c r="A978" s="2" t="s">
        <v>744</v>
      </c>
      <c r="B978" s="2">
        <v>104</v>
      </c>
      <c r="C978" s="2">
        <v>21413502</v>
      </c>
      <c r="D978" s="2" t="s">
        <v>1865</v>
      </c>
      <c r="E978" s="2" t="s">
        <v>1866</v>
      </c>
      <c r="F978" s="2" t="s">
        <v>14</v>
      </c>
      <c r="G978" s="2" t="s">
        <v>15</v>
      </c>
      <c r="H978" s="2">
        <v>40000000</v>
      </c>
      <c r="I978" s="2">
        <v>6.3</v>
      </c>
      <c r="J978" s="2">
        <f t="shared" si="6"/>
        <v>-18586498</v>
      </c>
      <c r="K978" s="2">
        <f t="shared" si="7"/>
        <v>-1.0948686255568168E-2</v>
      </c>
      <c r="L978" s="2" t="str">
        <f>IF(ISNUMBER(SEARCH("|",IMDB_Movies!$D978)),LEFT(IMDB_Movies!$D978,SEARCH("|",IMDB_Movies!$D978)-1),IMDB_Movies!$D978)</f>
        <v>Action</v>
      </c>
      <c r="V978" s="2"/>
      <c r="W978" s="2"/>
    </row>
    <row r="979" spans="1:23" ht="12.5" x14ac:dyDescent="0.25">
      <c r="A979" s="2" t="s">
        <v>549</v>
      </c>
      <c r="B979" s="2">
        <v>190</v>
      </c>
      <c r="C979" s="2">
        <v>124107476</v>
      </c>
      <c r="D979" s="2" t="s">
        <v>763</v>
      </c>
      <c r="E979" s="2" t="s">
        <v>1867</v>
      </c>
      <c r="F979" s="2" t="s">
        <v>14</v>
      </c>
      <c r="G979" s="2" t="s">
        <v>15</v>
      </c>
      <c r="H979" s="2">
        <v>48000000</v>
      </c>
      <c r="I979" s="2">
        <v>7.6</v>
      </c>
      <c r="J979" s="2">
        <f t="shared" si="6"/>
        <v>76107476</v>
      </c>
      <c r="K979" s="2">
        <f t="shared" si="7"/>
        <v>-1.0945213988882712E-2</v>
      </c>
      <c r="L979" s="2" t="str">
        <f>IF(ISNUMBER(SEARCH("|",IMDB_Movies!$D979)),LEFT(IMDB_Movies!$D979,SEARCH("|",IMDB_Movies!$D979)-1),IMDB_Movies!$D979)</f>
        <v>Crime</v>
      </c>
      <c r="V979" s="2"/>
      <c r="W979" s="2"/>
    </row>
    <row r="980" spans="1:23" ht="12.5" x14ac:dyDescent="0.25">
      <c r="A980" s="2" t="s">
        <v>141</v>
      </c>
      <c r="B980" s="2">
        <v>127</v>
      </c>
      <c r="C980" s="2">
        <v>197171806</v>
      </c>
      <c r="D980" s="2" t="s">
        <v>17</v>
      </c>
      <c r="E980" s="2" t="s">
        <v>1868</v>
      </c>
      <c r="F980" s="2" t="s">
        <v>14</v>
      </c>
      <c r="G980" s="2" t="s">
        <v>15</v>
      </c>
      <c r="H980" s="2">
        <v>48000000</v>
      </c>
      <c r="I980" s="2">
        <v>8.3000000000000007</v>
      </c>
      <c r="J980" s="2">
        <f t="shared" si="6"/>
        <v>149171806</v>
      </c>
      <c r="K980" s="2">
        <f t="shared" si="7"/>
        <v>-1.1019953683842228E-2</v>
      </c>
      <c r="L980" s="2" t="str">
        <f>IF(ISNUMBER(SEARCH("|",IMDB_Movies!$D980)),LEFT(IMDB_Movies!$D980,SEARCH("|",IMDB_Movies!$D980)-1),IMDB_Movies!$D980)</f>
        <v>Action</v>
      </c>
      <c r="V980" s="2"/>
      <c r="W980" s="2"/>
    </row>
    <row r="981" spans="1:23" ht="12.5" x14ac:dyDescent="0.25">
      <c r="A981" s="2" t="s">
        <v>503</v>
      </c>
      <c r="B981" s="2">
        <v>120</v>
      </c>
      <c r="C981" s="2">
        <v>31569268</v>
      </c>
      <c r="D981" s="2" t="s">
        <v>1869</v>
      </c>
      <c r="E981" s="2" t="s">
        <v>1870</v>
      </c>
      <c r="F981" s="2" t="s">
        <v>14</v>
      </c>
      <c r="G981" s="2" t="s">
        <v>15</v>
      </c>
      <c r="H981" s="2">
        <v>49000000</v>
      </c>
      <c r="I981" s="2">
        <v>6.9</v>
      </c>
      <c r="J981" s="2">
        <f t="shared" si="6"/>
        <v>-17430732</v>
      </c>
      <c r="K981" s="2">
        <f t="shared" si="7"/>
        <v>-1.1168571656376173E-2</v>
      </c>
      <c r="L981" s="2" t="str">
        <f>IF(ISNUMBER(SEARCH("|",IMDB_Movies!$D981)),LEFT(IMDB_Movies!$D981,SEARCH("|",IMDB_Movies!$D981)-1),IMDB_Movies!$D981)</f>
        <v>Action</v>
      </c>
      <c r="V981" s="2"/>
      <c r="W981" s="2"/>
    </row>
    <row r="982" spans="1:23" ht="12.5" x14ac:dyDescent="0.25">
      <c r="A982" s="2" t="s">
        <v>439</v>
      </c>
      <c r="B982" s="2">
        <v>118</v>
      </c>
      <c r="C982" s="2">
        <v>66488090</v>
      </c>
      <c r="D982" s="2" t="s">
        <v>770</v>
      </c>
      <c r="E982" s="2" t="s">
        <v>1871</v>
      </c>
      <c r="F982" s="2" t="s">
        <v>14</v>
      </c>
      <c r="G982" s="2" t="s">
        <v>15</v>
      </c>
      <c r="H982" s="2">
        <v>48000000</v>
      </c>
      <c r="I982" s="2">
        <v>6.7</v>
      </c>
      <c r="J982" s="2">
        <f t="shared" si="6"/>
        <v>18488090</v>
      </c>
      <c r="K982" s="2">
        <f t="shared" si="7"/>
        <v>-1.1169609680473857E-2</v>
      </c>
      <c r="L982" s="2" t="str">
        <f>IF(ISNUMBER(SEARCH("|",IMDB_Movies!$D982)),LEFT(IMDB_Movies!$D982,SEARCH("|",IMDB_Movies!$D982)-1),IMDB_Movies!$D982)</f>
        <v>Crime</v>
      </c>
      <c r="V982" s="2"/>
      <c r="W982" s="2"/>
    </row>
    <row r="983" spans="1:23" ht="12.5" x14ac:dyDescent="0.25">
      <c r="A983" s="2" t="s">
        <v>255</v>
      </c>
      <c r="B983" s="2">
        <v>112</v>
      </c>
      <c r="C983" s="2">
        <v>95308367</v>
      </c>
      <c r="D983" s="2" t="s">
        <v>763</v>
      </c>
      <c r="E983" s="2" t="s">
        <v>1872</v>
      </c>
      <c r="F983" s="2" t="s">
        <v>14</v>
      </c>
      <c r="G983" s="2" t="s">
        <v>15</v>
      </c>
      <c r="H983" s="2">
        <v>48000000</v>
      </c>
      <c r="I983" s="2">
        <v>6.8</v>
      </c>
      <c r="J983" s="2">
        <f t="shared" si="6"/>
        <v>47308367</v>
      </c>
      <c r="K983" s="2">
        <f t="shared" si="7"/>
        <v>-1.1196156902826764E-2</v>
      </c>
      <c r="L983" s="2" t="str">
        <f>IF(ISNUMBER(SEARCH("|",IMDB_Movies!$D983)),LEFT(IMDB_Movies!$D983,SEARCH("|",IMDB_Movies!$D983)-1),IMDB_Movies!$D983)</f>
        <v>Crime</v>
      </c>
      <c r="V983" s="2"/>
      <c r="W983" s="2"/>
    </row>
    <row r="984" spans="1:23" ht="12.5" x14ac:dyDescent="0.25">
      <c r="A984" s="2" t="s">
        <v>1430</v>
      </c>
      <c r="B984" s="2">
        <v>114</v>
      </c>
      <c r="C984" s="2">
        <v>60652036</v>
      </c>
      <c r="D984" s="2" t="s">
        <v>1873</v>
      </c>
      <c r="E984" s="2" t="s">
        <v>1874</v>
      </c>
      <c r="F984" s="2" t="s">
        <v>14</v>
      </c>
      <c r="G984" s="2" t="s">
        <v>15</v>
      </c>
      <c r="H984" s="2">
        <v>48000000</v>
      </c>
      <c r="I984" s="2">
        <v>7.1</v>
      </c>
      <c r="J984" s="2">
        <f t="shared" si="6"/>
        <v>12652036</v>
      </c>
      <c r="K984" s="2">
        <f t="shared" si="7"/>
        <v>-1.1246165673620006E-2</v>
      </c>
      <c r="L984" s="2" t="str">
        <f>IF(ISNUMBER(SEARCH("|",IMDB_Movies!$D984)),LEFT(IMDB_Movies!$D984,SEARCH("|",IMDB_Movies!$D984)-1),IMDB_Movies!$D984)</f>
        <v>Action</v>
      </c>
      <c r="V984" s="2"/>
      <c r="W984" s="2"/>
    </row>
    <row r="985" spans="1:23" ht="12.5" x14ac:dyDescent="0.25">
      <c r="A985" s="2" t="s">
        <v>838</v>
      </c>
      <c r="B985" s="2">
        <v>137</v>
      </c>
      <c r="C985" s="2">
        <v>1206135</v>
      </c>
      <c r="D985" s="2" t="s">
        <v>763</v>
      </c>
      <c r="E985" s="2" t="s">
        <v>1875</v>
      </c>
      <c r="F985" s="2" t="s">
        <v>14</v>
      </c>
      <c r="G985" s="2" t="s">
        <v>1876</v>
      </c>
      <c r="H985" s="2">
        <v>50000000</v>
      </c>
      <c r="I985" s="2">
        <v>6.4</v>
      </c>
      <c r="J985" s="2">
        <f t="shared" si="6"/>
        <v>-48793865</v>
      </c>
      <c r="K985" s="2">
        <f t="shared" si="7"/>
        <v>-1.1268292743122063E-2</v>
      </c>
      <c r="L985" s="2" t="str">
        <f>IF(ISNUMBER(SEARCH("|",IMDB_Movies!$D985)),LEFT(IMDB_Movies!$D985,SEARCH("|",IMDB_Movies!$D985)-1),IMDB_Movies!$D985)</f>
        <v>Crime</v>
      </c>
      <c r="V985" s="2"/>
      <c r="W985" s="2"/>
    </row>
    <row r="986" spans="1:23" ht="12.5" x14ac:dyDescent="0.25">
      <c r="A986" s="2" t="s">
        <v>1084</v>
      </c>
      <c r="B986" s="2">
        <v>112</v>
      </c>
      <c r="C986" s="2">
        <v>56607223</v>
      </c>
      <c r="D986" s="2" t="s">
        <v>1450</v>
      </c>
      <c r="E986" s="2" t="s">
        <v>1877</v>
      </c>
      <c r="F986" s="2" t="s">
        <v>14</v>
      </c>
      <c r="G986" s="2" t="s">
        <v>104</v>
      </c>
      <c r="H986" s="2">
        <v>48000000</v>
      </c>
      <c r="I986" s="2">
        <v>6.4</v>
      </c>
      <c r="J986" s="2">
        <f t="shared" si="6"/>
        <v>8607223</v>
      </c>
      <c r="K986" s="2">
        <f t="shared" si="7"/>
        <v>-1.1247543441299754E-2</v>
      </c>
      <c r="L986" s="2" t="str">
        <f>IF(ISNUMBER(SEARCH("|",IMDB_Movies!$D986)),LEFT(IMDB_Movies!$D986,SEARCH("|",IMDB_Movies!$D986)-1),IMDB_Movies!$D986)</f>
        <v>Adventure</v>
      </c>
      <c r="V986" s="2"/>
      <c r="W986" s="2"/>
    </row>
    <row r="987" spans="1:23" ht="12.5" x14ac:dyDescent="0.25">
      <c r="A987" s="2" t="s">
        <v>1510</v>
      </c>
      <c r="B987" s="2">
        <v>120</v>
      </c>
      <c r="C987" s="2">
        <v>50173190</v>
      </c>
      <c r="D987" s="2" t="s">
        <v>1878</v>
      </c>
      <c r="E987" s="2" t="s">
        <v>1879</v>
      </c>
      <c r="F987" s="2" t="s">
        <v>14</v>
      </c>
      <c r="G987" s="2" t="s">
        <v>15</v>
      </c>
      <c r="H987" s="2">
        <v>48000000</v>
      </c>
      <c r="I987" s="2">
        <v>7.4</v>
      </c>
      <c r="J987" s="2">
        <f t="shared" si="6"/>
        <v>2173190</v>
      </c>
      <c r="K987" s="2">
        <f t="shared" si="7"/>
        <v>-1.1266624010741036E-2</v>
      </c>
      <c r="L987" s="2" t="str">
        <f>IF(ISNUMBER(SEARCH("|",IMDB_Movies!$D987)),LEFT(IMDB_Movies!$D987,SEARCH("|",IMDB_Movies!$D987)-1),IMDB_Movies!$D987)</f>
        <v>Drama</v>
      </c>
      <c r="V987" s="2"/>
      <c r="W987" s="2"/>
    </row>
    <row r="988" spans="1:23" ht="12.5" x14ac:dyDescent="0.25">
      <c r="A988" s="2" t="s">
        <v>516</v>
      </c>
      <c r="B988" s="2">
        <v>123</v>
      </c>
      <c r="C988" s="2">
        <v>47095453</v>
      </c>
      <c r="D988" s="2" t="s">
        <v>1256</v>
      </c>
      <c r="E988" s="2" t="s">
        <v>1880</v>
      </c>
      <c r="F988" s="2" t="s">
        <v>14</v>
      </c>
      <c r="G988" s="2" t="s">
        <v>15</v>
      </c>
      <c r="H988" s="2">
        <v>48000000</v>
      </c>
      <c r="I988" s="2">
        <v>6.4</v>
      </c>
      <c r="J988" s="2">
        <f t="shared" si="6"/>
        <v>-904547</v>
      </c>
      <c r="K988" s="2">
        <f t="shared" si="7"/>
        <v>-1.1280924757600081E-2</v>
      </c>
      <c r="L988" s="2" t="str">
        <f>IF(ISNUMBER(SEARCH("|",IMDB_Movies!$D988)),LEFT(IMDB_Movies!$D988,SEARCH("|",IMDB_Movies!$D988)-1),IMDB_Movies!$D988)</f>
        <v>Comedy</v>
      </c>
      <c r="V988" s="2"/>
      <c r="W988" s="2"/>
    </row>
    <row r="989" spans="1:23" ht="12.5" x14ac:dyDescent="0.25">
      <c r="A989" s="2" t="s">
        <v>1449</v>
      </c>
      <c r="B989" s="2">
        <v>93</v>
      </c>
      <c r="C989" s="2">
        <v>37879996</v>
      </c>
      <c r="D989" s="2" t="s">
        <v>1256</v>
      </c>
      <c r="E989" s="2" t="s">
        <v>1881</v>
      </c>
      <c r="F989" s="2" t="s">
        <v>14</v>
      </c>
      <c r="G989" s="2" t="s">
        <v>15</v>
      </c>
      <c r="H989" s="2">
        <v>48000000</v>
      </c>
      <c r="I989" s="2">
        <v>6</v>
      </c>
      <c r="J989" s="2">
        <f t="shared" si="6"/>
        <v>-10120004</v>
      </c>
      <c r="K989" s="2">
        <f t="shared" si="7"/>
        <v>-1.1292978726017859E-2</v>
      </c>
      <c r="L989" s="2" t="str">
        <f>IF(ISNUMBER(SEARCH("|",IMDB_Movies!$D989)),LEFT(IMDB_Movies!$D989,SEARCH("|",IMDB_Movies!$D989)-1),IMDB_Movies!$D989)</f>
        <v>Comedy</v>
      </c>
      <c r="V989" s="2"/>
      <c r="W989" s="2"/>
    </row>
    <row r="990" spans="1:23" ht="12.5" x14ac:dyDescent="0.25">
      <c r="A990" s="2" t="s">
        <v>1648</v>
      </c>
      <c r="B990" s="2">
        <v>123</v>
      </c>
      <c r="C990" s="2">
        <v>25900000</v>
      </c>
      <c r="D990" s="2" t="s">
        <v>1882</v>
      </c>
      <c r="E990" s="2" t="s">
        <v>1883</v>
      </c>
      <c r="F990" s="2" t="s">
        <v>14</v>
      </c>
      <c r="G990" s="2" t="s">
        <v>15</v>
      </c>
      <c r="H990" s="2">
        <v>58000000</v>
      </c>
      <c r="I990" s="2">
        <v>6.5</v>
      </c>
      <c r="J990" s="2">
        <f t="shared" si="6"/>
        <v>-32100000</v>
      </c>
      <c r="K990" s="2">
        <f t="shared" si="7"/>
        <v>-1.1298421187749067E-2</v>
      </c>
      <c r="L990" s="2" t="str">
        <f>IF(ISNUMBER(SEARCH("|",IMDB_Movies!$D990)),LEFT(IMDB_Movies!$D990,SEARCH("|",IMDB_Movies!$D990)-1),IMDB_Movies!$D990)</f>
        <v>Crime</v>
      </c>
      <c r="V990" s="2"/>
      <c r="W990" s="2"/>
    </row>
    <row r="991" spans="1:23" ht="12.5" x14ac:dyDescent="0.25">
      <c r="A991" s="2" t="s">
        <v>516</v>
      </c>
      <c r="B991" s="2">
        <v>122</v>
      </c>
      <c r="C991" s="2">
        <v>53574088</v>
      </c>
      <c r="D991" s="2" t="s">
        <v>1884</v>
      </c>
      <c r="E991" s="2" t="s">
        <v>1885</v>
      </c>
      <c r="F991" s="2" t="s">
        <v>14</v>
      </c>
      <c r="G991" s="2" t="s">
        <v>15</v>
      </c>
      <c r="H991" s="2">
        <v>55000000</v>
      </c>
      <c r="I991" s="2">
        <v>7.8</v>
      </c>
      <c r="J991" s="2">
        <f t="shared" si="6"/>
        <v>-1425912</v>
      </c>
      <c r="K991" s="2">
        <f t="shared" si="7"/>
        <v>-1.1294143530686794E-2</v>
      </c>
      <c r="L991" s="2" t="str">
        <f>IF(ISNUMBER(SEARCH("|",IMDB_Movies!$D991)),LEFT(IMDB_Movies!$D991,SEARCH("|",IMDB_Movies!$D991)-1),IMDB_Movies!$D991)</f>
        <v>Adventure</v>
      </c>
      <c r="V991" s="2"/>
      <c r="W991" s="2"/>
    </row>
    <row r="992" spans="1:23" ht="12.5" x14ac:dyDescent="0.25">
      <c r="A992" s="2" t="s">
        <v>1886</v>
      </c>
      <c r="B992" s="2">
        <v>115</v>
      </c>
      <c r="C992" s="2">
        <v>89253340</v>
      </c>
      <c r="D992" s="2" t="s">
        <v>25</v>
      </c>
      <c r="E992" s="2" t="s">
        <v>1887</v>
      </c>
      <c r="F992" s="2" t="s">
        <v>14</v>
      </c>
      <c r="G992" s="2" t="s">
        <v>686</v>
      </c>
      <c r="H992" s="2">
        <v>48000000</v>
      </c>
      <c r="I992" s="2">
        <v>6</v>
      </c>
      <c r="J992" s="2">
        <f t="shared" si="6"/>
        <v>41253340</v>
      </c>
      <c r="K992" s="2">
        <f t="shared" si="7"/>
        <v>-1.1316720668710055E-2</v>
      </c>
      <c r="L992" s="2" t="str">
        <f>IF(ISNUMBER(SEARCH("|",IMDB_Movies!$D992)),LEFT(IMDB_Movies!$D992,SEARCH("|",IMDB_Movies!$D992)-1),IMDB_Movies!$D992)</f>
        <v>Action</v>
      </c>
      <c r="V992" s="2"/>
      <c r="W992" s="2"/>
    </row>
    <row r="993" spans="1:23" ht="12.5" x14ac:dyDescent="0.25">
      <c r="A993" s="2" t="s">
        <v>549</v>
      </c>
      <c r="B993" s="2">
        <v>123</v>
      </c>
      <c r="C993" s="2">
        <v>37339525</v>
      </c>
      <c r="D993" s="2" t="s">
        <v>1791</v>
      </c>
      <c r="E993" s="2" t="s">
        <v>1888</v>
      </c>
      <c r="F993" s="2" t="s">
        <v>14</v>
      </c>
      <c r="G993" s="2" t="s">
        <v>15</v>
      </c>
      <c r="H993" s="2">
        <v>48000000</v>
      </c>
      <c r="I993" s="2">
        <v>7</v>
      </c>
      <c r="J993" s="2">
        <f t="shared" si="6"/>
        <v>-10660475</v>
      </c>
      <c r="K993" s="2">
        <f t="shared" si="7"/>
        <v>-1.1361914935936381E-2</v>
      </c>
      <c r="L993" s="2" t="str">
        <f>IF(ISNUMBER(SEARCH("|",IMDB_Movies!$D993)),LEFT(IMDB_Movies!$D993,SEARCH("|",IMDB_Movies!$D993)-1),IMDB_Movies!$D993)</f>
        <v>Crime</v>
      </c>
      <c r="V993" s="2"/>
      <c r="W993" s="2"/>
    </row>
    <row r="994" spans="1:23" ht="12.5" x14ac:dyDescent="0.25">
      <c r="A994" s="2" t="s">
        <v>758</v>
      </c>
      <c r="B994" s="2">
        <v>96</v>
      </c>
      <c r="C994" s="2">
        <v>60154431</v>
      </c>
      <c r="D994" s="2" t="s">
        <v>1889</v>
      </c>
      <c r="E994" s="2" t="s">
        <v>1890</v>
      </c>
      <c r="F994" s="2" t="s">
        <v>14</v>
      </c>
      <c r="G994" s="2" t="s">
        <v>15</v>
      </c>
      <c r="H994" s="2">
        <v>47000000</v>
      </c>
      <c r="I994" s="2">
        <v>6</v>
      </c>
      <c r="J994" s="2">
        <f t="shared" si="6"/>
        <v>13154431</v>
      </c>
      <c r="K994" s="2">
        <f t="shared" si="7"/>
        <v>-1.1367009213865045E-2</v>
      </c>
      <c r="L994" s="2" t="str">
        <f>IF(ISNUMBER(SEARCH("|",IMDB_Movies!$D994)),LEFT(IMDB_Movies!$D994,SEARCH("|",IMDB_Movies!$D994)-1),IMDB_Movies!$D994)</f>
        <v>Comedy</v>
      </c>
      <c r="V994" s="2"/>
      <c r="W994" s="2"/>
    </row>
    <row r="995" spans="1:23" ht="12.5" x14ac:dyDescent="0.25">
      <c r="A995" s="2" t="s">
        <v>1891</v>
      </c>
      <c r="B995" s="2">
        <v>105</v>
      </c>
      <c r="C995" s="2">
        <v>103738726</v>
      </c>
      <c r="D995" s="2" t="s">
        <v>1892</v>
      </c>
      <c r="E995" s="2" t="s">
        <v>1893</v>
      </c>
      <c r="F995" s="2" t="s">
        <v>14</v>
      </c>
      <c r="G995" s="2" t="s">
        <v>15</v>
      </c>
      <c r="H995" s="2">
        <v>100000000</v>
      </c>
      <c r="I995" s="2">
        <v>6.1</v>
      </c>
      <c r="J995" s="2">
        <f t="shared" si="6"/>
        <v>3738726</v>
      </c>
      <c r="K995" s="2">
        <f t="shared" si="7"/>
        <v>-1.1387867056970343E-2</v>
      </c>
      <c r="L995" s="2" t="str">
        <f>IF(ISNUMBER(SEARCH("|",IMDB_Movies!$D995)),LEFT(IMDB_Movies!$D995,SEARCH("|",IMDB_Movies!$D995)-1),IMDB_Movies!$D995)</f>
        <v>Action</v>
      </c>
      <c r="V995" s="2"/>
      <c r="W995" s="2"/>
    </row>
    <row r="996" spans="1:23" ht="12.5" x14ac:dyDescent="0.25">
      <c r="A996" s="2" t="s">
        <v>477</v>
      </c>
      <c r="B996" s="2">
        <v>113</v>
      </c>
      <c r="C996" s="2">
        <v>69304264</v>
      </c>
      <c r="D996" s="2" t="s">
        <v>1894</v>
      </c>
      <c r="E996" s="2" t="s">
        <v>1895</v>
      </c>
      <c r="F996" s="2" t="s">
        <v>14</v>
      </c>
      <c r="G996" s="2" t="s">
        <v>15</v>
      </c>
      <c r="H996" s="2">
        <v>48000000</v>
      </c>
      <c r="I996" s="2">
        <v>6.8</v>
      </c>
      <c r="J996" s="2">
        <f t="shared" si="6"/>
        <v>21304264</v>
      </c>
      <c r="K996" s="2">
        <f t="shared" si="7"/>
        <v>-1.1578895513644509E-2</v>
      </c>
      <c r="L996" s="2" t="str">
        <f>IF(ISNUMBER(SEARCH("|",IMDB_Movies!$D996)),LEFT(IMDB_Movies!$D996,SEARCH("|",IMDB_Movies!$D996)-1),IMDB_Movies!$D996)</f>
        <v>Crime</v>
      </c>
      <c r="V996" s="2"/>
      <c r="W996" s="2"/>
    </row>
    <row r="997" spans="1:23" ht="12.5" x14ac:dyDescent="0.25">
      <c r="A997" s="2" t="s">
        <v>1896</v>
      </c>
      <c r="B997" s="2">
        <v>132</v>
      </c>
      <c r="C997" s="2">
        <v>29781453</v>
      </c>
      <c r="D997" s="2" t="s">
        <v>1431</v>
      </c>
      <c r="E997" s="2" t="s">
        <v>1897</v>
      </c>
      <c r="F997" s="2" t="s">
        <v>14</v>
      </c>
      <c r="G997" s="2" t="s">
        <v>15</v>
      </c>
      <c r="H997" s="2">
        <v>48000000</v>
      </c>
      <c r="I997" s="2">
        <v>6.4</v>
      </c>
      <c r="J997" s="2">
        <f t="shared" si="6"/>
        <v>-18218547</v>
      </c>
      <c r="K997" s="2">
        <f t="shared" si="7"/>
        <v>-1.1608048464678687E-2</v>
      </c>
      <c r="L997" s="2" t="str">
        <f>IF(ISNUMBER(SEARCH("|",IMDB_Movies!$D997)),LEFT(IMDB_Movies!$D997,SEARCH("|",IMDB_Movies!$D997)-1),IMDB_Movies!$D997)</f>
        <v>Biography</v>
      </c>
      <c r="V997" s="2"/>
      <c r="W997" s="2"/>
    </row>
    <row r="998" spans="1:23" ht="12.5" x14ac:dyDescent="0.25">
      <c r="A998" s="2" t="s">
        <v>1898</v>
      </c>
      <c r="B998" s="2">
        <v>75</v>
      </c>
      <c r="C998" s="2">
        <v>15519841</v>
      </c>
      <c r="D998" s="2" t="s">
        <v>106</v>
      </c>
      <c r="E998" s="2" t="s">
        <v>1899</v>
      </c>
      <c r="F998" s="2" t="s">
        <v>14</v>
      </c>
      <c r="G998" s="2" t="s">
        <v>15</v>
      </c>
      <c r="H998" s="2">
        <v>47000000</v>
      </c>
      <c r="I998" s="2">
        <v>4.5</v>
      </c>
      <c r="J998" s="2">
        <f t="shared" si="6"/>
        <v>-31480159</v>
      </c>
      <c r="K998" s="2">
        <f t="shared" si="7"/>
        <v>-1.160790838276733E-2</v>
      </c>
      <c r="L998" s="2" t="str">
        <f>IF(ISNUMBER(SEARCH("|",IMDB_Movies!$D998)),LEFT(IMDB_Movies!$D998,SEARCH("|",IMDB_Movies!$D998)-1),IMDB_Movies!$D998)</f>
        <v>Adventure</v>
      </c>
      <c r="V998" s="2"/>
      <c r="W998" s="2"/>
    </row>
    <row r="999" spans="1:23" ht="12.5" x14ac:dyDescent="0.25">
      <c r="A999" s="2" t="s">
        <v>1900</v>
      </c>
      <c r="B999" s="2">
        <v>108</v>
      </c>
      <c r="C999" s="2">
        <v>5600000</v>
      </c>
      <c r="D999" s="2" t="s">
        <v>1173</v>
      </c>
      <c r="E999" s="2" t="s">
        <v>1901</v>
      </c>
      <c r="F999" s="2" t="s">
        <v>14</v>
      </c>
      <c r="G999" s="2" t="s">
        <v>15</v>
      </c>
      <c r="H999" s="2">
        <v>47000000</v>
      </c>
      <c r="I999" s="2">
        <v>5.8</v>
      </c>
      <c r="J999" s="2">
        <f t="shared" si="6"/>
        <v>-41400000</v>
      </c>
      <c r="K999" s="2">
        <f t="shared" si="7"/>
        <v>-1.1598689780804841E-2</v>
      </c>
      <c r="L999" s="2" t="str">
        <f>IF(ISNUMBER(SEARCH("|",IMDB_Movies!$D999)),LEFT(IMDB_Movies!$D999,SEARCH("|",IMDB_Movies!$D999)-1),IMDB_Movies!$D999)</f>
        <v>Drama</v>
      </c>
      <c r="V999" s="2"/>
      <c r="W999" s="2"/>
    </row>
    <row r="1000" spans="1:23" ht="12.5" x14ac:dyDescent="0.25">
      <c r="A1000" s="2" t="s">
        <v>1902</v>
      </c>
      <c r="B1000" s="2">
        <v>105</v>
      </c>
      <c r="C1000" s="2">
        <v>126805112</v>
      </c>
      <c r="D1000" s="2" t="s">
        <v>600</v>
      </c>
      <c r="E1000" s="2" t="s">
        <v>1903</v>
      </c>
      <c r="F1000" s="2" t="s">
        <v>14</v>
      </c>
      <c r="G1000" s="2" t="s">
        <v>15</v>
      </c>
      <c r="H1000" s="2">
        <v>46000000</v>
      </c>
      <c r="I1000" s="2">
        <v>6.3</v>
      </c>
      <c r="J1000" s="2">
        <f t="shared" si="6"/>
        <v>80805112</v>
      </c>
      <c r="K1000" s="2">
        <f t="shared" si="7"/>
        <v>-1.1583455356147094E-2</v>
      </c>
      <c r="L1000" s="2" t="str">
        <f>IF(ISNUMBER(SEARCH("|",IMDB_Movies!$D1000)),LEFT(IMDB_Movies!$D1000,SEARCH("|",IMDB_Movies!$D1000)-1),IMDB_Movies!$D1000)</f>
        <v>Comedy</v>
      </c>
      <c r="V1000" s="2"/>
      <c r="W1000" s="2"/>
    </row>
    <row r="1001" spans="1:23" ht="12.5" x14ac:dyDescent="0.25">
      <c r="A1001" s="2" t="s">
        <v>1736</v>
      </c>
      <c r="B1001" s="2">
        <v>102</v>
      </c>
      <c r="C1001" s="2">
        <v>93607673</v>
      </c>
      <c r="D1001" s="2" t="s">
        <v>600</v>
      </c>
      <c r="E1001" s="2" t="s">
        <v>1904</v>
      </c>
      <c r="F1001" s="2" t="s">
        <v>14</v>
      </c>
      <c r="G1001" s="2" t="s">
        <v>15</v>
      </c>
      <c r="H1001" s="2">
        <v>48000000</v>
      </c>
      <c r="I1001" s="2">
        <v>5.7</v>
      </c>
      <c r="J1001" s="2">
        <f t="shared" si="6"/>
        <v>45607673</v>
      </c>
      <c r="K1001" s="2">
        <f t="shared" si="7"/>
        <v>-1.1655981183047863E-2</v>
      </c>
      <c r="L1001" s="2" t="str">
        <f>IF(ISNUMBER(SEARCH("|",IMDB_Movies!$D1001)),LEFT(IMDB_Movies!$D1001,SEARCH("|",IMDB_Movies!$D1001)-1),IMDB_Movies!$D1001)</f>
        <v>Comedy</v>
      </c>
      <c r="V1001" s="2"/>
      <c r="W1001" s="2"/>
    </row>
    <row r="1002" spans="1:23" ht="12.5" x14ac:dyDescent="0.25">
      <c r="A1002" s="2" t="s">
        <v>24</v>
      </c>
      <c r="B1002" s="2">
        <v>118</v>
      </c>
      <c r="C1002" s="2">
        <v>67263182</v>
      </c>
      <c r="D1002" s="2" t="s">
        <v>690</v>
      </c>
      <c r="E1002" s="2" t="s">
        <v>1905</v>
      </c>
      <c r="F1002" s="2" t="s">
        <v>14</v>
      </c>
      <c r="G1002" s="2" t="s">
        <v>15</v>
      </c>
      <c r="H1002" s="2">
        <v>46000000</v>
      </c>
      <c r="I1002" s="2">
        <v>7.2</v>
      </c>
      <c r="J1002" s="2">
        <f t="shared" si="6"/>
        <v>21263182</v>
      </c>
      <c r="K1002" s="2">
        <f t="shared" si="7"/>
        <v>-1.1705404384210317E-2</v>
      </c>
      <c r="L1002" s="2" t="str">
        <f>IF(ISNUMBER(SEARCH("|",IMDB_Movies!$D1002)),LEFT(IMDB_Movies!$D1002,SEARCH("|",IMDB_Movies!$D1002)-1),IMDB_Movies!$D1002)</f>
        <v>Drama</v>
      </c>
      <c r="V1002" s="2"/>
      <c r="W1002" s="2"/>
    </row>
    <row r="1003" spans="1:23" ht="12.5" x14ac:dyDescent="0.25">
      <c r="A1003" s="2" t="s">
        <v>1169</v>
      </c>
      <c r="B1003" s="2">
        <v>111</v>
      </c>
      <c r="C1003" s="2">
        <v>92001027</v>
      </c>
      <c r="D1003" s="2" t="s">
        <v>1906</v>
      </c>
      <c r="E1003" s="2" t="s">
        <v>1907</v>
      </c>
      <c r="F1003" s="2" t="s">
        <v>14</v>
      </c>
      <c r="G1003" s="2" t="s">
        <v>15</v>
      </c>
      <c r="H1003" s="2">
        <v>45000000</v>
      </c>
      <c r="I1003" s="2">
        <v>7.6</v>
      </c>
      <c r="J1003" s="2">
        <f t="shared" si="6"/>
        <v>47001027</v>
      </c>
      <c r="K1003" s="2">
        <f t="shared" si="7"/>
        <v>-1.1730516779952295E-2</v>
      </c>
      <c r="L1003" s="2" t="str">
        <f>IF(ISNUMBER(SEARCH("|",IMDB_Movies!$D1003)),LEFT(IMDB_Movies!$D1003,SEARCH("|",IMDB_Movies!$D1003)-1),IMDB_Movies!$D1003)</f>
        <v>Action</v>
      </c>
      <c r="V1003" s="2"/>
      <c r="W1003" s="2"/>
    </row>
    <row r="1004" spans="1:23" ht="12.5" x14ac:dyDescent="0.25">
      <c r="A1004" s="2" t="s">
        <v>1598</v>
      </c>
      <c r="B1004" s="2">
        <v>81</v>
      </c>
      <c r="C1004" s="2">
        <v>10539414</v>
      </c>
      <c r="D1004" s="2" t="s">
        <v>1908</v>
      </c>
      <c r="E1004" s="2" t="s">
        <v>1909</v>
      </c>
      <c r="F1004" s="2" t="s">
        <v>14</v>
      </c>
      <c r="G1004" s="2" t="s">
        <v>15</v>
      </c>
      <c r="H1004" s="2">
        <v>47000000</v>
      </c>
      <c r="I1004" s="2">
        <v>4.7</v>
      </c>
      <c r="J1004" s="2">
        <f t="shared" si="6"/>
        <v>-36460586</v>
      </c>
      <c r="K1004" s="2">
        <f t="shared" si="7"/>
        <v>-1.1772200920533082E-2</v>
      </c>
      <c r="L1004" s="2" t="str">
        <f>IF(ISNUMBER(SEARCH("|",IMDB_Movies!$D1004)),LEFT(IMDB_Movies!$D1004,SEARCH("|",IMDB_Movies!$D1004)-1),IMDB_Movies!$D1004)</f>
        <v>Action</v>
      </c>
      <c r="V1004" s="2"/>
      <c r="W1004" s="2"/>
    </row>
    <row r="1005" spans="1:23" ht="12.5" x14ac:dyDescent="0.25">
      <c r="A1005" s="2" t="s">
        <v>377</v>
      </c>
      <c r="B1005" s="2">
        <v>116</v>
      </c>
      <c r="C1005" s="2">
        <v>58918501</v>
      </c>
      <c r="D1005" s="2" t="s">
        <v>1910</v>
      </c>
      <c r="E1005" s="2" t="s">
        <v>1911</v>
      </c>
      <c r="F1005" s="2" t="s">
        <v>14</v>
      </c>
      <c r="G1005" s="2" t="s">
        <v>15</v>
      </c>
      <c r="H1005" s="2">
        <v>46000000</v>
      </c>
      <c r="I1005" s="2">
        <v>6.6</v>
      </c>
      <c r="J1005" s="2">
        <f t="shared" si="6"/>
        <v>12918501</v>
      </c>
      <c r="K1005" s="2">
        <f t="shared" si="7"/>
        <v>-1.1759937368576067E-2</v>
      </c>
      <c r="L1005" s="2" t="str">
        <f>IF(ISNUMBER(SEARCH("|",IMDB_Movies!$D1005)),LEFT(IMDB_Movies!$D1005,SEARCH("|",IMDB_Movies!$D1005)-1),IMDB_Movies!$D1005)</f>
        <v>Action</v>
      </c>
      <c r="V1005" s="2"/>
      <c r="W1005" s="2"/>
    </row>
    <row r="1006" spans="1:23" ht="12.5" x14ac:dyDescent="0.25">
      <c r="A1006" s="2" t="s">
        <v>203</v>
      </c>
      <c r="B1006" s="2">
        <v>86</v>
      </c>
      <c r="C1006" s="2">
        <v>181395380</v>
      </c>
      <c r="D1006" s="2" t="s">
        <v>1256</v>
      </c>
      <c r="E1006" s="2" t="s">
        <v>1912</v>
      </c>
      <c r="F1006" s="2" t="s">
        <v>14</v>
      </c>
      <c r="G1006" s="2" t="s">
        <v>15</v>
      </c>
      <c r="H1006" s="2">
        <v>45000000</v>
      </c>
      <c r="I1006" s="2">
        <v>6.8</v>
      </c>
      <c r="J1006" s="2">
        <f t="shared" si="6"/>
        <v>136395380</v>
      </c>
      <c r="K1006" s="2">
        <f t="shared" si="7"/>
        <v>-1.1779171401280243E-2</v>
      </c>
      <c r="L1006" s="2" t="str">
        <f>IF(ISNUMBER(SEARCH("|",IMDB_Movies!$D1006)),LEFT(IMDB_Movies!$D1006,SEARCH("|",IMDB_Movies!$D1006)-1),IMDB_Movies!$D1006)</f>
        <v>Comedy</v>
      </c>
      <c r="V1006" s="2"/>
      <c r="W1006" s="2"/>
    </row>
    <row r="1007" spans="1:23" ht="12.5" x14ac:dyDescent="0.25">
      <c r="A1007" s="2" t="s">
        <v>1913</v>
      </c>
      <c r="B1007" s="2">
        <v>127</v>
      </c>
      <c r="C1007" s="2">
        <v>14946229</v>
      </c>
      <c r="D1007" s="2" t="s">
        <v>1914</v>
      </c>
      <c r="E1007" s="2" t="s">
        <v>1915</v>
      </c>
      <c r="F1007" s="2" t="s">
        <v>14</v>
      </c>
      <c r="G1007" s="2" t="s">
        <v>22</v>
      </c>
      <c r="H1007" s="2">
        <v>25000000</v>
      </c>
      <c r="I1007" s="2">
        <v>7.3</v>
      </c>
      <c r="J1007" s="2">
        <f t="shared" si="6"/>
        <v>-10053771</v>
      </c>
      <c r="K1007" s="2">
        <f t="shared" si="7"/>
        <v>-1.1899492752777692E-2</v>
      </c>
      <c r="L1007" s="2" t="str">
        <f>IF(ISNUMBER(SEARCH("|",IMDB_Movies!$D1007)),LEFT(IMDB_Movies!$D1007,SEARCH("|",IMDB_Movies!$D1007)-1),IMDB_Movies!$D1007)</f>
        <v>Biography</v>
      </c>
      <c r="V1007" s="2"/>
      <c r="W1007" s="2"/>
    </row>
    <row r="1008" spans="1:23" ht="12.5" x14ac:dyDescent="0.25">
      <c r="A1008" s="2" t="s">
        <v>1411</v>
      </c>
      <c r="B1008" s="2">
        <v>91</v>
      </c>
      <c r="C1008" s="2">
        <v>130512915</v>
      </c>
      <c r="D1008" s="2" t="s">
        <v>204</v>
      </c>
      <c r="E1008" s="2" t="s">
        <v>1916</v>
      </c>
      <c r="F1008" s="2" t="s">
        <v>14</v>
      </c>
      <c r="G1008" s="2" t="s">
        <v>15</v>
      </c>
      <c r="H1008" s="2">
        <v>45000000</v>
      </c>
      <c r="I1008" s="2">
        <v>4.8</v>
      </c>
      <c r="J1008" s="2">
        <f t="shared" si="6"/>
        <v>85512915</v>
      </c>
      <c r="K1008" s="2">
        <f t="shared" si="7"/>
        <v>-1.1901382846823468E-2</v>
      </c>
      <c r="L1008" s="2" t="str">
        <f>IF(ISNUMBER(SEARCH("|",IMDB_Movies!$D1008)),LEFT(IMDB_Movies!$D1008,SEARCH("|",IMDB_Movies!$D1008)-1),IMDB_Movies!$D1008)</f>
        <v>Comedy</v>
      </c>
      <c r="V1008" s="2"/>
      <c r="W1008" s="2"/>
    </row>
    <row r="1009" spans="1:23" ht="12.5" x14ac:dyDescent="0.25">
      <c r="A1009" s="2" t="s">
        <v>1886</v>
      </c>
      <c r="B1009" s="2">
        <v>98</v>
      </c>
      <c r="C1009" s="2">
        <v>139852971</v>
      </c>
      <c r="D1009" s="2" t="s">
        <v>125</v>
      </c>
      <c r="E1009" s="2" t="s">
        <v>1917</v>
      </c>
      <c r="F1009" s="2" t="s">
        <v>14</v>
      </c>
      <c r="G1009" s="2" t="s">
        <v>686</v>
      </c>
      <c r="H1009" s="2">
        <v>45000000</v>
      </c>
      <c r="I1009" s="2">
        <v>6.3</v>
      </c>
      <c r="J1009" s="2">
        <f t="shared" si="6"/>
        <v>94852971</v>
      </c>
      <c r="K1009" s="2">
        <f t="shared" si="7"/>
        <v>-1.1974751988280215E-2</v>
      </c>
      <c r="L1009" s="2" t="str">
        <f>IF(ISNUMBER(SEARCH("|",IMDB_Movies!$D1009)),LEFT(IMDB_Movies!$D1009,SEARCH("|",IMDB_Movies!$D1009)-1),IMDB_Movies!$D1009)</f>
        <v>Action</v>
      </c>
      <c r="V1009" s="2"/>
      <c r="W1009" s="2"/>
    </row>
    <row r="1010" spans="1:23" ht="12.5" x14ac:dyDescent="0.25">
      <c r="A1010" s="2" t="s">
        <v>1918</v>
      </c>
      <c r="B1010" s="2">
        <v>84</v>
      </c>
      <c r="C1010" s="2">
        <v>110000082</v>
      </c>
      <c r="D1010" s="2" t="s">
        <v>709</v>
      </c>
      <c r="E1010" s="2" t="s">
        <v>1919</v>
      </c>
      <c r="F1010" s="2" t="s">
        <v>14</v>
      </c>
      <c r="G1010" s="2" t="s">
        <v>15</v>
      </c>
      <c r="H1010" s="2">
        <v>48000000</v>
      </c>
      <c r="I1010" s="2">
        <v>5.5</v>
      </c>
      <c r="J1010" s="2">
        <f t="shared" si="6"/>
        <v>62000082</v>
      </c>
      <c r="K1010" s="2">
        <f t="shared" si="7"/>
        <v>-1.2056613906999577E-2</v>
      </c>
      <c r="L1010" s="2" t="str">
        <f>IF(ISNUMBER(SEARCH("|",IMDB_Movies!$D1010)),LEFT(IMDB_Movies!$D1010,SEARCH("|",IMDB_Movies!$D1010)-1),IMDB_Movies!$D1010)</f>
        <v>Comedy</v>
      </c>
      <c r="V1010" s="2"/>
      <c r="W1010" s="2"/>
    </row>
    <row r="1011" spans="1:23" ht="12.5" x14ac:dyDescent="0.25">
      <c r="A1011" s="2" t="s">
        <v>1456</v>
      </c>
      <c r="B1011" s="2">
        <v>109</v>
      </c>
      <c r="C1011" s="2">
        <v>106807667</v>
      </c>
      <c r="D1011" s="2" t="s">
        <v>1920</v>
      </c>
      <c r="E1011" s="2" t="s">
        <v>1921</v>
      </c>
      <c r="F1011" s="2" t="s">
        <v>14</v>
      </c>
      <c r="G1011" s="2" t="s">
        <v>15</v>
      </c>
      <c r="H1011" s="2">
        <v>45000000</v>
      </c>
      <c r="I1011" s="2">
        <v>6.2</v>
      </c>
      <c r="J1011" s="2">
        <f t="shared" si="6"/>
        <v>61807667</v>
      </c>
      <c r="K1011" s="2">
        <f t="shared" si="7"/>
        <v>-1.2121582213849175E-2</v>
      </c>
      <c r="L1011" s="2" t="str">
        <f>IF(ISNUMBER(SEARCH("|",IMDB_Movies!$D1011)),LEFT(IMDB_Movies!$D1011,SEARCH("|",IMDB_Movies!$D1011)-1),IMDB_Movies!$D1011)</f>
        <v>Action</v>
      </c>
      <c r="V1011" s="2"/>
      <c r="W1011" s="2"/>
    </row>
    <row r="1012" spans="1:23" ht="12.5" x14ac:dyDescent="0.25">
      <c r="A1012" s="2" t="s">
        <v>950</v>
      </c>
      <c r="B1012" s="2">
        <v>93</v>
      </c>
      <c r="C1012" s="2">
        <v>101702060</v>
      </c>
      <c r="D1012" s="2" t="s">
        <v>1922</v>
      </c>
      <c r="E1012" s="2" t="s">
        <v>1923</v>
      </c>
      <c r="F1012" s="2" t="s">
        <v>14</v>
      </c>
      <c r="G1012" s="2" t="s">
        <v>15</v>
      </c>
      <c r="H1012" s="2">
        <v>45000000</v>
      </c>
      <c r="I1012" s="2">
        <v>5.8</v>
      </c>
      <c r="J1012" s="2">
        <f t="shared" si="6"/>
        <v>56702060</v>
      </c>
      <c r="K1012" s="2">
        <f t="shared" si="7"/>
        <v>-1.2175659508275738E-2</v>
      </c>
      <c r="L1012" s="2" t="str">
        <f>IF(ISNUMBER(SEARCH("|",IMDB_Movies!$D1012)),LEFT(IMDB_Movies!$D1012,SEARCH("|",IMDB_Movies!$D1012)-1),IMDB_Movies!$D1012)</f>
        <v>Action</v>
      </c>
      <c r="V1012" s="2"/>
      <c r="W1012" s="2"/>
    </row>
    <row r="1013" spans="1:23" ht="12.5" x14ac:dyDescent="0.25">
      <c r="A1013" s="2" t="s">
        <v>1145</v>
      </c>
      <c r="B1013" s="2">
        <v>113</v>
      </c>
      <c r="C1013" s="2">
        <v>95149435</v>
      </c>
      <c r="D1013" s="2" t="s">
        <v>955</v>
      </c>
      <c r="E1013" s="2" t="s">
        <v>1924</v>
      </c>
      <c r="F1013" s="2" t="s">
        <v>14</v>
      </c>
      <c r="G1013" s="2" t="s">
        <v>15</v>
      </c>
      <c r="H1013" s="2">
        <v>40000000</v>
      </c>
      <c r="I1013" s="2">
        <v>5.7</v>
      </c>
      <c r="J1013" s="2">
        <f t="shared" si="6"/>
        <v>55149435</v>
      </c>
      <c r="K1013" s="2">
        <f t="shared" si="7"/>
        <v>-1.2225747293128711E-2</v>
      </c>
      <c r="L1013" s="2" t="str">
        <f>IF(ISNUMBER(SEARCH("|",IMDB_Movies!$D1013)),LEFT(IMDB_Movies!$D1013,SEARCH("|",IMDB_Movies!$D1013)-1),IMDB_Movies!$D1013)</f>
        <v>Comedy</v>
      </c>
      <c r="V1013" s="2"/>
      <c r="W1013" s="2"/>
    </row>
    <row r="1014" spans="1:23" ht="12.5" x14ac:dyDescent="0.25">
      <c r="A1014" s="2" t="s">
        <v>810</v>
      </c>
      <c r="B1014" s="2">
        <v>141</v>
      </c>
      <c r="C1014" s="2">
        <v>100768056</v>
      </c>
      <c r="D1014" s="2" t="s">
        <v>770</v>
      </c>
      <c r="E1014" s="2" t="s">
        <v>1925</v>
      </c>
      <c r="F1014" s="2" t="s">
        <v>14</v>
      </c>
      <c r="G1014" s="2" t="s">
        <v>15</v>
      </c>
      <c r="H1014" s="2">
        <v>45000000</v>
      </c>
      <c r="I1014" s="2">
        <v>6.5</v>
      </c>
      <c r="J1014" s="2">
        <f t="shared" si="6"/>
        <v>55768056</v>
      </c>
      <c r="K1014" s="2">
        <f t="shared" si="7"/>
        <v>-1.2259275653766383E-2</v>
      </c>
      <c r="L1014" s="2" t="str">
        <f>IF(ISNUMBER(SEARCH("|",IMDB_Movies!$D1014)),LEFT(IMDB_Movies!$D1014,SEARCH("|",IMDB_Movies!$D1014)-1),IMDB_Movies!$D1014)</f>
        <v>Crime</v>
      </c>
      <c r="V1014" s="2"/>
      <c r="W1014" s="2"/>
    </row>
    <row r="1015" spans="1:23" ht="12.5" x14ac:dyDescent="0.25">
      <c r="A1015" s="2" t="s">
        <v>482</v>
      </c>
      <c r="B1015" s="2">
        <v>119</v>
      </c>
      <c r="C1015" s="2">
        <v>92115211</v>
      </c>
      <c r="D1015" s="2" t="s">
        <v>770</v>
      </c>
      <c r="E1015" s="2" t="s">
        <v>1926</v>
      </c>
      <c r="F1015" s="2" t="s">
        <v>14</v>
      </c>
      <c r="G1015" s="2" t="s">
        <v>15</v>
      </c>
      <c r="H1015" s="2">
        <v>45000000</v>
      </c>
      <c r="I1015" s="2">
        <v>6.7</v>
      </c>
      <c r="J1015" s="2">
        <f t="shared" si="6"/>
        <v>47115211</v>
      </c>
      <c r="K1015" s="2">
        <f t="shared" si="7"/>
        <v>-1.2308795499102165E-2</v>
      </c>
      <c r="L1015" s="2" t="str">
        <f>IF(ISNUMBER(SEARCH("|",IMDB_Movies!$D1015)),LEFT(IMDB_Movies!$D1015,SEARCH("|",IMDB_Movies!$D1015)-1),IMDB_Movies!$D1015)</f>
        <v>Crime</v>
      </c>
      <c r="V1015" s="2"/>
      <c r="W1015" s="2"/>
    </row>
    <row r="1016" spans="1:23" ht="12.5" x14ac:dyDescent="0.25">
      <c r="A1016" s="2" t="s">
        <v>1340</v>
      </c>
      <c r="B1016" s="2">
        <v>97</v>
      </c>
      <c r="C1016" s="2">
        <v>93452056</v>
      </c>
      <c r="D1016" s="2" t="s">
        <v>1822</v>
      </c>
      <c r="E1016" s="2" t="s">
        <v>1927</v>
      </c>
      <c r="F1016" s="2" t="s">
        <v>14</v>
      </c>
      <c r="G1016" s="2" t="s">
        <v>15</v>
      </c>
      <c r="H1016" s="2">
        <v>45000000</v>
      </c>
      <c r="I1016" s="2">
        <v>7.4</v>
      </c>
      <c r="J1016" s="2">
        <f t="shared" si="6"/>
        <v>48452056</v>
      </c>
      <c r="K1016" s="2">
        <f t="shared" si="7"/>
        <v>-1.2351603994163417E-2</v>
      </c>
      <c r="L1016" s="2" t="str">
        <f>IF(ISNUMBER(SEARCH("|",IMDB_Movies!$D1016)),LEFT(IMDB_Movies!$D1016,SEARCH("|",IMDB_Movies!$D1016)-1),IMDB_Movies!$D1016)</f>
        <v>Adventure</v>
      </c>
      <c r="V1016" s="2"/>
      <c r="W1016" s="2"/>
    </row>
    <row r="1017" spans="1:23" ht="12.5" x14ac:dyDescent="0.25">
      <c r="A1017" s="2" t="s">
        <v>439</v>
      </c>
      <c r="B1017" s="2">
        <v>117</v>
      </c>
      <c r="C1017" s="2">
        <v>83287363</v>
      </c>
      <c r="D1017" s="2" t="s">
        <v>25</v>
      </c>
      <c r="E1017" s="2" t="s">
        <v>1928</v>
      </c>
      <c r="F1017" s="2" t="s">
        <v>14</v>
      </c>
      <c r="G1017" s="2" t="s">
        <v>15</v>
      </c>
      <c r="H1017" s="2">
        <v>45000000</v>
      </c>
      <c r="I1017" s="2">
        <v>6.9</v>
      </c>
      <c r="J1017" s="2">
        <f t="shared" si="6"/>
        <v>38287363</v>
      </c>
      <c r="K1017" s="2">
        <f t="shared" si="7"/>
        <v>-1.2395524171122449E-2</v>
      </c>
      <c r="L1017" s="2" t="str">
        <f>IF(ISNUMBER(SEARCH("|",IMDB_Movies!$D1017)),LEFT(IMDB_Movies!$D1017,SEARCH("|",IMDB_Movies!$D1017)-1),IMDB_Movies!$D1017)</f>
        <v>Action</v>
      </c>
      <c r="V1017" s="2"/>
      <c r="W1017" s="2"/>
    </row>
    <row r="1018" spans="1:23" ht="12.5" x14ac:dyDescent="0.25">
      <c r="A1018" s="2" t="s">
        <v>1073</v>
      </c>
      <c r="B1018" s="2">
        <v>101</v>
      </c>
      <c r="C1018" s="2">
        <v>82931301</v>
      </c>
      <c r="D1018" s="2" t="s">
        <v>600</v>
      </c>
      <c r="E1018" s="2" t="s">
        <v>1929</v>
      </c>
      <c r="F1018" s="2" t="s">
        <v>14</v>
      </c>
      <c r="G1018" s="2" t="s">
        <v>287</v>
      </c>
      <c r="H1018" s="2">
        <v>60000000</v>
      </c>
      <c r="I1018" s="2">
        <v>5.5</v>
      </c>
      <c r="J1018" s="2">
        <f t="shared" si="6"/>
        <v>22931301</v>
      </c>
      <c r="K1018" s="2">
        <f t="shared" si="7"/>
        <v>-1.2431730593447571E-2</v>
      </c>
      <c r="L1018" s="2" t="str">
        <f>IF(ISNUMBER(SEARCH("|",IMDB_Movies!$D1018)),LEFT(IMDB_Movies!$D1018,SEARCH("|",IMDB_Movies!$D1018)-1),IMDB_Movies!$D1018)</f>
        <v>Comedy</v>
      </c>
      <c r="V1018" s="2"/>
      <c r="W1018" s="2"/>
    </row>
    <row r="1019" spans="1:23" ht="12.5" x14ac:dyDescent="0.25">
      <c r="A1019" s="2" t="s">
        <v>1930</v>
      </c>
      <c r="B1019" s="2">
        <v>153</v>
      </c>
      <c r="C1019" s="2">
        <v>60962878</v>
      </c>
      <c r="D1019" s="2" t="s">
        <v>770</v>
      </c>
      <c r="E1019" s="2" t="s">
        <v>1931</v>
      </c>
      <c r="F1019" s="2" t="s">
        <v>14</v>
      </c>
      <c r="G1019" s="2" t="s">
        <v>15</v>
      </c>
      <c r="H1019" s="2">
        <v>46000000</v>
      </c>
      <c r="I1019" s="2">
        <v>8.1</v>
      </c>
      <c r="J1019" s="2">
        <f t="shared" si="6"/>
        <v>14962878</v>
      </c>
      <c r="K1019" s="2">
        <f t="shared" si="7"/>
        <v>-1.2495876093091563E-2</v>
      </c>
      <c r="L1019" s="2" t="str">
        <f>IF(ISNUMBER(SEARCH("|",IMDB_Movies!$D1019)),LEFT(IMDB_Movies!$D1019,SEARCH("|",IMDB_Movies!$D1019)-1),IMDB_Movies!$D1019)</f>
        <v>Crime</v>
      </c>
      <c r="V1019" s="2"/>
      <c r="W1019" s="2"/>
    </row>
    <row r="1020" spans="1:23" ht="12.5" x14ac:dyDescent="0.25">
      <c r="A1020" s="2" t="s">
        <v>1071</v>
      </c>
      <c r="B1020" s="2">
        <v>122</v>
      </c>
      <c r="C1020" s="2">
        <v>76261036</v>
      </c>
      <c r="D1020" s="2" t="s">
        <v>763</v>
      </c>
      <c r="E1020" s="2" t="s">
        <v>1932</v>
      </c>
      <c r="F1020" s="2" t="s">
        <v>14</v>
      </c>
      <c r="G1020" s="2" t="s">
        <v>15</v>
      </c>
      <c r="H1020" s="2">
        <v>45000000</v>
      </c>
      <c r="I1020" s="2">
        <v>7.7</v>
      </c>
      <c r="J1020" s="2">
        <f t="shared" si="6"/>
        <v>31261036</v>
      </c>
      <c r="K1020" s="2">
        <f t="shared" si="7"/>
        <v>-1.2517197921750036E-2</v>
      </c>
      <c r="L1020" s="2" t="str">
        <f>IF(ISNUMBER(SEARCH("|",IMDB_Movies!$D1020)),LEFT(IMDB_Movies!$D1020,SEARCH("|",IMDB_Movies!$D1020)-1),IMDB_Movies!$D1020)</f>
        <v>Crime</v>
      </c>
      <c r="V1020" s="2"/>
      <c r="W1020" s="2"/>
    </row>
    <row r="1021" spans="1:23" ht="12.5" x14ac:dyDescent="0.25">
      <c r="A1021" s="2" t="s">
        <v>374</v>
      </c>
      <c r="B1021" s="2">
        <v>102</v>
      </c>
      <c r="C1021" s="2">
        <v>71423726</v>
      </c>
      <c r="D1021" s="2" t="s">
        <v>670</v>
      </c>
      <c r="E1021" s="2" t="s">
        <v>1933</v>
      </c>
      <c r="F1021" s="2" t="s">
        <v>14</v>
      </c>
      <c r="G1021" s="2" t="s">
        <v>15</v>
      </c>
      <c r="H1021" s="2">
        <v>45000000</v>
      </c>
      <c r="I1021" s="2">
        <v>7.3</v>
      </c>
      <c r="J1021" s="2">
        <f t="shared" si="6"/>
        <v>26423726</v>
      </c>
      <c r="K1021" s="2">
        <f t="shared" si="7"/>
        <v>-1.2548328015526843E-2</v>
      </c>
      <c r="L1021" s="2" t="str">
        <f>IF(ISNUMBER(SEARCH("|",IMDB_Movies!$D1021)),LEFT(IMDB_Movies!$D1021,SEARCH("|",IMDB_Movies!$D1021)-1),IMDB_Movies!$D1021)</f>
        <v>Adventure</v>
      </c>
      <c r="V1021" s="2"/>
      <c r="W1021" s="2"/>
    </row>
    <row r="1022" spans="1:23" ht="12.5" x14ac:dyDescent="0.25">
      <c r="A1022" s="2" t="s">
        <v>1336</v>
      </c>
      <c r="B1022" s="2">
        <v>83</v>
      </c>
      <c r="C1022" s="2">
        <v>71277420</v>
      </c>
      <c r="D1022" s="2" t="s">
        <v>709</v>
      </c>
      <c r="E1022" s="2" t="s">
        <v>1934</v>
      </c>
      <c r="F1022" s="2" t="s">
        <v>14</v>
      </c>
      <c r="G1022" s="2" t="s">
        <v>15</v>
      </c>
      <c r="H1022" s="2">
        <v>45000000</v>
      </c>
      <c r="I1022" s="2">
        <v>5.2</v>
      </c>
      <c r="J1022" s="2">
        <f t="shared" ref="J1022:J1276" si="8">(C1022-H1022)</f>
        <v>26277420</v>
      </c>
      <c r="K1022" s="2">
        <f t="shared" si="7"/>
        <v>-1.2575975155260368E-2</v>
      </c>
      <c r="L1022" s="2" t="str">
        <f>IF(ISNUMBER(SEARCH("|",IMDB_Movies!$D1022)),LEFT(IMDB_Movies!$D1022,SEARCH("|",IMDB_Movies!$D1022)-1),IMDB_Movies!$D1022)</f>
        <v>Comedy</v>
      </c>
      <c r="V1022" s="2"/>
      <c r="W1022" s="2"/>
    </row>
    <row r="1023" spans="1:23" ht="12.5" x14ac:dyDescent="0.25">
      <c r="A1023" s="2" t="s">
        <v>271</v>
      </c>
      <c r="B1023" s="2">
        <v>103</v>
      </c>
      <c r="C1023" s="2">
        <v>88625922</v>
      </c>
      <c r="D1023" s="2" t="s">
        <v>1935</v>
      </c>
      <c r="E1023" s="2" t="s">
        <v>1936</v>
      </c>
      <c r="F1023" s="2" t="s">
        <v>14</v>
      </c>
      <c r="G1023" s="2" t="s">
        <v>15</v>
      </c>
      <c r="H1023" s="2">
        <v>45000000</v>
      </c>
      <c r="I1023" s="2">
        <v>7.1</v>
      </c>
      <c r="J1023" s="2">
        <f t="shared" si="8"/>
        <v>43625922</v>
      </c>
      <c r="K1023" s="2">
        <f t="shared" ref="K1023:K1277" si="9">CORREL(H1023:H4808,C1023:C4808)</f>
        <v>-1.2603548507320539E-2</v>
      </c>
      <c r="L1023" s="2" t="str">
        <f>IF(ISNUMBER(SEARCH("|",IMDB_Movies!$D1023)),LEFT(IMDB_Movies!$D1023,SEARCH("|",IMDB_Movies!$D1023)-1),IMDB_Movies!$D1023)</f>
        <v>Adventure</v>
      </c>
      <c r="V1023" s="2"/>
      <c r="W1023" s="2"/>
    </row>
    <row r="1024" spans="1:23" ht="12.5" x14ac:dyDescent="0.25">
      <c r="A1024" s="2" t="s">
        <v>1033</v>
      </c>
      <c r="B1024" s="2">
        <v>110</v>
      </c>
      <c r="C1024" s="2">
        <v>70001065</v>
      </c>
      <c r="D1024" s="2" t="s">
        <v>1937</v>
      </c>
      <c r="E1024" s="2" t="s">
        <v>1938</v>
      </c>
      <c r="F1024" s="2" t="s">
        <v>14</v>
      </c>
      <c r="G1024" s="2" t="s">
        <v>15</v>
      </c>
      <c r="H1024" s="2">
        <v>45000000</v>
      </c>
      <c r="I1024" s="2">
        <v>7.1</v>
      </c>
      <c r="J1024" s="2">
        <f t="shared" si="8"/>
        <v>25001065</v>
      </c>
      <c r="K1024" s="2">
        <f t="shared" si="9"/>
        <v>-1.2644121558507342E-2</v>
      </c>
      <c r="L1024" s="2" t="str">
        <f>IF(ISNUMBER(SEARCH("|",IMDB_Movies!$D1024)),LEFT(IMDB_Movies!$D1024,SEARCH("|",IMDB_Movies!$D1024)-1),IMDB_Movies!$D1024)</f>
        <v>Action</v>
      </c>
      <c r="V1024" s="2"/>
      <c r="W1024" s="2"/>
    </row>
    <row r="1025" spans="1:23" ht="12.5" x14ac:dyDescent="0.25">
      <c r="A1025" s="2" t="s">
        <v>1939</v>
      </c>
      <c r="B1025" s="2">
        <v>136</v>
      </c>
      <c r="C1025" s="2">
        <v>67253092</v>
      </c>
      <c r="D1025" s="2" t="s">
        <v>1307</v>
      </c>
      <c r="E1025" s="2" t="s">
        <v>1940</v>
      </c>
      <c r="F1025" s="2" t="s">
        <v>14</v>
      </c>
      <c r="G1025" s="2" t="s">
        <v>15</v>
      </c>
      <c r="H1025" s="2">
        <v>30000000</v>
      </c>
      <c r="I1025" s="2">
        <v>7.2</v>
      </c>
      <c r="J1025" s="2">
        <f t="shared" si="8"/>
        <v>37253092</v>
      </c>
      <c r="K1025" s="2">
        <f t="shared" si="9"/>
        <v>-1.2670851089488655E-2</v>
      </c>
      <c r="L1025" s="2" t="str">
        <f>IF(ISNUMBER(SEARCH("|",IMDB_Movies!$D1025)),LEFT(IMDB_Movies!$D1025,SEARCH("|",IMDB_Movies!$D1025)-1),IMDB_Movies!$D1025)</f>
        <v>Drama</v>
      </c>
      <c r="V1025" s="2"/>
      <c r="W1025" s="2"/>
    </row>
    <row r="1026" spans="1:23" ht="12.5" x14ac:dyDescent="0.25">
      <c r="A1026" s="2" t="s">
        <v>1941</v>
      </c>
      <c r="B1026" s="2">
        <v>91</v>
      </c>
      <c r="C1026" s="2">
        <v>66790248</v>
      </c>
      <c r="D1026" s="2" t="s">
        <v>1400</v>
      </c>
      <c r="E1026" s="2" t="s">
        <v>1942</v>
      </c>
      <c r="F1026" s="2" t="s">
        <v>14</v>
      </c>
      <c r="G1026" s="2" t="s">
        <v>15</v>
      </c>
      <c r="H1026" s="2">
        <v>45000000</v>
      </c>
      <c r="I1026" s="2">
        <v>6.5</v>
      </c>
      <c r="J1026" s="2">
        <f t="shared" si="8"/>
        <v>21790248</v>
      </c>
      <c r="K1026" s="2">
        <f t="shared" si="9"/>
        <v>-1.2675681930383514E-2</v>
      </c>
      <c r="L1026" s="2" t="str">
        <f>IF(ISNUMBER(SEARCH("|",IMDB_Movies!$D1026)),LEFT(IMDB_Movies!$D1026,SEARCH("|",IMDB_Movies!$D1026)-1),IMDB_Movies!$D1026)</f>
        <v>Drama</v>
      </c>
      <c r="V1026" s="2"/>
      <c r="W1026" s="2"/>
    </row>
    <row r="1027" spans="1:23" ht="12.5" x14ac:dyDescent="0.25">
      <c r="A1027" s="2" t="s">
        <v>1943</v>
      </c>
      <c r="B1027" s="2">
        <v>89</v>
      </c>
      <c r="C1027" s="2">
        <v>65557989</v>
      </c>
      <c r="D1027" s="2" t="s">
        <v>1944</v>
      </c>
      <c r="E1027" s="2" t="s">
        <v>1945</v>
      </c>
      <c r="F1027" s="2" t="s">
        <v>14</v>
      </c>
      <c r="G1027" s="2" t="s">
        <v>15</v>
      </c>
      <c r="H1027" s="2">
        <v>45000000</v>
      </c>
      <c r="I1027" s="2">
        <v>4.5999999999999996</v>
      </c>
      <c r="J1027" s="2">
        <f t="shared" si="8"/>
        <v>20557989</v>
      </c>
      <c r="K1027" s="2">
        <f t="shared" si="9"/>
        <v>-1.270016105366892E-2</v>
      </c>
      <c r="L1027" s="2" t="str">
        <f>IF(ISNUMBER(SEARCH("|",IMDB_Movies!$D1027)),LEFT(IMDB_Movies!$D1027,SEARCH("|",IMDB_Movies!$D1027)-1),IMDB_Movies!$D1027)</f>
        <v>Action</v>
      </c>
      <c r="V1027" s="2"/>
      <c r="W1027" s="2"/>
    </row>
    <row r="1028" spans="1:23" ht="12.5" x14ac:dyDescent="0.25">
      <c r="A1028" s="2" t="s">
        <v>1402</v>
      </c>
      <c r="B1028" s="2">
        <v>107</v>
      </c>
      <c r="C1028" s="2">
        <v>60786269</v>
      </c>
      <c r="D1028" s="2" t="s">
        <v>1946</v>
      </c>
      <c r="E1028" s="2" t="s">
        <v>1947</v>
      </c>
      <c r="F1028" s="2" t="s">
        <v>14</v>
      </c>
      <c r="G1028" s="2" t="s">
        <v>15</v>
      </c>
      <c r="H1028" s="2">
        <v>45000000</v>
      </c>
      <c r="I1028" s="2">
        <v>5.6</v>
      </c>
      <c r="J1028" s="2">
        <f t="shared" si="8"/>
        <v>15786269</v>
      </c>
      <c r="K1028" s="2">
        <f t="shared" si="9"/>
        <v>-1.2723791962494598E-2</v>
      </c>
      <c r="L1028" s="2" t="str">
        <f>IF(ISNUMBER(SEARCH("|",IMDB_Movies!$D1028)),LEFT(IMDB_Movies!$D1028,SEARCH("|",IMDB_Movies!$D1028)-1),IMDB_Movies!$D1028)</f>
        <v>Comedy</v>
      </c>
      <c r="V1028" s="2"/>
      <c r="W1028" s="2"/>
    </row>
    <row r="1029" spans="1:23" ht="12.5" x14ac:dyDescent="0.25">
      <c r="A1029" s="2" t="s">
        <v>1948</v>
      </c>
      <c r="B1029" s="2">
        <v>129</v>
      </c>
      <c r="C1029" s="2">
        <v>59365105</v>
      </c>
      <c r="D1029" s="2" t="s">
        <v>514</v>
      </c>
      <c r="E1029" s="2" t="s">
        <v>1949</v>
      </c>
      <c r="F1029" s="2" t="s">
        <v>14</v>
      </c>
      <c r="G1029" s="2" t="s">
        <v>22</v>
      </c>
      <c r="H1029" s="2">
        <v>45000000</v>
      </c>
      <c r="I1029" s="2">
        <v>7.7</v>
      </c>
      <c r="J1029" s="2">
        <f t="shared" si="8"/>
        <v>14365105</v>
      </c>
      <c r="K1029" s="2">
        <f t="shared" si="9"/>
        <v>-1.2744101893696061E-2</v>
      </c>
      <c r="L1029" s="2" t="str">
        <f>IF(ISNUMBER(SEARCH("|",IMDB_Movies!$D1029)),LEFT(IMDB_Movies!$D1029,SEARCH("|",IMDB_Movies!$D1029)-1),IMDB_Movies!$D1029)</f>
        <v>Comedy</v>
      </c>
      <c r="V1029" s="2"/>
      <c r="W1029" s="2"/>
    </row>
    <row r="1030" spans="1:23" ht="12.5" x14ac:dyDescent="0.25">
      <c r="A1030" s="2" t="s">
        <v>115</v>
      </c>
      <c r="B1030" s="2">
        <v>95</v>
      </c>
      <c r="C1030" s="2">
        <v>162792677</v>
      </c>
      <c r="D1030" s="2" t="s">
        <v>106</v>
      </c>
      <c r="E1030" s="2" t="s">
        <v>1950</v>
      </c>
      <c r="F1030" s="2" t="s">
        <v>14</v>
      </c>
      <c r="G1030" s="2" t="s">
        <v>15</v>
      </c>
      <c r="H1030" s="2">
        <v>120000000</v>
      </c>
      <c r="I1030" s="2">
        <v>7.2</v>
      </c>
      <c r="J1030" s="2">
        <f t="shared" si="8"/>
        <v>42792677</v>
      </c>
      <c r="K1030" s="2">
        <f t="shared" si="9"/>
        <v>-1.2763447321239628E-2</v>
      </c>
      <c r="L1030" s="2" t="str">
        <f>IF(ISNUMBER(SEARCH("|",IMDB_Movies!$D1030)),LEFT(IMDB_Movies!$D1030,SEARCH("|",IMDB_Movies!$D1030)-1),IMDB_Movies!$D1030)</f>
        <v>Adventure</v>
      </c>
      <c r="V1030" s="2"/>
      <c r="W1030" s="2"/>
    </row>
    <row r="1031" spans="1:23" ht="12.5" x14ac:dyDescent="0.25">
      <c r="A1031" s="2" t="s">
        <v>929</v>
      </c>
      <c r="B1031" s="2">
        <v>122</v>
      </c>
      <c r="C1031" s="2">
        <v>31598308</v>
      </c>
      <c r="D1031" s="2" t="s">
        <v>1050</v>
      </c>
      <c r="E1031" s="2" t="s">
        <v>1951</v>
      </c>
      <c r="F1031" s="2" t="s">
        <v>14</v>
      </c>
      <c r="G1031" s="2" t="s">
        <v>15</v>
      </c>
      <c r="H1031" s="2">
        <v>35000000</v>
      </c>
      <c r="I1031" s="2">
        <v>6.8</v>
      </c>
      <c r="J1031" s="2">
        <f t="shared" si="8"/>
        <v>-3401692</v>
      </c>
      <c r="K1031" s="2">
        <f t="shared" si="9"/>
        <v>-1.3223786439191143E-2</v>
      </c>
      <c r="L1031" s="2" t="str">
        <f>IF(ISNUMBER(SEARCH("|",IMDB_Movies!$D1031)),LEFT(IMDB_Movies!$D1031,SEARCH("|",IMDB_Movies!$D1031)-1),IMDB_Movies!$D1031)</f>
        <v>Horror</v>
      </c>
      <c r="V1031" s="2"/>
      <c r="W1031" s="2"/>
    </row>
    <row r="1032" spans="1:23" ht="12.5" x14ac:dyDescent="0.25">
      <c r="A1032" s="2" t="s">
        <v>1943</v>
      </c>
      <c r="B1032" s="2">
        <v>110</v>
      </c>
      <c r="C1032" s="2">
        <v>57362581</v>
      </c>
      <c r="D1032" s="2" t="s">
        <v>1952</v>
      </c>
      <c r="E1032" s="2" t="s">
        <v>1953</v>
      </c>
      <c r="F1032" s="2" t="s">
        <v>14</v>
      </c>
      <c r="G1032" s="2" t="s">
        <v>1954</v>
      </c>
      <c r="H1032" s="2">
        <v>45000000</v>
      </c>
      <c r="I1032" s="2">
        <v>5.4</v>
      </c>
      <c r="J1032" s="2">
        <f t="shared" si="8"/>
        <v>12362581</v>
      </c>
      <c r="K1032" s="2">
        <f t="shared" si="9"/>
        <v>-1.322435504311947E-2</v>
      </c>
      <c r="L1032" s="2" t="str">
        <f>IF(ISNUMBER(SEARCH("|",IMDB_Movies!$D1032)),LEFT(IMDB_Movies!$D1032,SEARCH("|",IMDB_Movies!$D1032)-1),IMDB_Movies!$D1032)</f>
        <v>Action</v>
      </c>
      <c r="V1032" s="2"/>
      <c r="W1032" s="2"/>
    </row>
    <row r="1033" spans="1:23" ht="12.5" x14ac:dyDescent="0.25">
      <c r="A1033" s="2" t="s">
        <v>1097</v>
      </c>
      <c r="B1033" s="2">
        <v>135</v>
      </c>
      <c r="C1033" s="2">
        <v>53854588</v>
      </c>
      <c r="D1033" s="2" t="s">
        <v>1537</v>
      </c>
      <c r="E1033" s="2" t="s">
        <v>1955</v>
      </c>
      <c r="F1033" s="2" t="s">
        <v>14</v>
      </c>
      <c r="G1033" s="2" t="s">
        <v>15</v>
      </c>
      <c r="H1033" s="2">
        <v>45000000</v>
      </c>
      <c r="I1033" s="2">
        <v>6.3</v>
      </c>
      <c r="J1033" s="2">
        <f t="shared" si="8"/>
        <v>8854588</v>
      </c>
      <c r="K1033" s="2">
        <f t="shared" si="9"/>
        <v>-1.3242493093235117E-2</v>
      </c>
      <c r="L1033" s="2" t="str">
        <f>IF(ISNUMBER(SEARCH("|",IMDB_Movies!$D1033)),LEFT(IMDB_Movies!$D1033,SEARCH("|",IMDB_Movies!$D1033)-1),IMDB_Movies!$D1033)</f>
        <v>Comedy</v>
      </c>
      <c r="V1033" s="2"/>
      <c r="W1033" s="2"/>
    </row>
    <row r="1034" spans="1:23" ht="12.5" x14ac:dyDescent="0.25">
      <c r="A1034" s="2" t="s">
        <v>1573</v>
      </c>
      <c r="B1034" s="2">
        <v>95</v>
      </c>
      <c r="C1034" s="2">
        <v>52580895</v>
      </c>
      <c r="D1034" s="2" t="s">
        <v>1956</v>
      </c>
      <c r="E1034" s="2" t="s">
        <v>1957</v>
      </c>
      <c r="F1034" s="2" t="s">
        <v>14</v>
      </c>
      <c r="G1034" s="2" t="s">
        <v>15</v>
      </c>
      <c r="H1034" s="2">
        <v>45000000</v>
      </c>
      <c r="I1034" s="2">
        <v>5.6</v>
      </c>
      <c r="J1034" s="2">
        <f t="shared" si="8"/>
        <v>7580895</v>
      </c>
      <c r="K1034" s="2">
        <f t="shared" si="9"/>
        <v>-1.3258241756411186E-2</v>
      </c>
      <c r="L1034" s="2" t="str">
        <f>IF(ISNUMBER(SEARCH("|",IMDB_Movies!$D1034)),LEFT(IMDB_Movies!$D1034,SEARCH("|",IMDB_Movies!$D1034)-1),IMDB_Movies!$D1034)</f>
        <v>Comedy</v>
      </c>
      <c r="V1034" s="2"/>
      <c r="W1034" s="2"/>
    </row>
    <row r="1035" spans="1:23" ht="12.5" x14ac:dyDescent="0.25">
      <c r="A1035" s="2" t="s">
        <v>1958</v>
      </c>
      <c r="B1035" s="2">
        <v>109</v>
      </c>
      <c r="C1035" s="2">
        <v>51019112</v>
      </c>
      <c r="D1035" s="2" t="s">
        <v>670</v>
      </c>
      <c r="E1035" s="2" t="s">
        <v>1959</v>
      </c>
      <c r="F1035" s="2" t="s">
        <v>14</v>
      </c>
      <c r="G1035" s="2" t="s">
        <v>15</v>
      </c>
      <c r="H1035" s="2">
        <v>50000000</v>
      </c>
      <c r="I1035" s="2">
        <v>6.8</v>
      </c>
      <c r="J1035" s="2">
        <f t="shared" si="8"/>
        <v>1019112</v>
      </c>
      <c r="K1035" s="2">
        <f t="shared" si="9"/>
        <v>-1.3273139504273657E-2</v>
      </c>
      <c r="L1035" s="2" t="str">
        <f>IF(ISNUMBER(SEARCH("|",IMDB_Movies!$D1035)),LEFT(IMDB_Movies!$D1035,SEARCH("|",IMDB_Movies!$D1035)-1),IMDB_Movies!$D1035)</f>
        <v>Adventure</v>
      </c>
      <c r="V1035" s="2"/>
      <c r="W1035" s="2"/>
    </row>
    <row r="1036" spans="1:23" ht="12.5" x14ac:dyDescent="0.25">
      <c r="A1036" s="2" t="s">
        <v>1960</v>
      </c>
      <c r="B1036" s="2">
        <v>93</v>
      </c>
      <c r="C1036" s="2">
        <v>48114556</v>
      </c>
      <c r="D1036" s="2" t="s">
        <v>919</v>
      </c>
      <c r="E1036" s="2" t="s">
        <v>1961</v>
      </c>
      <c r="F1036" s="2" t="s">
        <v>14</v>
      </c>
      <c r="G1036" s="2" t="s">
        <v>15</v>
      </c>
      <c r="H1036" s="2">
        <v>26000000</v>
      </c>
      <c r="I1036" s="2">
        <v>4.3</v>
      </c>
      <c r="J1036" s="2">
        <f t="shared" si="8"/>
        <v>22114556</v>
      </c>
      <c r="K1036" s="2">
        <f t="shared" si="9"/>
        <v>-1.3290830715080042E-2</v>
      </c>
      <c r="L1036" s="2" t="str">
        <f>IF(ISNUMBER(SEARCH("|",IMDB_Movies!$D1036)),LEFT(IMDB_Movies!$D1036,SEARCH("|",IMDB_Movies!$D1036)-1),IMDB_Movies!$D1036)</f>
        <v>Comedy</v>
      </c>
      <c r="V1036" s="2"/>
      <c r="W1036" s="2"/>
    </row>
    <row r="1037" spans="1:23" ht="12.5" x14ac:dyDescent="0.25">
      <c r="A1037" s="2" t="s">
        <v>1962</v>
      </c>
      <c r="B1037" s="2">
        <v>94</v>
      </c>
      <c r="C1037" s="2">
        <v>50648679</v>
      </c>
      <c r="D1037" s="2" t="s">
        <v>790</v>
      </c>
      <c r="E1037" s="2" t="s">
        <v>1963</v>
      </c>
      <c r="F1037" s="2" t="s">
        <v>14</v>
      </c>
      <c r="G1037" s="2" t="s">
        <v>686</v>
      </c>
      <c r="H1037" s="2">
        <v>45000000</v>
      </c>
      <c r="I1037" s="2">
        <v>6.3</v>
      </c>
      <c r="J1037" s="2">
        <f t="shared" si="8"/>
        <v>5648679</v>
      </c>
      <c r="K1037" s="2">
        <f t="shared" si="9"/>
        <v>-1.3290147360994136E-2</v>
      </c>
      <c r="L1037" s="2" t="str">
        <f>IF(ISNUMBER(SEARCH("|",IMDB_Movies!$D1037)),LEFT(IMDB_Movies!$D1037,SEARCH("|",IMDB_Movies!$D1037)-1),IMDB_Movies!$D1037)</f>
        <v>Action</v>
      </c>
      <c r="V1037" s="2"/>
      <c r="W1037" s="2"/>
    </row>
    <row r="1038" spans="1:23" ht="12.5" x14ac:dyDescent="0.25">
      <c r="A1038" s="2" t="s">
        <v>581</v>
      </c>
      <c r="B1038" s="2">
        <v>117</v>
      </c>
      <c r="C1038" s="2">
        <v>46280507</v>
      </c>
      <c r="D1038" s="2" t="s">
        <v>600</v>
      </c>
      <c r="E1038" s="2" t="s">
        <v>1964</v>
      </c>
      <c r="F1038" s="2" t="s">
        <v>14</v>
      </c>
      <c r="G1038" s="2" t="s">
        <v>15</v>
      </c>
      <c r="H1038" s="2">
        <v>40000000</v>
      </c>
      <c r="I1038" s="2">
        <v>6.5</v>
      </c>
      <c r="J1038" s="2">
        <f t="shared" si="8"/>
        <v>6280507</v>
      </c>
      <c r="K1038" s="2">
        <f t="shared" si="9"/>
        <v>-1.3303772814273198E-2</v>
      </c>
      <c r="L1038" s="2" t="str">
        <f>IF(ISNUMBER(SEARCH("|",IMDB_Movies!$D1038)),LEFT(IMDB_Movies!$D1038,SEARCH("|",IMDB_Movies!$D1038)-1),IMDB_Movies!$D1038)</f>
        <v>Comedy</v>
      </c>
      <c r="V1038" s="2"/>
      <c r="W1038" s="2"/>
    </row>
    <row r="1039" spans="1:23" ht="12.5" x14ac:dyDescent="0.25">
      <c r="A1039" s="2" t="s">
        <v>1579</v>
      </c>
      <c r="B1039" s="2">
        <v>112</v>
      </c>
      <c r="C1039" s="2">
        <v>38360195</v>
      </c>
      <c r="D1039" s="2" t="s">
        <v>1822</v>
      </c>
      <c r="E1039" s="2" t="s">
        <v>1965</v>
      </c>
      <c r="F1039" s="2" t="s">
        <v>14</v>
      </c>
      <c r="G1039" s="2" t="s">
        <v>15</v>
      </c>
      <c r="H1039" s="2">
        <v>45000000</v>
      </c>
      <c r="I1039" s="2">
        <v>6.4</v>
      </c>
      <c r="J1039" s="2">
        <f t="shared" si="8"/>
        <v>-6639805</v>
      </c>
      <c r="K1039" s="2">
        <f t="shared" si="9"/>
        <v>-1.3311503245488137E-2</v>
      </c>
      <c r="L1039" s="2" t="str">
        <f>IF(ISNUMBER(SEARCH("|",IMDB_Movies!$D1039)),LEFT(IMDB_Movies!$D1039,SEARCH("|",IMDB_Movies!$D1039)-1),IMDB_Movies!$D1039)</f>
        <v>Adventure</v>
      </c>
      <c r="V1039" s="2"/>
      <c r="W1039" s="2"/>
    </row>
    <row r="1040" spans="1:23" ht="12.5" x14ac:dyDescent="0.25">
      <c r="A1040" s="2" t="s">
        <v>1671</v>
      </c>
      <c r="B1040" s="2">
        <v>111</v>
      </c>
      <c r="C1040" s="2">
        <v>46815748</v>
      </c>
      <c r="D1040" s="2" t="s">
        <v>1156</v>
      </c>
      <c r="E1040" s="2" t="s">
        <v>1966</v>
      </c>
      <c r="F1040" s="2" t="s">
        <v>14</v>
      </c>
      <c r="G1040" s="2" t="s">
        <v>15</v>
      </c>
      <c r="H1040" s="2">
        <v>45000000</v>
      </c>
      <c r="I1040" s="2">
        <v>6.3</v>
      </c>
      <c r="J1040" s="2">
        <f t="shared" si="8"/>
        <v>1815748</v>
      </c>
      <c r="K1040" s="2">
        <f t="shared" si="9"/>
        <v>-1.3317121626690041E-2</v>
      </c>
      <c r="L1040" s="2" t="str">
        <f>IF(ISNUMBER(SEARCH("|",IMDB_Movies!$D1040)),LEFT(IMDB_Movies!$D1040,SEARCH("|",IMDB_Movies!$D1040)-1),IMDB_Movies!$D1040)</f>
        <v>Action</v>
      </c>
      <c r="V1040" s="2"/>
      <c r="W1040" s="2"/>
    </row>
    <row r="1041" spans="1:23" ht="12.5" x14ac:dyDescent="0.25">
      <c r="A1041" s="2" t="s">
        <v>703</v>
      </c>
      <c r="B1041" s="2">
        <v>96</v>
      </c>
      <c r="C1041" s="2">
        <v>35617599</v>
      </c>
      <c r="D1041" s="2" t="s">
        <v>1967</v>
      </c>
      <c r="E1041" s="2" t="s">
        <v>1968</v>
      </c>
      <c r="F1041" s="2" t="s">
        <v>14</v>
      </c>
      <c r="G1041" s="2" t="s">
        <v>15</v>
      </c>
      <c r="H1041" s="2">
        <v>45000000</v>
      </c>
      <c r="I1041" s="2">
        <v>5.9</v>
      </c>
      <c r="J1041" s="2">
        <f t="shared" si="8"/>
        <v>-9382401</v>
      </c>
      <c r="K1041" s="2">
        <f t="shared" si="9"/>
        <v>-1.3328219185719669E-2</v>
      </c>
      <c r="L1041" s="2" t="str">
        <f>IF(ISNUMBER(SEARCH("|",IMDB_Movies!$D1041)),LEFT(IMDB_Movies!$D1041,SEARCH("|",IMDB_Movies!$D1041)-1),IMDB_Movies!$D1041)</f>
        <v>Drama</v>
      </c>
      <c r="V1041" s="2"/>
      <c r="W1041" s="2"/>
    </row>
    <row r="1042" spans="1:23" ht="12.5" x14ac:dyDescent="0.25">
      <c r="A1042" s="2" t="s">
        <v>284</v>
      </c>
      <c r="B1042" s="2">
        <v>141</v>
      </c>
      <c r="C1042" s="2">
        <v>47307550</v>
      </c>
      <c r="D1042" s="2" t="s">
        <v>763</v>
      </c>
      <c r="E1042" s="2" t="s">
        <v>1969</v>
      </c>
      <c r="F1042" s="2" t="s">
        <v>14</v>
      </c>
      <c r="G1042" s="2" t="s">
        <v>15</v>
      </c>
      <c r="H1042" s="2">
        <v>45000000</v>
      </c>
      <c r="I1042" s="2">
        <v>6.5</v>
      </c>
      <c r="J1042" s="2">
        <f t="shared" si="8"/>
        <v>2307550</v>
      </c>
      <c r="K1042" s="2">
        <f t="shared" si="9"/>
        <v>-1.3332119259409681E-2</v>
      </c>
      <c r="L1042" s="2" t="str">
        <f>IF(ISNUMBER(SEARCH("|",IMDB_Movies!$D1042)),LEFT(IMDB_Movies!$D1042,SEARCH("|",IMDB_Movies!$D1042)-1),IMDB_Movies!$D1042)</f>
        <v>Crime</v>
      </c>
      <c r="V1042" s="2"/>
      <c r="W1042" s="2"/>
    </row>
    <row r="1043" spans="1:23" ht="12.5" x14ac:dyDescent="0.25">
      <c r="A1043" s="2" t="s">
        <v>1970</v>
      </c>
      <c r="B1043" s="2">
        <v>94</v>
      </c>
      <c r="C1043" s="2">
        <v>32003620</v>
      </c>
      <c r="D1043" s="2" t="s">
        <v>125</v>
      </c>
      <c r="E1043" s="2" t="s">
        <v>1971</v>
      </c>
      <c r="F1043" s="2" t="s">
        <v>14</v>
      </c>
      <c r="G1043" s="2" t="s">
        <v>15</v>
      </c>
      <c r="H1043" s="2">
        <v>25000000</v>
      </c>
      <c r="I1043" s="2">
        <v>6.5</v>
      </c>
      <c r="J1043" s="2">
        <f t="shared" si="8"/>
        <v>7003620</v>
      </c>
      <c r="K1043" s="2">
        <f t="shared" si="9"/>
        <v>-1.334355688805847E-2</v>
      </c>
      <c r="L1043" s="2" t="str">
        <f>IF(ISNUMBER(SEARCH("|",IMDB_Movies!$D1043)),LEFT(IMDB_Movies!$D1043,SEARCH("|",IMDB_Movies!$D1043)-1),IMDB_Movies!$D1043)</f>
        <v>Action</v>
      </c>
      <c r="V1043" s="2"/>
      <c r="W1043" s="2"/>
    </row>
    <row r="1044" spans="1:23" ht="12.5" x14ac:dyDescent="0.25">
      <c r="A1044" s="2" t="s">
        <v>1972</v>
      </c>
      <c r="B1044" s="2">
        <v>87</v>
      </c>
      <c r="C1044" s="2">
        <v>27972410</v>
      </c>
      <c r="D1044" s="2" t="s">
        <v>582</v>
      </c>
      <c r="E1044" s="2" t="s">
        <v>1973</v>
      </c>
      <c r="F1044" s="2" t="s">
        <v>14</v>
      </c>
      <c r="G1044" s="2" t="s">
        <v>22</v>
      </c>
      <c r="H1044" s="2">
        <v>35000000</v>
      </c>
      <c r="I1044" s="2">
        <v>6.1</v>
      </c>
      <c r="J1044" s="2">
        <f t="shared" si="8"/>
        <v>-7027590</v>
      </c>
      <c r="K1044" s="2">
        <f t="shared" si="9"/>
        <v>-1.3343299135502773E-2</v>
      </c>
      <c r="L1044" s="2" t="str">
        <f>IF(ISNUMBER(SEARCH("|",IMDB_Movies!$D1044)),LEFT(IMDB_Movies!$D1044,SEARCH("|",IMDB_Movies!$D1044)-1),IMDB_Movies!$D1044)</f>
        <v>Action</v>
      </c>
      <c r="V1044" s="2"/>
      <c r="W1044" s="2"/>
    </row>
    <row r="1045" spans="1:23" ht="12.5" x14ac:dyDescent="0.25">
      <c r="A1045" s="2" t="s">
        <v>1974</v>
      </c>
      <c r="B1045" s="2">
        <v>88</v>
      </c>
      <c r="C1045" s="2">
        <v>28133159</v>
      </c>
      <c r="D1045" s="2" t="s">
        <v>106</v>
      </c>
      <c r="E1045" s="2" t="s">
        <v>1975</v>
      </c>
      <c r="F1045" s="2" t="s">
        <v>14</v>
      </c>
      <c r="G1045" s="2" t="s">
        <v>15</v>
      </c>
      <c r="H1045" s="2">
        <v>50000000</v>
      </c>
      <c r="I1045" s="2">
        <v>5.9</v>
      </c>
      <c r="J1045" s="2">
        <f t="shared" si="8"/>
        <v>-21866841</v>
      </c>
      <c r="K1045" s="2">
        <f t="shared" si="9"/>
        <v>-1.3342967751529053E-2</v>
      </c>
      <c r="L1045" s="2" t="str">
        <f>IF(ISNUMBER(SEARCH("|",IMDB_Movies!$D1045)),LEFT(IMDB_Movies!$D1045,SEARCH("|",IMDB_Movies!$D1045)-1),IMDB_Movies!$D1045)</f>
        <v>Adventure</v>
      </c>
      <c r="V1045" s="2"/>
      <c r="W1045" s="2"/>
    </row>
    <row r="1046" spans="1:23" ht="12.5" x14ac:dyDescent="0.25">
      <c r="A1046" s="2" t="s">
        <v>1976</v>
      </c>
      <c r="B1046" s="2">
        <v>177</v>
      </c>
      <c r="C1046" s="2">
        <v>27400000</v>
      </c>
      <c r="D1046" s="2" t="s">
        <v>28</v>
      </c>
      <c r="E1046" s="2" t="s">
        <v>1977</v>
      </c>
      <c r="F1046" s="2" t="s">
        <v>14</v>
      </c>
      <c r="G1046" s="2" t="s">
        <v>15</v>
      </c>
      <c r="H1046" s="2">
        <v>40000000</v>
      </c>
      <c r="I1046" s="2">
        <v>6.6</v>
      </c>
      <c r="J1046" s="2">
        <f t="shared" si="8"/>
        <v>-12600000</v>
      </c>
      <c r="K1046" s="2">
        <f t="shared" si="9"/>
        <v>-1.3342075160257868E-2</v>
      </c>
      <c r="L1046" s="2" t="str">
        <f>IF(ISNUMBER(SEARCH("|",IMDB_Movies!$D1046)),LEFT(IMDB_Movies!$D1046,SEARCH("|",IMDB_Movies!$D1046)-1),IMDB_Movies!$D1046)</f>
        <v>Action</v>
      </c>
      <c r="V1046" s="2"/>
      <c r="W1046" s="2"/>
    </row>
    <row r="1047" spans="1:23" ht="12.5" x14ac:dyDescent="0.25">
      <c r="A1047" s="2" t="s">
        <v>1978</v>
      </c>
      <c r="B1047" s="2">
        <v>133</v>
      </c>
      <c r="C1047" s="2">
        <v>24343673</v>
      </c>
      <c r="D1047" s="2" t="s">
        <v>1979</v>
      </c>
      <c r="E1047" s="2" t="s">
        <v>1980</v>
      </c>
      <c r="F1047" s="2" t="s">
        <v>14</v>
      </c>
      <c r="G1047" s="2" t="s">
        <v>15</v>
      </c>
      <c r="H1047" s="2">
        <v>45000000</v>
      </c>
      <c r="I1047" s="2">
        <v>7.4</v>
      </c>
      <c r="J1047" s="2">
        <f t="shared" si="8"/>
        <v>-20656327</v>
      </c>
      <c r="K1047" s="2">
        <f t="shared" si="9"/>
        <v>-1.3341268758826135E-2</v>
      </c>
      <c r="L1047" s="2" t="str">
        <f>IF(ISNUMBER(SEARCH("|",IMDB_Movies!$D1047)),LEFT(IMDB_Movies!$D1047,SEARCH("|",IMDB_Movies!$D1047)-1),IMDB_Movies!$D1047)</f>
        <v>Drama</v>
      </c>
      <c r="V1047" s="2"/>
      <c r="W1047" s="2"/>
    </row>
    <row r="1048" spans="1:23" ht="12.5" x14ac:dyDescent="0.25">
      <c r="A1048" s="2" t="s">
        <v>19</v>
      </c>
      <c r="B1048" s="2">
        <v>119</v>
      </c>
      <c r="C1048" s="2">
        <v>22877808</v>
      </c>
      <c r="D1048" s="2" t="s">
        <v>85</v>
      </c>
      <c r="E1048" s="2" t="s">
        <v>1981</v>
      </c>
      <c r="F1048" s="2" t="s">
        <v>14</v>
      </c>
      <c r="G1048" s="2" t="s">
        <v>15</v>
      </c>
      <c r="H1048" s="2">
        <v>35000000</v>
      </c>
      <c r="I1048" s="2">
        <v>7.3</v>
      </c>
      <c r="J1048" s="2">
        <f t="shared" si="8"/>
        <v>-12122192</v>
      </c>
      <c r="K1048" s="2">
        <f t="shared" si="9"/>
        <v>-1.3338307572195429E-2</v>
      </c>
      <c r="L1048" s="2" t="str">
        <f>IF(ISNUMBER(SEARCH("|",IMDB_Movies!$D1048)),LEFT(IMDB_Movies!$D1048,SEARCH("|",IMDB_Movies!$D1048)-1),IMDB_Movies!$D1048)</f>
        <v>Drama</v>
      </c>
      <c r="V1048" s="2"/>
      <c r="W1048" s="2"/>
    </row>
    <row r="1049" spans="1:23" ht="12.5" x14ac:dyDescent="0.25">
      <c r="A1049" s="2" t="s">
        <v>391</v>
      </c>
      <c r="B1049" s="2">
        <v>102</v>
      </c>
      <c r="C1049" s="2">
        <v>36883539</v>
      </c>
      <c r="D1049" s="2" t="s">
        <v>177</v>
      </c>
      <c r="E1049" s="2" t="s">
        <v>1982</v>
      </c>
      <c r="F1049" s="2" t="s">
        <v>14</v>
      </c>
      <c r="G1049" s="2" t="s">
        <v>287</v>
      </c>
      <c r="H1049" s="2">
        <v>52000000</v>
      </c>
      <c r="I1049" s="2">
        <v>6.6</v>
      </c>
      <c r="J1049" s="2">
        <f t="shared" si="8"/>
        <v>-15116461</v>
      </c>
      <c r="K1049" s="2">
        <f t="shared" si="9"/>
        <v>-1.3336739478166855E-2</v>
      </c>
      <c r="L1049" s="2" t="str">
        <f>IF(ISNUMBER(SEARCH("|",IMDB_Movies!$D1049)),LEFT(IMDB_Movies!$D1049,SEARCH("|",IMDB_Movies!$D1049)-1),IMDB_Movies!$D1049)</f>
        <v>Action</v>
      </c>
      <c r="V1049" s="2"/>
      <c r="W1049" s="2"/>
    </row>
    <row r="1050" spans="1:23" ht="12.5" x14ac:dyDescent="0.25">
      <c r="A1050" s="2" t="s">
        <v>1983</v>
      </c>
      <c r="B1050" s="2">
        <v>101</v>
      </c>
      <c r="C1050" s="2">
        <v>22531698</v>
      </c>
      <c r="D1050" s="2" t="s">
        <v>90</v>
      </c>
      <c r="E1050" s="2" t="s">
        <v>1984</v>
      </c>
      <c r="F1050" s="2" t="s">
        <v>14</v>
      </c>
      <c r="G1050" s="2" t="s">
        <v>686</v>
      </c>
      <c r="H1050" s="2">
        <v>70000000</v>
      </c>
      <c r="I1050" s="2">
        <v>5.6</v>
      </c>
      <c r="J1050" s="2">
        <f t="shared" si="8"/>
        <v>-47468302</v>
      </c>
      <c r="K1050" s="2">
        <f t="shared" si="9"/>
        <v>-1.3343332272791582E-2</v>
      </c>
      <c r="L1050" s="2" t="str">
        <f>IF(ISNUMBER(SEARCH("|",IMDB_Movies!$D1050)),LEFT(IMDB_Movies!$D1050,SEARCH("|",IMDB_Movies!$D1050)-1),IMDB_Movies!$D1050)</f>
        <v>Action</v>
      </c>
      <c r="V1050" s="2"/>
      <c r="W1050" s="2"/>
    </row>
    <row r="1051" spans="1:23" ht="12.5" x14ac:dyDescent="0.25">
      <c r="A1051" s="2" t="s">
        <v>1985</v>
      </c>
      <c r="B1051" s="2">
        <v>91</v>
      </c>
      <c r="C1051" s="2">
        <v>20400913</v>
      </c>
      <c r="D1051" s="2" t="s">
        <v>1232</v>
      </c>
      <c r="E1051" s="2" t="s">
        <v>1986</v>
      </c>
      <c r="F1051" s="2" t="s">
        <v>14</v>
      </c>
      <c r="G1051" s="2" t="s">
        <v>15</v>
      </c>
      <c r="H1051" s="2">
        <v>45000000</v>
      </c>
      <c r="I1051" s="2">
        <v>5.3</v>
      </c>
      <c r="J1051" s="2">
        <f t="shared" si="8"/>
        <v>-24599087</v>
      </c>
      <c r="K1051" s="2">
        <f t="shared" si="9"/>
        <v>-1.3333373663907234E-2</v>
      </c>
      <c r="L1051" s="2" t="str">
        <f>IF(ISNUMBER(SEARCH("|",IMDB_Movies!$D1051)),LEFT(IMDB_Movies!$D1051,SEARCH("|",IMDB_Movies!$D1051)-1),IMDB_Movies!$D1051)</f>
        <v>Action</v>
      </c>
      <c r="V1051" s="2"/>
      <c r="W1051" s="2"/>
    </row>
    <row r="1052" spans="1:23" ht="12.5" x14ac:dyDescent="0.25">
      <c r="A1052" s="2" t="s">
        <v>1449</v>
      </c>
      <c r="B1052" s="2">
        <v>117</v>
      </c>
      <c r="C1052" s="2">
        <v>20101861</v>
      </c>
      <c r="D1052" s="2" t="s">
        <v>875</v>
      </c>
      <c r="E1052" s="2" t="s">
        <v>1987</v>
      </c>
      <c r="F1052" s="2" t="s">
        <v>14</v>
      </c>
      <c r="G1052" s="2" t="s">
        <v>15</v>
      </c>
      <c r="H1052" s="2">
        <v>45000000</v>
      </c>
      <c r="I1052" s="2">
        <v>6</v>
      </c>
      <c r="J1052" s="2">
        <f t="shared" si="8"/>
        <v>-24898139</v>
      </c>
      <c r="K1052" s="2">
        <f t="shared" si="9"/>
        <v>-1.3328089322331108E-2</v>
      </c>
      <c r="L1052" s="2" t="str">
        <f>IF(ISNUMBER(SEARCH("|",IMDB_Movies!$D1052)),LEFT(IMDB_Movies!$D1052,SEARCH("|",IMDB_Movies!$D1052)-1),IMDB_Movies!$D1052)</f>
        <v>Comedy</v>
      </c>
      <c r="V1052" s="2"/>
      <c r="W1052" s="2"/>
    </row>
    <row r="1053" spans="1:23" ht="12.5" x14ac:dyDescent="0.25">
      <c r="A1053" s="2" t="s">
        <v>1988</v>
      </c>
      <c r="B1053" s="2">
        <v>86</v>
      </c>
      <c r="C1053" s="2">
        <v>25200412</v>
      </c>
      <c r="D1053" s="2" t="s">
        <v>1989</v>
      </c>
      <c r="E1053" s="2" t="s">
        <v>1990</v>
      </c>
      <c r="F1053" s="2" t="s">
        <v>14</v>
      </c>
      <c r="G1053" s="2" t="s">
        <v>15</v>
      </c>
      <c r="H1053" s="2">
        <v>45000000</v>
      </c>
      <c r="I1053" s="2">
        <v>5.4</v>
      </c>
      <c r="J1053" s="2">
        <f t="shared" si="8"/>
        <v>-19799588</v>
      </c>
      <c r="K1053" s="2">
        <f t="shared" si="9"/>
        <v>-1.3322627323230708E-2</v>
      </c>
      <c r="L1053" s="2" t="str">
        <f>IF(ISNUMBER(SEARCH("|",IMDB_Movies!$D1053)),LEFT(IMDB_Movies!$D1053,SEARCH("|",IMDB_Movies!$D1053)-1),IMDB_Movies!$D1053)</f>
        <v>Adventure</v>
      </c>
      <c r="V1053" s="2"/>
      <c r="W1053" s="2"/>
    </row>
    <row r="1054" spans="1:23" ht="12.5" x14ac:dyDescent="0.25">
      <c r="A1054" s="2" t="s">
        <v>1991</v>
      </c>
      <c r="B1054" s="2">
        <v>124</v>
      </c>
      <c r="C1054" s="2">
        <v>19719930</v>
      </c>
      <c r="D1054" s="2" t="s">
        <v>770</v>
      </c>
      <c r="E1054" s="2" t="s">
        <v>1992</v>
      </c>
      <c r="F1054" s="2" t="s">
        <v>14</v>
      </c>
      <c r="G1054" s="2" t="s">
        <v>15</v>
      </c>
      <c r="H1054" s="2">
        <v>45000000</v>
      </c>
      <c r="I1054" s="2">
        <v>6.8</v>
      </c>
      <c r="J1054" s="2">
        <f t="shared" si="8"/>
        <v>-25280070</v>
      </c>
      <c r="K1054" s="2">
        <f t="shared" si="9"/>
        <v>-1.3320161552167151E-2</v>
      </c>
      <c r="L1054" s="2" t="str">
        <f>IF(ISNUMBER(SEARCH("|",IMDB_Movies!$D1054)),LEFT(IMDB_Movies!$D1054,SEARCH("|",IMDB_Movies!$D1054)-1),IMDB_Movies!$D1054)</f>
        <v>Crime</v>
      </c>
      <c r="V1054" s="2"/>
      <c r="W1054" s="2"/>
    </row>
    <row r="1055" spans="1:23" ht="12.5" x14ac:dyDescent="0.25">
      <c r="A1055" s="2" t="s">
        <v>1993</v>
      </c>
      <c r="B1055" s="2">
        <v>134</v>
      </c>
      <c r="C1055" s="2">
        <v>19377727</v>
      </c>
      <c r="D1055" s="2" t="s">
        <v>1994</v>
      </c>
      <c r="E1055" s="2" t="s">
        <v>1995</v>
      </c>
      <c r="F1055" s="2" t="s">
        <v>14</v>
      </c>
      <c r="G1055" s="2" t="s">
        <v>15</v>
      </c>
      <c r="H1055" s="2">
        <v>45000000</v>
      </c>
      <c r="I1055" s="2">
        <v>6.4</v>
      </c>
      <c r="J1055" s="2">
        <f t="shared" si="8"/>
        <v>-25622273</v>
      </c>
      <c r="K1055" s="2">
        <f t="shared" si="9"/>
        <v>-1.3314470889164102E-2</v>
      </c>
      <c r="L1055" s="2" t="str">
        <f>IF(ISNUMBER(SEARCH("|",IMDB_Movies!$D1055)),LEFT(IMDB_Movies!$D1055,SEARCH("|",IMDB_Movies!$D1055)-1),IMDB_Movies!$D1055)</f>
        <v>Comedy</v>
      </c>
      <c r="V1055" s="2"/>
      <c r="W1055" s="2"/>
    </row>
    <row r="1056" spans="1:23" ht="12.5" x14ac:dyDescent="0.25">
      <c r="A1056" s="2" t="s">
        <v>1996</v>
      </c>
      <c r="B1056" s="2">
        <v>100</v>
      </c>
      <c r="C1056" s="2">
        <v>17300889</v>
      </c>
      <c r="D1056" s="2" t="s">
        <v>856</v>
      </c>
      <c r="E1056" s="2" t="s">
        <v>1997</v>
      </c>
      <c r="F1056" s="2" t="s">
        <v>14</v>
      </c>
      <c r="G1056" s="2" t="s">
        <v>135</v>
      </c>
      <c r="H1056" s="2">
        <v>45000000</v>
      </c>
      <c r="I1056" s="2">
        <v>4.9000000000000004</v>
      </c>
      <c r="J1056" s="2">
        <f t="shared" si="8"/>
        <v>-27699111</v>
      </c>
      <c r="K1056" s="2">
        <f t="shared" si="9"/>
        <v>-1.3308577690850604E-2</v>
      </c>
      <c r="L1056" s="2" t="str">
        <f>IF(ISNUMBER(SEARCH("|",IMDB_Movies!$D1056)),LEFT(IMDB_Movies!$D1056,SEARCH("|",IMDB_Movies!$D1056)-1),IMDB_Movies!$D1056)</f>
        <v>Action</v>
      </c>
      <c r="V1056" s="2"/>
      <c r="W1056" s="2"/>
    </row>
    <row r="1057" spans="1:23" ht="12.5" x14ac:dyDescent="0.25">
      <c r="A1057" s="2" t="s">
        <v>1998</v>
      </c>
      <c r="B1057" s="2">
        <v>220</v>
      </c>
      <c r="C1057" s="2">
        <v>15527125</v>
      </c>
      <c r="D1057" s="2" t="s">
        <v>1389</v>
      </c>
      <c r="E1057" s="2" t="s">
        <v>1999</v>
      </c>
      <c r="F1057" s="2" t="s">
        <v>14</v>
      </c>
      <c r="G1057" s="2" t="s">
        <v>15</v>
      </c>
      <c r="H1057" s="2">
        <v>57000000</v>
      </c>
      <c r="I1057" s="2">
        <v>5.8</v>
      </c>
      <c r="J1057" s="2">
        <f t="shared" si="8"/>
        <v>-41472875</v>
      </c>
      <c r="K1057" s="2">
        <f t="shared" si="9"/>
        <v>-1.3301484211617002E-2</v>
      </c>
      <c r="L1057" s="2" t="str">
        <f>IF(ISNUMBER(SEARCH("|",IMDB_Movies!$D1057)),LEFT(IMDB_Movies!$D1057,SEARCH("|",IMDB_Movies!$D1057)-1),IMDB_Movies!$D1057)</f>
        <v>Drama</v>
      </c>
      <c r="V1057" s="2"/>
      <c r="W1057" s="2"/>
    </row>
    <row r="1058" spans="1:23" ht="12.5" x14ac:dyDescent="0.25">
      <c r="A1058" s="2" t="s">
        <v>284</v>
      </c>
      <c r="B1058" s="2">
        <v>212</v>
      </c>
      <c r="C1058" s="2">
        <v>13560960</v>
      </c>
      <c r="D1058" s="2" t="s">
        <v>2000</v>
      </c>
      <c r="E1058" s="2" t="s">
        <v>2001</v>
      </c>
      <c r="F1058" s="2" t="s">
        <v>14</v>
      </c>
      <c r="G1058" s="2" t="s">
        <v>15</v>
      </c>
      <c r="H1058" s="2">
        <v>50000000</v>
      </c>
      <c r="I1058" s="2">
        <v>7.1</v>
      </c>
      <c r="J1058" s="2">
        <f t="shared" si="8"/>
        <v>-36439040</v>
      </c>
      <c r="K1058" s="2">
        <f t="shared" si="9"/>
        <v>-1.3287545268106866E-2</v>
      </c>
      <c r="L1058" s="2" t="str">
        <f>IF(ISNUMBER(SEARCH("|",IMDB_Movies!$D1058)),LEFT(IMDB_Movies!$D1058,SEARCH("|",IMDB_Movies!$D1058)-1),IMDB_Movies!$D1058)</f>
        <v>Biography</v>
      </c>
      <c r="V1058" s="2"/>
      <c r="W1058" s="2"/>
    </row>
    <row r="1059" spans="1:23" ht="12.5" x14ac:dyDescent="0.25">
      <c r="A1059" s="2" t="s">
        <v>1315</v>
      </c>
      <c r="B1059" s="2">
        <v>128</v>
      </c>
      <c r="C1059" s="2">
        <v>15523168</v>
      </c>
      <c r="D1059" s="2" t="s">
        <v>315</v>
      </c>
      <c r="E1059" s="2" t="s">
        <v>2002</v>
      </c>
      <c r="F1059" s="2" t="s">
        <v>14</v>
      </c>
      <c r="G1059" s="2" t="s">
        <v>686</v>
      </c>
      <c r="H1059" s="2">
        <v>45000000</v>
      </c>
      <c r="I1059" s="2">
        <v>7.2</v>
      </c>
      <c r="J1059" s="2">
        <f t="shared" si="8"/>
        <v>-29476832</v>
      </c>
      <c r="K1059" s="2">
        <f t="shared" si="9"/>
        <v>-1.3275538024865696E-2</v>
      </c>
      <c r="L1059" s="2" t="str">
        <f>IF(ISNUMBER(SEARCH("|",IMDB_Movies!$D1059)),LEFT(IMDB_Movies!$D1059,SEARCH("|",IMDB_Movies!$D1059)-1),IMDB_Movies!$D1059)</f>
        <v>Mystery</v>
      </c>
      <c r="V1059" s="2"/>
      <c r="W1059" s="2"/>
    </row>
    <row r="1060" spans="1:23" ht="12.5" x14ac:dyDescent="0.25">
      <c r="A1060" s="2" t="s">
        <v>210</v>
      </c>
      <c r="B1060" s="2">
        <v>106</v>
      </c>
      <c r="C1060" s="2">
        <v>11146409</v>
      </c>
      <c r="D1060" s="2" t="s">
        <v>1193</v>
      </c>
      <c r="E1060" s="2" t="s">
        <v>2003</v>
      </c>
      <c r="F1060" s="2" t="s">
        <v>14</v>
      </c>
      <c r="G1060" s="2" t="s">
        <v>15</v>
      </c>
      <c r="H1060" s="2">
        <v>45000000</v>
      </c>
      <c r="I1060" s="2">
        <v>6</v>
      </c>
      <c r="J1060" s="2">
        <f t="shared" si="8"/>
        <v>-33853591</v>
      </c>
      <c r="K1060" s="2">
        <f t="shared" si="9"/>
        <v>-1.326740932664263E-2</v>
      </c>
      <c r="L1060" s="2" t="str">
        <f>IF(ISNUMBER(SEARCH("|",IMDB_Movies!$D1060)),LEFT(IMDB_Movies!$D1060,SEARCH("|",IMDB_Movies!$D1060)-1),IMDB_Movies!$D1060)</f>
        <v>Action</v>
      </c>
      <c r="V1060" s="2"/>
      <c r="W1060" s="2"/>
    </row>
    <row r="1061" spans="1:23" ht="12.5" x14ac:dyDescent="0.25">
      <c r="A1061" s="2" t="s">
        <v>1725</v>
      </c>
      <c r="B1061" s="2">
        <v>160</v>
      </c>
      <c r="C1061" s="2">
        <v>7916887</v>
      </c>
      <c r="D1061" s="2" t="s">
        <v>2004</v>
      </c>
      <c r="E1061" s="2" t="s">
        <v>2005</v>
      </c>
      <c r="F1061" s="2" t="s">
        <v>14</v>
      </c>
      <c r="G1061" s="2" t="s">
        <v>15</v>
      </c>
      <c r="H1061" s="2">
        <v>45000000</v>
      </c>
      <c r="I1061" s="2">
        <v>6</v>
      </c>
      <c r="J1061" s="2">
        <f t="shared" si="8"/>
        <v>-37083113</v>
      </c>
      <c r="K1061" s="2">
        <f t="shared" si="9"/>
        <v>-1.3256816536656333E-2</v>
      </c>
      <c r="L1061" s="2" t="str">
        <f>IF(ISNUMBER(SEARCH("|",IMDB_Movies!$D1061)),LEFT(IMDB_Movies!$D1061,SEARCH("|",IMDB_Movies!$D1061)-1),IMDB_Movies!$D1061)</f>
        <v>Action</v>
      </c>
      <c r="V1061" s="2"/>
      <c r="W1061" s="2"/>
    </row>
    <row r="1062" spans="1:23" ht="12.5" x14ac:dyDescent="0.25">
      <c r="A1062" s="2" t="s">
        <v>696</v>
      </c>
      <c r="B1062" s="2">
        <v>114</v>
      </c>
      <c r="C1062" s="2">
        <v>6565495</v>
      </c>
      <c r="D1062" s="2" t="s">
        <v>85</v>
      </c>
      <c r="E1062" s="2" t="s">
        <v>2006</v>
      </c>
      <c r="F1062" s="2" t="s">
        <v>699</v>
      </c>
      <c r="G1062" s="2" t="s">
        <v>331</v>
      </c>
      <c r="H1062" s="2">
        <v>45000000</v>
      </c>
      <c r="I1062" s="2">
        <v>7</v>
      </c>
      <c r="J1062" s="2">
        <f t="shared" si="8"/>
        <v>-38434505</v>
      </c>
      <c r="K1062" s="2">
        <f t="shared" si="9"/>
        <v>-1.3244438651620134E-2</v>
      </c>
      <c r="L1062" s="2" t="str">
        <f>IF(ISNUMBER(SEARCH("|",IMDB_Movies!$D1062)),LEFT(IMDB_Movies!$D1062,SEARCH("|",IMDB_Movies!$D1062)-1),IMDB_Movies!$D1062)</f>
        <v>Drama</v>
      </c>
      <c r="V1062" s="2"/>
      <c r="W1062" s="2"/>
    </row>
    <row r="1063" spans="1:23" ht="12.5" x14ac:dyDescent="0.25">
      <c r="A1063" s="2" t="s">
        <v>2007</v>
      </c>
      <c r="B1063" s="2">
        <v>99</v>
      </c>
      <c r="C1063" s="2">
        <v>15279680</v>
      </c>
      <c r="D1063" s="2" t="s">
        <v>125</v>
      </c>
      <c r="E1063" s="2" t="s">
        <v>2008</v>
      </c>
      <c r="F1063" s="2" t="s">
        <v>14</v>
      </c>
      <c r="G1063" s="2" t="s">
        <v>15</v>
      </c>
      <c r="H1063" s="2">
        <v>40000000</v>
      </c>
      <c r="I1063" s="2">
        <v>5.4</v>
      </c>
      <c r="J1063" s="2">
        <f t="shared" si="8"/>
        <v>-24720320</v>
      </c>
      <c r="K1063" s="2">
        <f t="shared" si="9"/>
        <v>-1.3231316144432372E-2</v>
      </c>
      <c r="L1063" s="2" t="str">
        <f>IF(ISNUMBER(SEARCH("|",IMDB_Movies!$D1063)),LEFT(IMDB_Movies!$D1063,SEARCH("|",IMDB_Movies!$D1063)-1),IMDB_Movies!$D1063)</f>
        <v>Action</v>
      </c>
      <c r="V1063" s="2"/>
      <c r="W1063" s="2"/>
    </row>
    <row r="1064" spans="1:23" ht="12.5" x14ac:dyDescent="0.25">
      <c r="A1064" s="2" t="s">
        <v>67</v>
      </c>
      <c r="B1064" s="2">
        <v>74</v>
      </c>
      <c r="C1064" s="2">
        <v>7262288</v>
      </c>
      <c r="D1064" s="2" t="s">
        <v>2009</v>
      </c>
      <c r="E1064" s="2" t="s">
        <v>2010</v>
      </c>
      <c r="F1064" s="2" t="s">
        <v>14</v>
      </c>
      <c r="G1064" s="2" t="s">
        <v>15</v>
      </c>
      <c r="H1064" s="2">
        <v>40000000</v>
      </c>
      <c r="I1064" s="2">
        <v>6.5</v>
      </c>
      <c r="J1064" s="2">
        <f t="shared" si="8"/>
        <v>-32737712</v>
      </c>
      <c r="K1064" s="2">
        <f t="shared" si="9"/>
        <v>-1.3225501155282707E-2</v>
      </c>
      <c r="L1064" s="2" t="str">
        <f>IF(ISNUMBER(SEARCH("|",IMDB_Movies!$D1064)),LEFT(IMDB_Movies!$D1064,SEARCH("|",IMDB_Movies!$D1064)-1),IMDB_Movies!$D1064)</f>
        <v>Comedy</v>
      </c>
      <c r="V1064" s="2"/>
      <c r="W1064" s="2"/>
    </row>
    <row r="1065" spans="1:23" ht="12.5" x14ac:dyDescent="0.25">
      <c r="A1065" s="2" t="s">
        <v>136</v>
      </c>
      <c r="B1065" s="2">
        <v>139</v>
      </c>
      <c r="C1065" s="2">
        <v>4584886</v>
      </c>
      <c r="D1065" s="2" t="s">
        <v>85</v>
      </c>
      <c r="E1065" s="2" t="s">
        <v>2011</v>
      </c>
      <c r="F1065" s="2" t="s">
        <v>14</v>
      </c>
      <c r="G1065" s="2" t="s">
        <v>15</v>
      </c>
      <c r="H1065" s="2">
        <v>45000000</v>
      </c>
      <c r="I1065" s="2">
        <v>6.4</v>
      </c>
      <c r="J1065" s="2">
        <f t="shared" si="8"/>
        <v>-40415114</v>
      </c>
      <c r="K1065" s="2">
        <f t="shared" si="9"/>
        <v>-1.3216639260485712E-2</v>
      </c>
      <c r="L1065" s="2" t="str">
        <f>IF(ISNUMBER(SEARCH("|",IMDB_Movies!$D1065)),LEFT(IMDB_Movies!$D1065,SEARCH("|",IMDB_Movies!$D1065)-1),IMDB_Movies!$D1065)</f>
        <v>Drama</v>
      </c>
      <c r="V1065" s="2"/>
      <c r="W1065" s="2"/>
    </row>
    <row r="1066" spans="1:23" ht="12.5" x14ac:dyDescent="0.25">
      <c r="A1066" s="2" t="s">
        <v>2012</v>
      </c>
      <c r="B1066" s="2">
        <v>103</v>
      </c>
      <c r="C1066" s="2">
        <v>2154540</v>
      </c>
      <c r="D1066" s="2" t="s">
        <v>25</v>
      </c>
      <c r="E1066" s="2" t="s">
        <v>2013</v>
      </c>
      <c r="F1066" s="2" t="s">
        <v>14</v>
      </c>
      <c r="G1066" s="2" t="s">
        <v>15</v>
      </c>
      <c r="H1066" s="2">
        <v>45000000</v>
      </c>
      <c r="I1066" s="2">
        <v>4.9000000000000004</v>
      </c>
      <c r="J1066" s="2">
        <f t="shared" si="8"/>
        <v>-42845460</v>
      </c>
      <c r="K1066" s="2">
        <f t="shared" si="9"/>
        <v>-1.3202421864509314E-2</v>
      </c>
      <c r="L1066" s="2" t="str">
        <f>IF(ISNUMBER(SEARCH("|",IMDB_Movies!$D1066)),LEFT(IMDB_Movies!$D1066,SEARCH("|",IMDB_Movies!$D1066)-1),IMDB_Movies!$D1066)</f>
        <v>Action</v>
      </c>
      <c r="V1066" s="2"/>
      <c r="W1066" s="2"/>
    </row>
    <row r="1067" spans="1:23" ht="12.5" x14ac:dyDescent="0.25">
      <c r="A1067" s="2" t="s">
        <v>2014</v>
      </c>
      <c r="B1067" s="2">
        <v>101</v>
      </c>
      <c r="C1067" s="2">
        <v>8129455</v>
      </c>
      <c r="D1067" s="2" t="s">
        <v>498</v>
      </c>
      <c r="E1067" s="2" t="s">
        <v>2015</v>
      </c>
      <c r="F1067" s="2" t="s">
        <v>14</v>
      </c>
      <c r="G1067" s="2" t="s">
        <v>15</v>
      </c>
      <c r="H1067" s="2">
        <v>45000000</v>
      </c>
      <c r="I1067" s="2">
        <v>6.3</v>
      </c>
      <c r="J1067" s="2">
        <f t="shared" si="8"/>
        <v>-36870545</v>
      </c>
      <c r="K1067" s="2">
        <f t="shared" si="9"/>
        <v>-1.318689806276975E-2</v>
      </c>
      <c r="L1067" s="2" t="str">
        <f>IF(ISNUMBER(SEARCH("|",IMDB_Movies!$D1067)),LEFT(IMDB_Movies!$D1067,SEARCH("|",IMDB_Movies!$D1067)-1),IMDB_Movies!$D1067)</f>
        <v>Action</v>
      </c>
      <c r="V1067" s="2"/>
      <c r="W1067" s="2"/>
    </row>
    <row r="1068" spans="1:23" ht="12.5" x14ac:dyDescent="0.25">
      <c r="A1068" s="2" t="s">
        <v>2016</v>
      </c>
      <c r="B1068" s="2">
        <v>130</v>
      </c>
      <c r="C1068" s="2">
        <v>136019448</v>
      </c>
      <c r="D1068" s="2" t="s">
        <v>2017</v>
      </c>
      <c r="E1068" s="2" t="s">
        <v>2018</v>
      </c>
      <c r="F1068" s="2" t="s">
        <v>14</v>
      </c>
      <c r="G1068" s="2" t="s">
        <v>15</v>
      </c>
      <c r="H1068" s="2">
        <v>44500000</v>
      </c>
      <c r="I1068" s="2">
        <v>7.7</v>
      </c>
      <c r="J1068" s="2">
        <f t="shared" si="8"/>
        <v>91519448</v>
      </c>
      <c r="K1068" s="2">
        <f t="shared" si="9"/>
        <v>-1.3174575826577578E-2</v>
      </c>
      <c r="L1068" s="2" t="str">
        <f>IF(ISNUMBER(SEARCH("|",IMDB_Movies!$D1068)),LEFT(IMDB_Movies!$D1068,SEARCH("|",IMDB_Movies!$D1068)-1),IMDB_Movies!$D1068)</f>
        <v>Biography</v>
      </c>
      <c r="V1068" s="2"/>
      <c r="W1068" s="2"/>
    </row>
    <row r="1069" spans="1:23" ht="12.5" x14ac:dyDescent="0.25">
      <c r="A1069" s="2" t="s">
        <v>864</v>
      </c>
      <c r="B1069" s="2">
        <v>130</v>
      </c>
      <c r="C1069" s="2">
        <v>183875760</v>
      </c>
      <c r="D1069" s="2" t="s">
        <v>2019</v>
      </c>
      <c r="E1069" s="2" t="s">
        <v>2020</v>
      </c>
      <c r="F1069" s="2" t="s">
        <v>14</v>
      </c>
      <c r="G1069" s="2" t="s">
        <v>15</v>
      </c>
      <c r="H1069" s="2">
        <v>44000000</v>
      </c>
      <c r="I1069" s="2">
        <v>7.8</v>
      </c>
      <c r="J1069" s="2">
        <f t="shared" si="8"/>
        <v>139875760</v>
      </c>
      <c r="K1069" s="2">
        <f t="shared" si="9"/>
        <v>-1.3255640278500961E-2</v>
      </c>
      <c r="L1069" s="2" t="str">
        <f>IF(ISNUMBER(SEARCH("|",IMDB_Movies!$D1069)),LEFT(IMDB_Movies!$D1069,SEARCH("|",IMDB_Movies!$D1069)-1),IMDB_Movies!$D1069)</f>
        <v>Action</v>
      </c>
      <c r="V1069" s="2"/>
      <c r="W1069" s="2"/>
    </row>
    <row r="1070" spans="1:23" ht="12.5" x14ac:dyDescent="0.25">
      <c r="A1070" s="2" t="s">
        <v>1087</v>
      </c>
      <c r="B1070" s="2">
        <v>110</v>
      </c>
      <c r="C1070" s="2">
        <v>67061228</v>
      </c>
      <c r="D1070" s="2" t="s">
        <v>517</v>
      </c>
      <c r="E1070" s="2" t="s">
        <v>2021</v>
      </c>
      <c r="F1070" s="2" t="s">
        <v>14</v>
      </c>
      <c r="G1070" s="2" t="s">
        <v>15</v>
      </c>
      <c r="H1070" s="2">
        <v>40000000</v>
      </c>
      <c r="I1070" s="2">
        <v>5.5</v>
      </c>
      <c r="J1070" s="2">
        <f t="shared" si="8"/>
        <v>27061228</v>
      </c>
      <c r="K1070" s="2">
        <f t="shared" si="9"/>
        <v>-1.3382468333345218E-2</v>
      </c>
      <c r="L1070" s="2" t="str">
        <f>IF(ISNUMBER(SEARCH("|",IMDB_Movies!$D1070)),LEFT(IMDB_Movies!$D1070,SEARCH("|",IMDB_Movies!$D1070)-1),IMDB_Movies!$D1070)</f>
        <v>Action</v>
      </c>
      <c r="V1070" s="2"/>
      <c r="W1070" s="2"/>
    </row>
    <row r="1071" spans="1:23" ht="12.5" x14ac:dyDescent="0.25">
      <c r="A1071" s="2" t="s">
        <v>1081</v>
      </c>
      <c r="B1071" s="2">
        <v>147</v>
      </c>
      <c r="C1071" s="2">
        <v>53300852</v>
      </c>
      <c r="D1071" s="2" t="s">
        <v>763</v>
      </c>
      <c r="E1071" s="2" t="s">
        <v>2022</v>
      </c>
      <c r="F1071" s="2" t="s">
        <v>14</v>
      </c>
      <c r="G1071" s="2" t="s">
        <v>15</v>
      </c>
      <c r="H1071" s="2">
        <v>44000000</v>
      </c>
      <c r="I1071" s="2">
        <v>7.5</v>
      </c>
      <c r="J1071" s="2">
        <f t="shared" si="8"/>
        <v>9300852</v>
      </c>
      <c r="K1071" s="2">
        <f t="shared" si="9"/>
        <v>-1.3401274174715927E-2</v>
      </c>
      <c r="L1071" s="2" t="str">
        <f>IF(ISNUMBER(SEARCH("|",IMDB_Movies!$D1071)),LEFT(IMDB_Movies!$D1071,SEARCH("|",IMDB_Movies!$D1071)-1),IMDB_Movies!$D1071)</f>
        <v>Crime</v>
      </c>
      <c r="V1071" s="2"/>
      <c r="W1071" s="2"/>
    </row>
    <row r="1072" spans="1:23" ht="12.5" x14ac:dyDescent="0.25">
      <c r="A1072" s="2" t="s">
        <v>2012</v>
      </c>
      <c r="B1072" s="2">
        <v>96</v>
      </c>
      <c r="C1072" s="2">
        <v>150415432</v>
      </c>
      <c r="D1072" s="2" t="s">
        <v>1535</v>
      </c>
      <c r="E1072" s="2" t="s">
        <v>2023</v>
      </c>
      <c r="F1072" s="2" t="s">
        <v>14</v>
      </c>
      <c r="G1072" s="2" t="s">
        <v>15</v>
      </c>
      <c r="H1072" s="2">
        <v>44000000</v>
      </c>
      <c r="I1072" s="2">
        <v>6.4</v>
      </c>
      <c r="J1072" s="2">
        <f t="shared" si="8"/>
        <v>106415432</v>
      </c>
      <c r="K1072" s="2">
        <f t="shared" si="9"/>
        <v>-1.341613546637809E-2</v>
      </c>
      <c r="L1072" s="2" t="str">
        <f>IF(ISNUMBER(SEARCH("|",IMDB_Movies!$D1072)),LEFT(IMDB_Movies!$D1072,SEARCH("|",IMDB_Movies!$D1072)-1),IMDB_Movies!$D1072)</f>
        <v>Action</v>
      </c>
      <c r="V1072" s="2"/>
      <c r="W1072" s="2"/>
    </row>
    <row r="1073" spans="1:23" ht="12.5" x14ac:dyDescent="0.25">
      <c r="A1073" s="2" t="s">
        <v>2024</v>
      </c>
      <c r="B1073" s="2">
        <v>118</v>
      </c>
      <c r="C1073" s="2">
        <v>44834712</v>
      </c>
      <c r="D1073" s="2" t="s">
        <v>1400</v>
      </c>
      <c r="E1073" s="2" t="s">
        <v>2025</v>
      </c>
      <c r="F1073" s="2" t="s">
        <v>14</v>
      </c>
      <c r="G1073" s="2" t="s">
        <v>15</v>
      </c>
      <c r="H1073" s="2">
        <v>44000000</v>
      </c>
      <c r="I1073" s="2">
        <v>5.6</v>
      </c>
      <c r="J1073" s="2">
        <f t="shared" si="8"/>
        <v>834712</v>
      </c>
      <c r="K1073" s="2">
        <f t="shared" si="9"/>
        <v>-1.3509860669773454E-2</v>
      </c>
      <c r="L1073" s="2" t="str">
        <f>IF(ISNUMBER(SEARCH("|",IMDB_Movies!$D1073)),LEFT(IMDB_Movies!$D1073,SEARCH("|",IMDB_Movies!$D1073)-1),IMDB_Movies!$D1073)</f>
        <v>Drama</v>
      </c>
      <c r="V1073" s="2"/>
      <c r="W1073" s="2"/>
    </row>
    <row r="1074" spans="1:23" ht="12.5" x14ac:dyDescent="0.25">
      <c r="A1074" s="2" t="s">
        <v>2026</v>
      </c>
      <c r="B1074" s="2">
        <v>88</v>
      </c>
      <c r="C1074" s="2">
        <v>84300000</v>
      </c>
      <c r="D1074" s="2" t="s">
        <v>2027</v>
      </c>
      <c r="E1074" s="2" t="s">
        <v>2028</v>
      </c>
      <c r="F1074" s="2" t="s">
        <v>14</v>
      </c>
      <c r="G1074" s="2" t="s">
        <v>15</v>
      </c>
      <c r="H1074" s="2">
        <v>2600000</v>
      </c>
      <c r="I1074" s="2">
        <v>7.5</v>
      </c>
      <c r="J1074" s="2">
        <f t="shared" si="8"/>
        <v>81700000</v>
      </c>
      <c r="K1074" s="2">
        <f t="shared" si="9"/>
        <v>-1.3519338462847958E-2</v>
      </c>
      <c r="L1074" s="2" t="str">
        <f>IF(ISNUMBER(SEARCH("|",IMDB_Movies!$D1074)),LEFT(IMDB_Movies!$D1074,SEARCH("|",IMDB_Movies!$D1074)-1),IMDB_Movies!$D1074)</f>
        <v>Animation</v>
      </c>
      <c r="V1074" s="2"/>
      <c r="W1074" s="2"/>
    </row>
    <row r="1075" spans="1:23" ht="12.5" x14ac:dyDescent="0.25">
      <c r="A1075" s="2" t="s">
        <v>2029</v>
      </c>
      <c r="B1075" s="2">
        <v>325</v>
      </c>
      <c r="C1075" s="2">
        <v>1500000</v>
      </c>
      <c r="D1075" s="2" t="s">
        <v>2030</v>
      </c>
      <c r="E1075" s="2" t="s">
        <v>2031</v>
      </c>
      <c r="F1075" s="2" t="s">
        <v>14</v>
      </c>
      <c r="G1075" s="2" t="s">
        <v>15</v>
      </c>
      <c r="H1075" s="2">
        <v>44000000</v>
      </c>
      <c r="I1075" s="2">
        <v>6.8</v>
      </c>
      <c r="J1075" s="2">
        <f t="shared" si="8"/>
        <v>-42500000</v>
      </c>
      <c r="K1075" s="2">
        <f t="shared" si="9"/>
        <v>-1.3475171239438184E-2</v>
      </c>
      <c r="L1075" s="2" t="str">
        <f>IF(ISNUMBER(SEARCH("|",IMDB_Movies!$D1075)),LEFT(IMDB_Movies!$D1075,SEARCH("|",IMDB_Movies!$D1075)-1),IMDB_Movies!$D1075)</f>
        <v>Adventure</v>
      </c>
      <c r="V1075" s="2"/>
      <c r="W1075" s="2"/>
    </row>
    <row r="1076" spans="1:23" ht="12.5" x14ac:dyDescent="0.25">
      <c r="A1076" s="2" t="s">
        <v>578</v>
      </c>
      <c r="B1076" s="2">
        <v>102</v>
      </c>
      <c r="C1076" s="2">
        <v>62318875</v>
      </c>
      <c r="D1076" s="2" t="s">
        <v>102</v>
      </c>
      <c r="E1076" s="2" t="s">
        <v>2032</v>
      </c>
      <c r="F1076" s="2" t="s">
        <v>14</v>
      </c>
      <c r="G1076" s="2" t="s">
        <v>15</v>
      </c>
      <c r="H1076" s="2">
        <v>50000000</v>
      </c>
      <c r="I1076" s="2">
        <v>6.8</v>
      </c>
      <c r="J1076" s="2">
        <f t="shared" si="8"/>
        <v>12318875</v>
      </c>
      <c r="K1076" s="2">
        <f t="shared" si="9"/>
        <v>-1.346026741843079E-2</v>
      </c>
      <c r="L1076" s="2" t="str">
        <f>IF(ISNUMBER(SEARCH("|",IMDB_Movies!$D1076)),LEFT(IMDB_Movies!$D1076,SEARCH("|",IMDB_Movies!$D1076)-1),IMDB_Movies!$D1076)</f>
        <v>Action</v>
      </c>
      <c r="V1076" s="2"/>
      <c r="W1076" s="2"/>
    </row>
    <row r="1077" spans="1:23" ht="12.5" x14ac:dyDescent="0.25">
      <c r="A1077" s="2" t="s">
        <v>2033</v>
      </c>
      <c r="B1077" s="2">
        <v>110</v>
      </c>
      <c r="C1077" s="2">
        <v>5773519</v>
      </c>
      <c r="D1077" s="2" t="s">
        <v>1260</v>
      </c>
      <c r="E1077" s="2" t="s">
        <v>2034</v>
      </c>
      <c r="F1077" s="2" t="s">
        <v>14</v>
      </c>
      <c r="G1077" s="2" t="s">
        <v>15</v>
      </c>
      <c r="H1077" s="2">
        <v>40000000</v>
      </c>
      <c r="I1077" s="2">
        <v>6</v>
      </c>
      <c r="J1077" s="2">
        <f t="shared" si="8"/>
        <v>-34226481</v>
      </c>
      <c r="K1077" s="2">
        <f t="shared" si="9"/>
        <v>-1.3488377920378644E-2</v>
      </c>
      <c r="L1077" s="2" t="str">
        <f>IF(ISNUMBER(SEARCH("|",IMDB_Movies!$D1077)),LEFT(IMDB_Movies!$D1077,SEARCH("|",IMDB_Movies!$D1077)-1),IMDB_Movies!$D1077)</f>
        <v>Drama</v>
      </c>
      <c r="V1077" s="2"/>
      <c r="W1077" s="2"/>
    </row>
    <row r="1078" spans="1:23" ht="12.5" x14ac:dyDescent="0.25">
      <c r="A1078" s="2" t="s">
        <v>2035</v>
      </c>
      <c r="B1078" s="2">
        <v>136</v>
      </c>
      <c r="C1078" s="2">
        <v>51768623</v>
      </c>
      <c r="D1078" s="2" t="s">
        <v>1180</v>
      </c>
      <c r="E1078" s="2" t="s">
        <v>2036</v>
      </c>
      <c r="F1078" s="2" t="s">
        <v>14</v>
      </c>
      <c r="G1078" s="2" t="s">
        <v>15</v>
      </c>
      <c r="H1078" s="2">
        <v>43000000</v>
      </c>
      <c r="I1078" s="2">
        <v>7.3</v>
      </c>
      <c r="J1078" s="2">
        <f t="shared" si="8"/>
        <v>8768623</v>
      </c>
      <c r="K1078" s="2">
        <f t="shared" si="9"/>
        <v>-1.3478934287905621E-2</v>
      </c>
      <c r="L1078" s="2" t="str">
        <f>IF(ISNUMBER(SEARCH("|",IMDB_Movies!$D1078)),LEFT(IMDB_Movies!$D1078,SEARCH("|",IMDB_Movies!$D1078)-1),IMDB_Movies!$D1078)</f>
        <v>Drama</v>
      </c>
      <c r="V1078" s="2"/>
      <c r="W1078" s="2"/>
    </row>
    <row r="1079" spans="1:23" ht="12.5" x14ac:dyDescent="0.25">
      <c r="A1079" s="2" t="s">
        <v>1139</v>
      </c>
      <c r="B1079" s="2">
        <v>103</v>
      </c>
      <c r="C1079" s="2">
        <v>37035515</v>
      </c>
      <c r="D1079" s="2" t="s">
        <v>891</v>
      </c>
      <c r="E1079" s="2" t="s">
        <v>2037</v>
      </c>
      <c r="F1079" s="2" t="s">
        <v>14</v>
      </c>
      <c r="G1079" s="2" t="s">
        <v>15</v>
      </c>
      <c r="H1079" s="2">
        <v>43000000</v>
      </c>
      <c r="I1079" s="2">
        <v>6</v>
      </c>
      <c r="J1079" s="2">
        <f t="shared" si="8"/>
        <v>-5964485</v>
      </c>
      <c r="K1079" s="2">
        <f t="shared" si="9"/>
        <v>-1.3492100524636804E-2</v>
      </c>
      <c r="L1079" s="2" t="str">
        <f>IF(ISNUMBER(SEARCH("|",IMDB_Movies!$D1079)),LEFT(IMDB_Movies!$D1079,SEARCH("|",IMDB_Movies!$D1079)-1),IMDB_Movies!$D1079)</f>
        <v>Comedy</v>
      </c>
      <c r="V1079" s="2"/>
      <c r="W1079" s="2"/>
    </row>
    <row r="1080" spans="1:23" ht="12.5" x14ac:dyDescent="0.25">
      <c r="A1080" s="2" t="s">
        <v>413</v>
      </c>
      <c r="B1080" s="2">
        <v>103</v>
      </c>
      <c r="C1080" s="2">
        <v>24520892</v>
      </c>
      <c r="D1080" s="2" t="s">
        <v>177</v>
      </c>
      <c r="E1080" s="2" t="s">
        <v>2038</v>
      </c>
      <c r="F1080" s="2" t="s">
        <v>14</v>
      </c>
      <c r="G1080" s="2" t="s">
        <v>686</v>
      </c>
      <c r="H1080" s="2">
        <v>45000000</v>
      </c>
      <c r="I1080" s="2">
        <v>7</v>
      </c>
      <c r="J1080" s="2">
        <f t="shared" si="8"/>
        <v>-20479108</v>
      </c>
      <c r="K1080" s="2">
        <f t="shared" si="9"/>
        <v>-1.3496493259559065E-2</v>
      </c>
      <c r="L1080" s="2" t="str">
        <f>IF(ISNUMBER(SEARCH("|",IMDB_Movies!$D1080)),LEFT(IMDB_Movies!$D1080,SEARCH("|",IMDB_Movies!$D1080)-1),IMDB_Movies!$D1080)</f>
        <v>Action</v>
      </c>
      <c r="V1080" s="2"/>
      <c r="W1080" s="2"/>
    </row>
    <row r="1081" spans="1:23" ht="12.5" x14ac:dyDescent="0.25">
      <c r="A1081" s="2" t="s">
        <v>2039</v>
      </c>
      <c r="B1081" s="2">
        <v>90</v>
      </c>
      <c r="C1081" s="2">
        <v>24430272</v>
      </c>
      <c r="D1081" s="2" t="s">
        <v>600</v>
      </c>
      <c r="E1081" s="2" t="s">
        <v>2040</v>
      </c>
      <c r="F1081" s="2" t="s">
        <v>14</v>
      </c>
      <c r="G1081" s="2" t="s">
        <v>15</v>
      </c>
      <c r="H1081" s="2">
        <v>43000000</v>
      </c>
      <c r="I1081" s="2">
        <v>5.0999999999999996</v>
      </c>
      <c r="J1081" s="2">
        <f t="shared" si="8"/>
        <v>-18569728</v>
      </c>
      <c r="K1081" s="2">
        <f t="shared" si="9"/>
        <v>-1.3493638005975642E-2</v>
      </c>
      <c r="L1081" s="2" t="str">
        <f>IF(ISNUMBER(SEARCH("|",IMDB_Movies!$D1081)),LEFT(IMDB_Movies!$D1081,SEARCH("|",IMDB_Movies!$D1081)-1),IMDB_Movies!$D1081)</f>
        <v>Comedy</v>
      </c>
      <c r="V1081" s="2"/>
      <c r="W1081" s="2"/>
    </row>
    <row r="1082" spans="1:23" ht="12.5" x14ac:dyDescent="0.25">
      <c r="A1082" s="2" t="s">
        <v>792</v>
      </c>
      <c r="B1082" s="2">
        <v>154</v>
      </c>
      <c r="C1082" s="2">
        <v>158348400</v>
      </c>
      <c r="D1082" s="2" t="s">
        <v>690</v>
      </c>
      <c r="E1082" s="2" t="s">
        <v>2041</v>
      </c>
      <c r="F1082" s="2" t="s">
        <v>14</v>
      </c>
      <c r="G1082" s="2" t="s">
        <v>15</v>
      </c>
      <c r="H1082" s="2">
        <v>42000000</v>
      </c>
      <c r="I1082" s="2">
        <v>6.8</v>
      </c>
      <c r="J1082" s="2">
        <f t="shared" si="8"/>
        <v>116348400</v>
      </c>
      <c r="K1082" s="2">
        <f t="shared" si="9"/>
        <v>-1.3491063642606859E-2</v>
      </c>
      <c r="L1082" s="2" t="str">
        <f>IF(ISNUMBER(SEARCH("|",IMDB_Movies!$D1082)),LEFT(IMDB_Movies!$D1082,SEARCH("|",IMDB_Movies!$D1082)-1),IMDB_Movies!$D1082)</f>
        <v>Drama</v>
      </c>
      <c r="V1082" s="2"/>
      <c r="W1082" s="2"/>
    </row>
    <row r="1083" spans="1:23" ht="12.5" x14ac:dyDescent="0.25">
      <c r="A1083" s="2" t="s">
        <v>2042</v>
      </c>
      <c r="B1083" s="2">
        <v>99</v>
      </c>
      <c r="C1083" s="2">
        <v>31136950</v>
      </c>
      <c r="D1083" s="2" t="s">
        <v>256</v>
      </c>
      <c r="E1083" s="2" t="s">
        <v>2043</v>
      </c>
      <c r="F1083" s="2" t="s">
        <v>14</v>
      </c>
      <c r="G1083" s="2" t="s">
        <v>15</v>
      </c>
      <c r="H1083" s="2">
        <v>44000000</v>
      </c>
      <c r="I1083" s="2">
        <v>6.5</v>
      </c>
      <c r="J1083" s="2">
        <f t="shared" si="8"/>
        <v>-12863050</v>
      </c>
      <c r="K1083" s="2">
        <f t="shared" si="9"/>
        <v>-1.3584107347932112E-2</v>
      </c>
      <c r="L1083" s="2" t="str">
        <f>IF(ISNUMBER(SEARCH("|",IMDB_Movies!$D1083)),LEFT(IMDB_Movies!$D1083,SEARCH("|",IMDB_Movies!$D1083)-1),IMDB_Movies!$D1083)</f>
        <v>Drama</v>
      </c>
      <c r="V1083" s="2"/>
      <c r="W1083" s="2"/>
    </row>
    <row r="1084" spans="1:23" ht="12.5" x14ac:dyDescent="0.25">
      <c r="A1084" s="2" t="s">
        <v>636</v>
      </c>
      <c r="B1084" s="2">
        <v>93</v>
      </c>
      <c r="C1084" s="2">
        <v>29113588</v>
      </c>
      <c r="D1084" s="2" t="s">
        <v>125</v>
      </c>
      <c r="E1084" s="2" t="s">
        <v>2044</v>
      </c>
      <c r="F1084" s="2" t="s">
        <v>14</v>
      </c>
      <c r="G1084" s="2" t="s">
        <v>15</v>
      </c>
      <c r="H1084" s="2">
        <v>40000000</v>
      </c>
      <c r="I1084" s="2">
        <v>6.6</v>
      </c>
      <c r="J1084" s="2">
        <f t="shared" si="8"/>
        <v>-10886412</v>
      </c>
      <c r="K1084" s="2">
        <f t="shared" si="9"/>
        <v>-1.358527902415884E-2</v>
      </c>
      <c r="L1084" s="2" t="str">
        <f>IF(ISNUMBER(SEARCH("|",IMDB_Movies!$D1084)),LEFT(IMDB_Movies!$D1084,SEARCH("|",IMDB_Movies!$D1084)-1),IMDB_Movies!$D1084)</f>
        <v>Action</v>
      </c>
      <c r="V1084" s="2"/>
      <c r="W1084" s="2"/>
    </row>
    <row r="1085" spans="1:23" ht="12.5" x14ac:dyDescent="0.25">
      <c r="A1085" s="2" t="s">
        <v>754</v>
      </c>
      <c r="B1085" s="2">
        <v>109</v>
      </c>
      <c r="C1085" s="2">
        <v>138447667</v>
      </c>
      <c r="D1085" s="2" t="s">
        <v>623</v>
      </c>
      <c r="E1085" s="2" t="s">
        <v>2045</v>
      </c>
      <c r="F1085" s="2" t="s">
        <v>14</v>
      </c>
      <c r="G1085" s="2" t="s">
        <v>15</v>
      </c>
      <c r="H1085" s="2">
        <v>42000000</v>
      </c>
      <c r="I1085" s="2">
        <v>7.2</v>
      </c>
      <c r="J1085" s="2">
        <f t="shared" si="8"/>
        <v>96447667</v>
      </c>
      <c r="K1085" s="2">
        <f t="shared" si="9"/>
        <v>-1.3585263234479223E-2</v>
      </c>
      <c r="L1085" s="2" t="str">
        <f>IF(ISNUMBER(SEARCH("|",IMDB_Movies!$D1085)),LEFT(IMDB_Movies!$D1085,SEARCH("|",IMDB_Movies!$D1085)-1),IMDB_Movies!$D1085)</f>
        <v>Action</v>
      </c>
      <c r="V1085" s="2"/>
      <c r="W1085" s="2"/>
    </row>
    <row r="1086" spans="1:23" ht="12.5" x14ac:dyDescent="0.25">
      <c r="A1086" s="2" t="s">
        <v>1941</v>
      </c>
      <c r="B1086" s="2">
        <v>124</v>
      </c>
      <c r="C1086" s="2">
        <v>116006080</v>
      </c>
      <c r="D1086" s="2" t="s">
        <v>514</v>
      </c>
      <c r="E1086" s="2" t="s">
        <v>2046</v>
      </c>
      <c r="F1086" s="2" t="s">
        <v>14</v>
      </c>
      <c r="G1086" s="2" t="s">
        <v>22</v>
      </c>
      <c r="H1086" s="2">
        <v>42000000</v>
      </c>
      <c r="I1086" s="2">
        <v>7</v>
      </c>
      <c r="J1086" s="2">
        <f t="shared" si="8"/>
        <v>74006080</v>
      </c>
      <c r="K1086" s="2">
        <f t="shared" si="9"/>
        <v>-1.366086889181546E-2</v>
      </c>
      <c r="L1086" s="2" t="str">
        <f>IF(ISNUMBER(SEARCH("|",IMDB_Movies!$D1086)),LEFT(IMDB_Movies!$D1086,SEARCH("|",IMDB_Movies!$D1086)-1),IMDB_Movies!$D1086)</f>
        <v>Comedy</v>
      </c>
      <c r="V1086" s="2"/>
      <c r="W1086" s="2"/>
    </row>
    <row r="1087" spans="1:23" ht="12.5" x14ac:dyDescent="0.25">
      <c r="A1087" s="2" t="s">
        <v>1618</v>
      </c>
      <c r="B1087" s="2">
        <v>84</v>
      </c>
      <c r="C1087" s="2">
        <v>106793915</v>
      </c>
      <c r="D1087" s="2" t="s">
        <v>320</v>
      </c>
      <c r="E1087" s="2" t="s">
        <v>2047</v>
      </c>
      <c r="F1087" s="2" t="s">
        <v>14</v>
      </c>
      <c r="G1087" s="2" t="s">
        <v>22</v>
      </c>
      <c r="H1087" s="2">
        <v>45000000</v>
      </c>
      <c r="I1087" s="2">
        <v>7</v>
      </c>
      <c r="J1087" s="2">
        <f t="shared" si="8"/>
        <v>61793915</v>
      </c>
      <c r="K1087" s="2">
        <f t="shared" si="9"/>
        <v>-1.3717982813870853E-2</v>
      </c>
      <c r="L1087" s="2" t="str">
        <f>IF(ISNUMBER(SEARCH("|",IMDB_Movies!$D1087)),LEFT(IMDB_Movies!$D1087,SEARCH("|",IMDB_Movies!$D1087)-1),IMDB_Movies!$D1087)</f>
        <v>Adventure</v>
      </c>
      <c r="V1087" s="2"/>
      <c r="W1087" s="2"/>
    </row>
    <row r="1088" spans="1:23" ht="12.5" x14ac:dyDescent="0.25">
      <c r="A1088" s="2" t="s">
        <v>2048</v>
      </c>
      <c r="B1088" s="2">
        <v>90</v>
      </c>
      <c r="C1088" s="2">
        <v>87856565</v>
      </c>
      <c r="D1088" s="2" t="s">
        <v>600</v>
      </c>
      <c r="E1088" s="2" t="s">
        <v>2049</v>
      </c>
      <c r="F1088" s="2" t="s">
        <v>14</v>
      </c>
      <c r="G1088" s="2" t="s">
        <v>15</v>
      </c>
      <c r="H1088" s="2">
        <v>42000000</v>
      </c>
      <c r="I1088" s="2">
        <v>5.9</v>
      </c>
      <c r="J1088" s="2">
        <f t="shared" si="8"/>
        <v>45856565</v>
      </c>
      <c r="K1088" s="2">
        <f t="shared" si="9"/>
        <v>-1.377634370723506E-2</v>
      </c>
      <c r="L1088" s="2" t="str">
        <f>IF(ISNUMBER(SEARCH("|",IMDB_Movies!$D1088)),LEFT(IMDB_Movies!$D1088,SEARCH("|",IMDB_Movies!$D1088)-1),IMDB_Movies!$D1088)</f>
        <v>Comedy</v>
      </c>
      <c r="V1088" s="2"/>
      <c r="W1088" s="2"/>
    </row>
    <row r="1089" spans="1:23" ht="12.5" x14ac:dyDescent="0.25">
      <c r="A1089" s="2" t="s">
        <v>2050</v>
      </c>
      <c r="B1089" s="2">
        <v>117</v>
      </c>
      <c r="C1089" s="2">
        <v>70100000</v>
      </c>
      <c r="D1089" s="2" t="s">
        <v>514</v>
      </c>
      <c r="E1089" s="2" t="s">
        <v>2051</v>
      </c>
      <c r="F1089" s="2" t="s">
        <v>14</v>
      </c>
      <c r="G1089" s="2" t="s">
        <v>15</v>
      </c>
      <c r="H1089" s="2">
        <v>40000000</v>
      </c>
      <c r="I1089" s="2">
        <v>5.4</v>
      </c>
      <c r="J1089" s="2">
        <f t="shared" si="8"/>
        <v>30100000</v>
      </c>
      <c r="K1089" s="2">
        <f t="shared" si="9"/>
        <v>-1.3812427378307918E-2</v>
      </c>
      <c r="L1089" s="2" t="str">
        <f>IF(ISNUMBER(SEARCH("|",IMDB_Movies!$D1089)),LEFT(IMDB_Movies!$D1089,SEARCH("|",IMDB_Movies!$D1089)-1),IMDB_Movies!$D1089)</f>
        <v>Comedy</v>
      </c>
      <c r="V1089" s="2"/>
      <c r="W1089" s="2"/>
    </row>
    <row r="1090" spans="1:23" ht="12.5" x14ac:dyDescent="0.25">
      <c r="A1090" s="2" t="s">
        <v>358</v>
      </c>
      <c r="B1090" s="2">
        <v>123</v>
      </c>
      <c r="C1090" s="2">
        <v>159578352</v>
      </c>
      <c r="D1090" s="2" t="s">
        <v>623</v>
      </c>
      <c r="E1090" s="2" t="s">
        <v>2052</v>
      </c>
      <c r="F1090" s="2" t="s">
        <v>14</v>
      </c>
      <c r="G1090" s="2" t="s">
        <v>15</v>
      </c>
      <c r="H1090" s="2">
        <v>43000000</v>
      </c>
      <c r="I1090" s="2">
        <v>6.6</v>
      </c>
      <c r="J1090" s="2">
        <f t="shared" si="8"/>
        <v>116578352</v>
      </c>
      <c r="K1090" s="2">
        <f t="shared" si="9"/>
        <v>-1.3833509687916037E-2</v>
      </c>
      <c r="L1090" s="2" t="str">
        <f>IF(ISNUMBER(SEARCH("|",IMDB_Movies!$D1090)),LEFT(IMDB_Movies!$D1090,SEARCH("|",IMDB_Movies!$D1090)-1),IMDB_Movies!$D1090)</f>
        <v>Action</v>
      </c>
      <c r="V1090" s="2"/>
      <c r="W1090" s="2"/>
    </row>
    <row r="1091" spans="1:23" ht="12.5" x14ac:dyDescent="0.25">
      <c r="A1091" s="2" t="s">
        <v>2053</v>
      </c>
      <c r="B1091" s="2">
        <v>251</v>
      </c>
      <c r="C1091" s="2">
        <v>57750000</v>
      </c>
      <c r="D1091" s="2" t="s">
        <v>2054</v>
      </c>
      <c r="E1091" s="2" t="s">
        <v>2055</v>
      </c>
      <c r="F1091" s="2" t="s">
        <v>14</v>
      </c>
      <c r="G1091" s="2" t="s">
        <v>22</v>
      </c>
      <c r="H1091" s="2">
        <v>31115000</v>
      </c>
      <c r="I1091" s="2">
        <v>7</v>
      </c>
      <c r="J1091" s="2">
        <f t="shared" si="8"/>
        <v>26635000</v>
      </c>
      <c r="K1091" s="2">
        <f t="shared" si="9"/>
        <v>-1.3934151462060632E-2</v>
      </c>
      <c r="L1091" s="2" t="str">
        <f>IF(ISNUMBER(SEARCH("|",IMDB_Movies!$D1091)),LEFT(IMDB_Movies!$D1091,SEARCH("|",IMDB_Movies!$D1091)-1),IMDB_Movies!$D1091)</f>
        <v>Biography</v>
      </c>
      <c r="V1091" s="2"/>
      <c r="W1091" s="2"/>
    </row>
    <row r="1092" spans="1:23" ht="12.5" x14ac:dyDescent="0.25">
      <c r="A1092" s="2" t="s">
        <v>581</v>
      </c>
      <c r="B1092" s="2">
        <v>105</v>
      </c>
      <c r="C1092" s="2">
        <v>45290318</v>
      </c>
      <c r="D1092" s="2" t="s">
        <v>1120</v>
      </c>
      <c r="E1092" s="2" t="s">
        <v>2056</v>
      </c>
      <c r="F1092" s="2" t="s">
        <v>14</v>
      </c>
      <c r="G1092" s="2" t="s">
        <v>15</v>
      </c>
      <c r="H1092" s="2">
        <v>42000000</v>
      </c>
      <c r="I1092" s="2">
        <v>6.5</v>
      </c>
      <c r="J1092" s="2">
        <f t="shared" si="8"/>
        <v>3290318</v>
      </c>
      <c r="K1092" s="2">
        <f t="shared" si="9"/>
        <v>-1.3939223374354125E-2</v>
      </c>
      <c r="L1092" s="2" t="str">
        <f>IF(ISNUMBER(SEARCH("|",IMDB_Movies!$D1092)),LEFT(IMDB_Movies!$D1092,SEARCH("|",IMDB_Movies!$D1092)-1),IMDB_Movies!$D1092)</f>
        <v>Action</v>
      </c>
      <c r="V1092" s="2"/>
      <c r="W1092" s="2"/>
    </row>
    <row r="1093" spans="1:23" ht="12.5" x14ac:dyDescent="0.25">
      <c r="A1093" s="2" t="s">
        <v>1790</v>
      </c>
      <c r="B1093" s="2">
        <v>115</v>
      </c>
      <c r="C1093" s="2">
        <v>41543207</v>
      </c>
      <c r="D1093" s="2" t="s">
        <v>770</v>
      </c>
      <c r="E1093" s="2" t="s">
        <v>2057</v>
      </c>
      <c r="F1093" s="2" t="s">
        <v>14</v>
      </c>
      <c r="G1093" s="2" t="s">
        <v>15</v>
      </c>
      <c r="H1093" s="2">
        <v>42000000</v>
      </c>
      <c r="I1093" s="2">
        <v>6.3</v>
      </c>
      <c r="J1093" s="2">
        <f t="shared" si="8"/>
        <v>-456793</v>
      </c>
      <c r="K1093" s="2">
        <f t="shared" si="9"/>
        <v>-1.3948144118432954E-2</v>
      </c>
      <c r="L1093" s="2" t="str">
        <f>IF(ISNUMBER(SEARCH("|",IMDB_Movies!$D1093)),LEFT(IMDB_Movies!$D1093,SEARCH("|",IMDB_Movies!$D1093)-1),IMDB_Movies!$D1093)</f>
        <v>Crime</v>
      </c>
      <c r="V1093" s="2"/>
      <c r="W1093" s="2"/>
    </row>
    <row r="1094" spans="1:23" ht="12.5" x14ac:dyDescent="0.25">
      <c r="A1094" s="2" t="s">
        <v>2058</v>
      </c>
      <c r="B1094" s="2">
        <v>122</v>
      </c>
      <c r="C1094" s="2">
        <v>41252428</v>
      </c>
      <c r="D1094" s="2" t="s">
        <v>514</v>
      </c>
      <c r="E1094" s="2" t="s">
        <v>2059</v>
      </c>
      <c r="F1094" s="2" t="s">
        <v>14</v>
      </c>
      <c r="G1094" s="2" t="s">
        <v>15</v>
      </c>
      <c r="H1094" s="2">
        <v>42000000</v>
      </c>
      <c r="I1094" s="2">
        <v>6.5</v>
      </c>
      <c r="J1094" s="2">
        <f t="shared" si="8"/>
        <v>-747572</v>
      </c>
      <c r="K1094" s="2">
        <f t="shared" si="9"/>
        <v>-1.3954946386173275E-2</v>
      </c>
      <c r="L1094" s="2" t="str">
        <f>IF(ISNUMBER(SEARCH("|",IMDB_Movies!$D1094)),LEFT(IMDB_Movies!$D1094,SEARCH("|",IMDB_Movies!$D1094)-1),IMDB_Movies!$D1094)</f>
        <v>Comedy</v>
      </c>
      <c r="V1094" s="2"/>
      <c r="W1094" s="2"/>
    </row>
    <row r="1095" spans="1:23" ht="12.5" x14ac:dyDescent="0.25">
      <c r="A1095" s="2" t="s">
        <v>2060</v>
      </c>
      <c r="B1095" s="2">
        <v>119</v>
      </c>
      <c r="C1095" s="2">
        <v>35228696</v>
      </c>
      <c r="D1095" s="2" t="s">
        <v>2061</v>
      </c>
      <c r="E1095" s="2" t="s">
        <v>2062</v>
      </c>
      <c r="F1095" s="2" t="s">
        <v>14</v>
      </c>
      <c r="G1095" s="2" t="s">
        <v>15</v>
      </c>
      <c r="H1095" s="2">
        <v>32000000</v>
      </c>
      <c r="I1095" s="2">
        <v>6.5</v>
      </c>
      <c r="J1095" s="2">
        <f t="shared" si="8"/>
        <v>3228696</v>
      </c>
      <c r="K1095" s="2">
        <f t="shared" si="9"/>
        <v>-1.3961590922206561E-2</v>
      </c>
      <c r="L1095" s="2" t="str">
        <f>IF(ISNUMBER(SEARCH("|",IMDB_Movies!$D1095)),LEFT(IMDB_Movies!$D1095,SEARCH("|",IMDB_Movies!$D1095)-1),IMDB_Movies!$D1095)</f>
        <v>Drama</v>
      </c>
      <c r="V1095" s="2"/>
      <c r="W1095" s="2"/>
    </row>
    <row r="1096" spans="1:23" ht="12.5" x14ac:dyDescent="0.25">
      <c r="A1096" s="2" t="s">
        <v>1286</v>
      </c>
      <c r="B1096" s="2">
        <v>81</v>
      </c>
      <c r="C1096" s="2">
        <v>59992760</v>
      </c>
      <c r="D1096" s="2" t="s">
        <v>709</v>
      </c>
      <c r="E1096" s="2" t="s">
        <v>2063</v>
      </c>
      <c r="F1096" s="2" t="s">
        <v>14</v>
      </c>
      <c r="G1096" s="2" t="s">
        <v>15</v>
      </c>
      <c r="H1096" s="2">
        <v>42000000</v>
      </c>
      <c r="I1096" s="2">
        <v>5.8</v>
      </c>
      <c r="J1096" s="2">
        <f t="shared" si="8"/>
        <v>17992760</v>
      </c>
      <c r="K1096" s="2">
        <f t="shared" si="9"/>
        <v>-1.3962665494646429E-2</v>
      </c>
      <c r="L1096" s="2" t="str">
        <f>IF(ISNUMBER(SEARCH("|",IMDB_Movies!$D1096)),LEFT(IMDB_Movies!$D1096,SEARCH("|",IMDB_Movies!$D1096)-1),IMDB_Movies!$D1096)</f>
        <v>Comedy</v>
      </c>
      <c r="V1096" s="2"/>
      <c r="W1096" s="2"/>
    </row>
    <row r="1097" spans="1:23" ht="12.5" x14ac:dyDescent="0.25">
      <c r="A1097" s="2" t="s">
        <v>2064</v>
      </c>
      <c r="B1097" s="2">
        <v>133</v>
      </c>
      <c r="C1097" s="2">
        <v>34667015</v>
      </c>
      <c r="D1097" s="2" t="s">
        <v>20</v>
      </c>
      <c r="E1097" s="2" t="s">
        <v>2065</v>
      </c>
      <c r="F1097" s="2" t="s">
        <v>14</v>
      </c>
      <c r="G1097" s="2" t="s">
        <v>22</v>
      </c>
      <c r="H1097" s="2">
        <v>32000000</v>
      </c>
      <c r="I1097" s="2">
        <v>6.6</v>
      </c>
      <c r="J1097" s="2">
        <f t="shared" si="8"/>
        <v>2667015</v>
      </c>
      <c r="K1097" s="2">
        <f t="shared" si="9"/>
        <v>-1.3980413238233893E-2</v>
      </c>
      <c r="L1097" s="2" t="str">
        <f>IF(ISNUMBER(SEARCH("|",IMDB_Movies!$D1097)),LEFT(IMDB_Movies!$D1097,SEARCH("|",IMDB_Movies!$D1097)-1),IMDB_Movies!$D1097)</f>
        <v>Action</v>
      </c>
      <c r="V1097" s="2"/>
      <c r="W1097" s="2"/>
    </row>
    <row r="1098" spans="1:23" ht="12.5" x14ac:dyDescent="0.25">
      <c r="A1098" s="2" t="s">
        <v>2066</v>
      </c>
      <c r="B1098" s="2">
        <v>100</v>
      </c>
      <c r="C1098" s="2">
        <v>37652565</v>
      </c>
      <c r="D1098" s="2" t="s">
        <v>934</v>
      </c>
      <c r="E1098" s="2" t="s">
        <v>2067</v>
      </c>
      <c r="F1098" s="2" t="s">
        <v>14</v>
      </c>
      <c r="G1098" s="2" t="s">
        <v>15</v>
      </c>
      <c r="H1098" s="2">
        <v>42000000</v>
      </c>
      <c r="I1098" s="2">
        <v>5.4</v>
      </c>
      <c r="J1098" s="2">
        <f t="shared" si="8"/>
        <v>-4347435</v>
      </c>
      <c r="K1098" s="2">
        <f t="shared" si="9"/>
        <v>-1.3981390516382391E-2</v>
      </c>
      <c r="L1098" s="2" t="str">
        <f>IF(ISNUMBER(SEARCH("|",IMDB_Movies!$D1098)),LEFT(IMDB_Movies!$D1098,SEARCH("|",IMDB_Movies!$D1098)-1),IMDB_Movies!$D1098)</f>
        <v>Fantasy</v>
      </c>
      <c r="V1098" s="2"/>
      <c r="W1098" s="2"/>
    </row>
    <row r="1099" spans="1:23" ht="12.5" x14ac:dyDescent="0.25">
      <c r="A1099" s="2" t="s">
        <v>2068</v>
      </c>
      <c r="B1099" s="2">
        <v>120</v>
      </c>
      <c r="C1099" s="2">
        <v>24375436</v>
      </c>
      <c r="D1099" s="2" t="s">
        <v>177</v>
      </c>
      <c r="E1099" s="2" t="s">
        <v>2069</v>
      </c>
      <c r="F1099" s="2" t="s">
        <v>14</v>
      </c>
      <c r="G1099" s="2" t="s">
        <v>15</v>
      </c>
      <c r="H1099" s="2">
        <v>42000000</v>
      </c>
      <c r="I1099" s="2">
        <v>6.1</v>
      </c>
      <c r="J1099" s="2">
        <f t="shared" si="8"/>
        <v>-17624564</v>
      </c>
      <c r="K1099" s="2">
        <f t="shared" si="9"/>
        <v>-1.3986056572468996E-2</v>
      </c>
      <c r="L1099" s="2" t="str">
        <f>IF(ISNUMBER(SEARCH("|",IMDB_Movies!$D1099)),LEFT(IMDB_Movies!$D1099,SEARCH("|",IMDB_Movies!$D1099)-1),IMDB_Movies!$D1099)</f>
        <v>Action</v>
      </c>
      <c r="V1099" s="2"/>
      <c r="W1099" s="2"/>
    </row>
    <row r="1100" spans="1:23" ht="12.5" x14ac:dyDescent="0.25">
      <c r="A1100" s="2" t="s">
        <v>2070</v>
      </c>
      <c r="B1100" s="2">
        <v>104</v>
      </c>
      <c r="C1100" s="2">
        <v>20915465</v>
      </c>
      <c r="D1100" s="2" t="s">
        <v>1989</v>
      </c>
      <c r="E1100" s="2" t="s">
        <v>2071</v>
      </c>
      <c r="F1100" s="2" t="s">
        <v>14</v>
      </c>
      <c r="G1100" s="2" t="s">
        <v>22</v>
      </c>
      <c r="H1100" s="2">
        <v>42000000</v>
      </c>
      <c r="I1100" s="2">
        <v>4</v>
      </c>
      <c r="J1100" s="2">
        <f t="shared" si="8"/>
        <v>-21084535</v>
      </c>
      <c r="K1100" s="2">
        <f t="shared" si="9"/>
        <v>-1.3983731962955622E-2</v>
      </c>
      <c r="L1100" s="2" t="str">
        <f>IF(ISNUMBER(SEARCH("|",IMDB_Movies!$D1100)),LEFT(IMDB_Movies!$D1100,SEARCH("|",IMDB_Movies!$D1100)-1),IMDB_Movies!$D1100)</f>
        <v>Adventure</v>
      </c>
      <c r="V1100" s="2"/>
      <c r="W1100" s="2"/>
    </row>
    <row r="1101" spans="1:23" ht="12.5" x14ac:dyDescent="0.25">
      <c r="A1101" s="2" t="s">
        <v>1813</v>
      </c>
      <c r="B1101" s="2">
        <v>122</v>
      </c>
      <c r="C1101" s="2">
        <v>24127895</v>
      </c>
      <c r="D1101" s="2" t="s">
        <v>763</v>
      </c>
      <c r="E1101" s="2" t="s">
        <v>2072</v>
      </c>
      <c r="F1101" s="2" t="s">
        <v>14</v>
      </c>
      <c r="G1101" s="2" t="s">
        <v>15</v>
      </c>
      <c r="H1101" s="2">
        <v>50000000</v>
      </c>
      <c r="I1101" s="2">
        <v>7.6</v>
      </c>
      <c r="J1101" s="2">
        <f t="shared" si="8"/>
        <v>-25872105</v>
      </c>
      <c r="K1101" s="2">
        <f t="shared" si="9"/>
        <v>-1.397967958038614E-2</v>
      </c>
      <c r="L1101" s="2" t="str">
        <f>IF(ISNUMBER(SEARCH("|",IMDB_Movies!$D1101)),LEFT(IMDB_Movies!$D1101,SEARCH("|",IMDB_Movies!$D1101)-1),IMDB_Movies!$D1101)</f>
        <v>Crime</v>
      </c>
      <c r="V1101" s="2"/>
      <c r="W1101" s="2"/>
    </row>
    <row r="1102" spans="1:23" ht="12.5" x14ac:dyDescent="0.25">
      <c r="A1102" s="2" t="s">
        <v>696</v>
      </c>
      <c r="B1102" s="2">
        <v>80</v>
      </c>
      <c r="C1102" s="2">
        <v>84961</v>
      </c>
      <c r="D1102" s="2" t="s">
        <v>478</v>
      </c>
      <c r="E1102" s="2" t="s">
        <v>2073</v>
      </c>
      <c r="F1102" s="2" t="s">
        <v>699</v>
      </c>
      <c r="G1102" s="2" t="s">
        <v>331</v>
      </c>
      <c r="H1102" s="2">
        <v>31000000</v>
      </c>
      <c r="I1102" s="2">
        <v>7.9</v>
      </c>
      <c r="J1102" s="2">
        <f t="shared" si="8"/>
        <v>-30915039</v>
      </c>
      <c r="K1102" s="2">
        <f t="shared" si="9"/>
        <v>-1.3975857359153174E-2</v>
      </c>
      <c r="L1102" s="2" t="str">
        <f>IF(ISNUMBER(SEARCH("|",IMDB_Movies!$D1102)),LEFT(IMDB_Movies!$D1102,SEARCH("|",IMDB_Movies!$D1102)-1),IMDB_Movies!$D1102)</f>
        <v>Action</v>
      </c>
      <c r="V1102" s="2"/>
      <c r="W1102" s="2"/>
    </row>
    <row r="1103" spans="1:23" ht="12.5" x14ac:dyDescent="0.25">
      <c r="A1103" s="2" t="s">
        <v>2074</v>
      </c>
      <c r="B1103" s="2">
        <v>91</v>
      </c>
      <c r="C1103" s="2">
        <v>26404753</v>
      </c>
      <c r="D1103" s="2" t="s">
        <v>552</v>
      </c>
      <c r="E1103" s="2" t="s">
        <v>2075</v>
      </c>
      <c r="F1103" s="2" t="s">
        <v>14</v>
      </c>
      <c r="G1103" s="2" t="s">
        <v>15</v>
      </c>
      <c r="H1103" s="2">
        <v>40000000</v>
      </c>
      <c r="I1103" s="2">
        <v>5.3</v>
      </c>
      <c r="J1103" s="2">
        <f t="shared" si="8"/>
        <v>-13595247</v>
      </c>
      <c r="K1103" s="2">
        <f t="shared" si="9"/>
        <v>-1.3973625795525503E-2</v>
      </c>
      <c r="L1103" s="2" t="str">
        <f>IF(ISNUMBER(SEARCH("|",IMDB_Movies!$D1103)),LEFT(IMDB_Movies!$D1103,SEARCH("|",IMDB_Movies!$D1103)-1),IMDB_Movies!$D1103)</f>
        <v>Action</v>
      </c>
      <c r="V1103" s="2"/>
      <c r="W1103" s="2"/>
    </row>
    <row r="1104" spans="1:23" ht="12.5" x14ac:dyDescent="0.25">
      <c r="A1104" s="2" t="s">
        <v>2076</v>
      </c>
      <c r="B1104" s="2">
        <v>112</v>
      </c>
      <c r="C1104" s="2">
        <v>6105175</v>
      </c>
      <c r="D1104" s="2" t="s">
        <v>709</v>
      </c>
      <c r="E1104" s="2" t="s">
        <v>2077</v>
      </c>
      <c r="F1104" s="2" t="s">
        <v>14</v>
      </c>
      <c r="G1104" s="2" t="s">
        <v>15</v>
      </c>
      <c r="H1104" s="2">
        <v>44000000</v>
      </c>
      <c r="I1104" s="2">
        <v>6.6</v>
      </c>
      <c r="J1104" s="2">
        <f t="shared" si="8"/>
        <v>-37894825</v>
      </c>
      <c r="K1104" s="2">
        <f t="shared" si="9"/>
        <v>-1.3972501461414211E-2</v>
      </c>
      <c r="L1104" s="2" t="str">
        <f>IF(ISNUMBER(SEARCH("|",IMDB_Movies!$D1104)),LEFT(IMDB_Movies!$D1104,SEARCH("|",IMDB_Movies!$D1104)-1),IMDB_Movies!$D1104)</f>
        <v>Comedy</v>
      </c>
      <c r="V1104" s="2"/>
      <c r="W1104" s="2"/>
    </row>
    <row r="1105" spans="1:23" ht="12.5" x14ac:dyDescent="0.25">
      <c r="A1105" s="2" t="s">
        <v>2078</v>
      </c>
      <c r="B1105" s="2">
        <v>100</v>
      </c>
      <c r="C1105" s="2">
        <v>5664251</v>
      </c>
      <c r="D1105" s="2" t="s">
        <v>2079</v>
      </c>
      <c r="E1105" s="2" t="s">
        <v>2080</v>
      </c>
      <c r="F1105" s="2" t="s">
        <v>14</v>
      </c>
      <c r="G1105" s="2" t="s">
        <v>73</v>
      </c>
      <c r="H1105" s="2">
        <v>45000000</v>
      </c>
      <c r="I1105" s="2">
        <v>6.3</v>
      </c>
      <c r="J1105" s="2">
        <f t="shared" si="8"/>
        <v>-39335749</v>
      </c>
      <c r="K1105" s="2">
        <f t="shared" si="9"/>
        <v>-1.3959852592735753E-2</v>
      </c>
      <c r="L1105" s="2" t="str">
        <f>IF(ISNUMBER(SEARCH("|",IMDB_Movies!$D1105)),LEFT(IMDB_Movies!$D1105,SEARCH("|",IMDB_Movies!$D1105)-1),IMDB_Movies!$D1105)</f>
        <v>Action</v>
      </c>
      <c r="V1105" s="2"/>
      <c r="W1105" s="2"/>
    </row>
    <row r="1106" spans="1:23" ht="12.5" x14ac:dyDescent="0.25">
      <c r="A1106" s="2" t="s">
        <v>1435</v>
      </c>
      <c r="B1106" s="2">
        <v>105</v>
      </c>
      <c r="C1106" s="2">
        <v>1260917</v>
      </c>
      <c r="D1106" s="2" t="s">
        <v>623</v>
      </c>
      <c r="E1106" s="2" t="s">
        <v>2081</v>
      </c>
      <c r="F1106" s="2" t="s">
        <v>1006</v>
      </c>
      <c r="G1106" s="2" t="s">
        <v>686</v>
      </c>
      <c r="H1106" s="2">
        <v>27000000</v>
      </c>
      <c r="I1106" s="2">
        <v>7.2</v>
      </c>
      <c r="J1106" s="2">
        <f t="shared" si="8"/>
        <v>-25739083</v>
      </c>
      <c r="K1106" s="2">
        <f t="shared" si="9"/>
        <v>-1.3946130851964039E-2</v>
      </c>
      <c r="L1106" s="2" t="str">
        <f>IF(ISNUMBER(SEARCH("|",IMDB_Movies!$D1106)),LEFT(IMDB_Movies!$D1106,SEARCH("|",IMDB_Movies!$D1106)-1),IMDB_Movies!$D1106)</f>
        <v>Action</v>
      </c>
      <c r="V1106" s="2"/>
      <c r="W1106" s="2"/>
    </row>
    <row r="1107" spans="1:23" ht="12.5" x14ac:dyDescent="0.25">
      <c r="A1107" s="2" t="s">
        <v>1671</v>
      </c>
      <c r="B1107" s="2">
        <v>110</v>
      </c>
      <c r="C1107" s="2">
        <v>116724075</v>
      </c>
      <c r="D1107" s="2" t="s">
        <v>2082</v>
      </c>
      <c r="E1107" s="2" t="s">
        <v>2083</v>
      </c>
      <c r="F1107" s="2" t="s">
        <v>14</v>
      </c>
      <c r="G1107" s="2" t="s">
        <v>15</v>
      </c>
      <c r="H1107" s="2">
        <v>41000000</v>
      </c>
      <c r="I1107" s="2">
        <v>7</v>
      </c>
      <c r="J1107" s="2">
        <f t="shared" si="8"/>
        <v>75724075</v>
      </c>
      <c r="K1107" s="2">
        <f t="shared" si="9"/>
        <v>-1.3947889970166339E-2</v>
      </c>
      <c r="L1107" s="2" t="str">
        <f>IF(ISNUMBER(SEARCH("|",IMDB_Movies!$D1107)),LEFT(IMDB_Movies!$D1107,SEARCH("|",IMDB_Movies!$D1107)-1),IMDB_Movies!$D1107)</f>
        <v>Drama</v>
      </c>
      <c r="V1107" s="2"/>
      <c r="W1107" s="2"/>
    </row>
    <row r="1108" spans="1:23" ht="12.5" x14ac:dyDescent="0.25">
      <c r="A1108" s="2" t="s">
        <v>1727</v>
      </c>
      <c r="B1108" s="2">
        <v>144</v>
      </c>
      <c r="C1108" s="2">
        <v>56083966</v>
      </c>
      <c r="D1108" s="2" t="s">
        <v>40</v>
      </c>
      <c r="E1108" s="2" t="s">
        <v>2084</v>
      </c>
      <c r="F1108" s="2" t="s">
        <v>14</v>
      </c>
      <c r="G1108" s="2" t="s">
        <v>15</v>
      </c>
      <c r="H1108" s="2">
        <v>65000000</v>
      </c>
      <c r="I1108" s="2">
        <v>6.9</v>
      </c>
      <c r="J1108" s="2">
        <f t="shared" si="8"/>
        <v>-8916034</v>
      </c>
      <c r="K1108" s="2">
        <f t="shared" si="9"/>
        <v>-1.400346206551752E-2</v>
      </c>
      <c r="L1108" s="2" t="str">
        <f>IF(ISNUMBER(SEARCH("|",IMDB_Movies!$D1108)),LEFT(IMDB_Movies!$D1108,SEARCH("|",IMDB_Movies!$D1108)-1),IMDB_Movies!$D1108)</f>
        <v>Action</v>
      </c>
      <c r="V1108" s="2"/>
      <c r="W1108" s="2"/>
    </row>
    <row r="1109" spans="1:23" ht="12.5" x14ac:dyDescent="0.25">
      <c r="A1109" s="2" t="s">
        <v>2085</v>
      </c>
      <c r="B1109" s="2">
        <v>108</v>
      </c>
      <c r="C1109" s="2">
        <v>22108977</v>
      </c>
      <c r="D1109" s="2" t="s">
        <v>461</v>
      </c>
      <c r="E1109" s="2" t="s">
        <v>2086</v>
      </c>
      <c r="F1109" s="2" t="s">
        <v>14</v>
      </c>
      <c r="G1109" s="2" t="s">
        <v>1329</v>
      </c>
      <c r="H1109" s="2">
        <v>41000000</v>
      </c>
      <c r="I1109" s="2">
        <v>5.2</v>
      </c>
      <c r="J1109" s="2">
        <f t="shared" si="8"/>
        <v>-18891023</v>
      </c>
      <c r="K1109" s="2">
        <f t="shared" si="9"/>
        <v>-1.4041353044919328E-2</v>
      </c>
      <c r="L1109" s="2" t="str">
        <f>IF(ISNUMBER(SEARCH("|",IMDB_Movies!$D1109)),LEFT(IMDB_Movies!$D1109,SEARCH("|",IMDB_Movies!$D1109)-1),IMDB_Movies!$D1109)</f>
        <v>Action</v>
      </c>
      <c r="V1109" s="2"/>
      <c r="W1109" s="2"/>
    </row>
    <row r="1110" spans="1:23" ht="12.5" x14ac:dyDescent="0.25">
      <c r="A1110" s="2" t="s">
        <v>339</v>
      </c>
      <c r="B1110" s="2">
        <v>107</v>
      </c>
      <c r="C1110" s="2">
        <v>293501675</v>
      </c>
      <c r="D1110" s="2" t="s">
        <v>690</v>
      </c>
      <c r="E1110" s="2" t="s">
        <v>2087</v>
      </c>
      <c r="F1110" s="2" t="s">
        <v>14</v>
      </c>
      <c r="G1110" s="2" t="s">
        <v>15</v>
      </c>
      <c r="H1110" s="2">
        <v>40000000</v>
      </c>
      <c r="I1110" s="2">
        <v>8.1</v>
      </c>
      <c r="J1110" s="2">
        <f t="shared" si="8"/>
        <v>253501675</v>
      </c>
      <c r="K1110" s="2">
        <f t="shared" si="9"/>
        <v>-1.4038118284144309E-2</v>
      </c>
      <c r="L1110" s="2" t="str">
        <f>IF(ISNUMBER(SEARCH("|",IMDB_Movies!$D1110)),LEFT(IMDB_Movies!$D1110,SEARCH("|",IMDB_Movies!$D1110)-1),IMDB_Movies!$D1110)</f>
        <v>Drama</v>
      </c>
      <c r="V1110" s="2"/>
      <c r="W1110" s="2"/>
    </row>
    <row r="1111" spans="1:23" ht="12.5" x14ac:dyDescent="0.25">
      <c r="A1111" s="2" t="s">
        <v>2088</v>
      </c>
      <c r="B1111" s="2">
        <v>102</v>
      </c>
      <c r="C1111" s="2">
        <v>18600911</v>
      </c>
      <c r="D1111" s="2" t="s">
        <v>125</v>
      </c>
      <c r="E1111" s="2" t="s">
        <v>2089</v>
      </c>
      <c r="F1111" s="2" t="s">
        <v>14</v>
      </c>
      <c r="G1111" s="2" t="s">
        <v>15</v>
      </c>
      <c r="H1111" s="2">
        <v>42000000</v>
      </c>
      <c r="I1111" s="2">
        <v>6.6</v>
      </c>
      <c r="J1111" s="2">
        <f t="shared" si="8"/>
        <v>-23399089</v>
      </c>
      <c r="K1111" s="2">
        <f t="shared" si="9"/>
        <v>-1.4278332674128967E-2</v>
      </c>
      <c r="L1111" s="2" t="str">
        <f>IF(ISNUMBER(SEARCH("|",IMDB_Movies!$D1111)),LEFT(IMDB_Movies!$D1111,SEARCH("|",IMDB_Movies!$D1111)-1),IMDB_Movies!$D1111)</f>
        <v>Action</v>
      </c>
      <c r="V1111" s="2"/>
      <c r="W1111" s="2"/>
    </row>
    <row r="1112" spans="1:23" ht="12.5" x14ac:dyDescent="0.25">
      <c r="A1112" s="2" t="s">
        <v>1356</v>
      </c>
      <c r="B1112" s="2">
        <v>100</v>
      </c>
      <c r="C1112" s="2">
        <v>7204138</v>
      </c>
      <c r="D1112" s="2" t="s">
        <v>709</v>
      </c>
      <c r="E1112" s="2" t="s">
        <v>2090</v>
      </c>
      <c r="F1112" s="2" t="s">
        <v>14</v>
      </c>
      <c r="G1112" s="2" t="s">
        <v>15</v>
      </c>
      <c r="H1112" s="2">
        <v>41000000</v>
      </c>
      <c r="I1112" s="2">
        <v>6.2</v>
      </c>
      <c r="J1112" s="2">
        <f t="shared" si="8"/>
        <v>-33795862</v>
      </c>
      <c r="K1112" s="2">
        <f t="shared" si="9"/>
        <v>-1.4273126390403651E-2</v>
      </c>
      <c r="L1112" s="2" t="str">
        <f>IF(ISNUMBER(SEARCH("|",IMDB_Movies!$D1112)),LEFT(IMDB_Movies!$D1112,SEARCH("|",IMDB_Movies!$D1112)-1),IMDB_Movies!$D1112)</f>
        <v>Comedy</v>
      </c>
      <c r="V1112" s="2"/>
      <c r="W1112" s="2"/>
    </row>
    <row r="1113" spans="1:23" ht="12.5" x14ac:dyDescent="0.25">
      <c r="A1113" s="2" t="s">
        <v>2091</v>
      </c>
      <c r="B1113" s="2">
        <v>126</v>
      </c>
      <c r="C1113" s="2">
        <v>90800000</v>
      </c>
      <c r="D1113" s="2" t="s">
        <v>2092</v>
      </c>
      <c r="E1113" s="2" t="s">
        <v>2093</v>
      </c>
      <c r="F1113" s="2" t="s">
        <v>14</v>
      </c>
      <c r="G1113" s="2" t="s">
        <v>15</v>
      </c>
      <c r="H1113" s="2">
        <v>8000000</v>
      </c>
      <c r="I1113" s="2">
        <v>7.2</v>
      </c>
      <c r="J1113" s="2">
        <f t="shared" si="8"/>
        <v>82800000</v>
      </c>
      <c r="K1113" s="2">
        <f t="shared" si="9"/>
        <v>-1.4263321635247871E-2</v>
      </c>
      <c r="L1113" s="2" t="str">
        <f>IF(ISNUMBER(SEARCH("|",IMDB_Movies!$D1113)),LEFT(IMDB_Movies!$D1113,SEARCH("|",IMDB_Movies!$D1113)-1),IMDB_Movies!$D1113)</f>
        <v>Action</v>
      </c>
      <c r="V1113" s="2"/>
      <c r="W1113" s="2"/>
    </row>
    <row r="1114" spans="1:23" ht="12.5" x14ac:dyDescent="0.25">
      <c r="A1114" s="2" t="s">
        <v>1430</v>
      </c>
      <c r="B1114" s="2">
        <v>138</v>
      </c>
      <c r="C1114" s="2">
        <v>150117807</v>
      </c>
      <c r="D1114" s="2" t="s">
        <v>694</v>
      </c>
      <c r="E1114" s="2" t="s">
        <v>2094</v>
      </c>
      <c r="F1114" s="2" t="s">
        <v>14</v>
      </c>
      <c r="G1114" s="2" t="s">
        <v>15</v>
      </c>
      <c r="H1114" s="2">
        <v>40000000</v>
      </c>
      <c r="I1114" s="2">
        <v>7.3</v>
      </c>
      <c r="J1114" s="2">
        <f t="shared" si="8"/>
        <v>110117807</v>
      </c>
      <c r="K1114" s="2">
        <f t="shared" si="9"/>
        <v>-1.4226398610141924E-2</v>
      </c>
      <c r="L1114" s="2" t="str">
        <f>IF(ISNUMBER(SEARCH("|",IMDB_Movies!$D1114)),LEFT(IMDB_Movies!$D1114,SEARCH("|",IMDB_Movies!$D1114)-1),IMDB_Movies!$D1114)</f>
        <v>Crime</v>
      </c>
      <c r="V1114" s="2"/>
      <c r="W1114" s="2"/>
    </row>
    <row r="1115" spans="1:23" ht="12.5" x14ac:dyDescent="0.25">
      <c r="A1115" s="2" t="s">
        <v>2095</v>
      </c>
      <c r="B1115" s="2">
        <v>108</v>
      </c>
      <c r="C1115" s="2">
        <v>163947053</v>
      </c>
      <c r="D1115" s="2" t="s">
        <v>514</v>
      </c>
      <c r="E1115" s="2" t="s">
        <v>2096</v>
      </c>
      <c r="F1115" s="2" t="s">
        <v>14</v>
      </c>
      <c r="G1115" s="2" t="s">
        <v>15</v>
      </c>
      <c r="H1115" s="2">
        <v>40000000</v>
      </c>
      <c r="I1115" s="2">
        <v>6.7</v>
      </c>
      <c r="J1115" s="2">
        <f t="shared" si="8"/>
        <v>123947053</v>
      </c>
      <c r="K1115" s="2">
        <f t="shared" si="9"/>
        <v>-1.4307469260920592E-2</v>
      </c>
      <c r="L1115" s="2" t="str">
        <f>IF(ISNUMBER(SEARCH("|",IMDB_Movies!$D1115)),LEFT(IMDB_Movies!$D1115,SEARCH("|",IMDB_Movies!$D1115)-1),IMDB_Movies!$D1115)</f>
        <v>Comedy</v>
      </c>
      <c r="V1115" s="2"/>
      <c r="W1115" s="2"/>
    </row>
    <row r="1116" spans="1:23" ht="12.5" x14ac:dyDescent="0.25">
      <c r="A1116" s="2" t="s">
        <v>2097</v>
      </c>
      <c r="B1116" s="2">
        <v>105</v>
      </c>
      <c r="C1116" s="2">
        <v>116735231</v>
      </c>
      <c r="D1116" s="2" t="s">
        <v>793</v>
      </c>
      <c r="E1116" s="2" t="s">
        <v>2098</v>
      </c>
      <c r="F1116" s="2" t="s">
        <v>14</v>
      </c>
      <c r="G1116" s="2" t="s">
        <v>15</v>
      </c>
      <c r="H1116" s="2">
        <v>70000000</v>
      </c>
      <c r="I1116" s="2">
        <v>6.4</v>
      </c>
      <c r="J1116" s="2">
        <f t="shared" si="8"/>
        <v>46735231</v>
      </c>
      <c r="K1116" s="2">
        <f t="shared" si="9"/>
        <v>-1.4401577696143936E-2</v>
      </c>
      <c r="L1116" s="2" t="str">
        <f>IF(ISNUMBER(SEARCH("|",IMDB_Movies!$D1116)),LEFT(IMDB_Movies!$D1116,SEARCH("|",IMDB_Movies!$D1116)-1),IMDB_Movies!$D1116)</f>
        <v>Crime</v>
      </c>
      <c r="V1116" s="2"/>
      <c r="W1116" s="2"/>
    </row>
    <row r="1117" spans="1:23" ht="12.5" x14ac:dyDescent="0.25">
      <c r="A1117" s="2" t="s">
        <v>160</v>
      </c>
      <c r="B1117" s="2">
        <v>108</v>
      </c>
      <c r="C1117" s="2">
        <v>118500000</v>
      </c>
      <c r="D1117" s="2" t="s">
        <v>670</v>
      </c>
      <c r="E1117" s="2" t="s">
        <v>2099</v>
      </c>
      <c r="F1117" s="2" t="s">
        <v>14</v>
      </c>
      <c r="G1117" s="2" t="s">
        <v>15</v>
      </c>
      <c r="H1117" s="2">
        <v>40000000</v>
      </c>
      <c r="I1117" s="2">
        <v>7.8</v>
      </c>
      <c r="J1117" s="2">
        <f t="shared" si="8"/>
        <v>78500000</v>
      </c>
      <c r="K1117" s="2">
        <f t="shared" si="9"/>
        <v>-1.455195817976123E-2</v>
      </c>
      <c r="L1117" s="2" t="str">
        <f>IF(ISNUMBER(SEARCH("|",IMDB_Movies!$D1117)),LEFT(IMDB_Movies!$D1117,SEARCH("|",IMDB_Movies!$D1117)-1),IMDB_Movies!$D1117)</f>
        <v>Adventure</v>
      </c>
      <c r="V1117" s="2"/>
      <c r="W1117" s="2"/>
    </row>
    <row r="1118" spans="1:23" ht="12.5" x14ac:dyDescent="0.25">
      <c r="A1118" s="2" t="s">
        <v>711</v>
      </c>
      <c r="B1118" s="2">
        <v>89</v>
      </c>
      <c r="C1118" s="2">
        <v>126546825</v>
      </c>
      <c r="D1118" s="2" t="s">
        <v>981</v>
      </c>
      <c r="E1118" s="2" t="s">
        <v>2100</v>
      </c>
      <c r="F1118" s="2" t="s">
        <v>14</v>
      </c>
      <c r="G1118" s="2" t="s">
        <v>686</v>
      </c>
      <c r="H1118" s="2">
        <v>40000000</v>
      </c>
      <c r="I1118" s="2">
        <v>6.4</v>
      </c>
      <c r="J1118" s="2">
        <f t="shared" si="8"/>
        <v>86546825</v>
      </c>
      <c r="K1118" s="2">
        <f t="shared" si="9"/>
        <v>-1.4607741970909412E-2</v>
      </c>
      <c r="L1118" s="2" t="str">
        <f>IF(ISNUMBER(SEARCH("|",IMDB_Movies!$D1118)),LEFT(IMDB_Movies!$D1118,SEARCH("|",IMDB_Movies!$D1118)-1),IMDB_Movies!$D1118)</f>
        <v>Action</v>
      </c>
      <c r="V1118" s="2"/>
      <c r="W1118" s="2"/>
    </row>
    <row r="1119" spans="1:23" ht="12.5" x14ac:dyDescent="0.25">
      <c r="A1119" s="2" t="s">
        <v>2101</v>
      </c>
      <c r="B1119" s="2">
        <v>129</v>
      </c>
      <c r="C1119" s="2">
        <v>166147885</v>
      </c>
      <c r="D1119" s="2" t="s">
        <v>85</v>
      </c>
      <c r="E1119" s="2" t="s">
        <v>2102</v>
      </c>
      <c r="F1119" s="2" t="s">
        <v>14</v>
      </c>
      <c r="G1119" s="2" t="s">
        <v>15</v>
      </c>
      <c r="H1119" s="2">
        <v>40000000</v>
      </c>
      <c r="I1119" s="2">
        <v>4.0999999999999996</v>
      </c>
      <c r="J1119" s="2">
        <f t="shared" si="8"/>
        <v>126147885</v>
      </c>
      <c r="K1119" s="2">
        <f t="shared" si="9"/>
        <v>-1.4670149618969673E-2</v>
      </c>
      <c r="L1119" s="2" t="str">
        <f>IF(ISNUMBER(SEARCH("|",IMDB_Movies!$D1119)),LEFT(IMDB_Movies!$D1119,SEARCH("|",IMDB_Movies!$D1119)-1),IMDB_Movies!$D1119)</f>
        <v>Drama</v>
      </c>
      <c r="V1119" s="2"/>
      <c r="W1119" s="2"/>
    </row>
    <row r="1120" spans="1:23" ht="12.5" x14ac:dyDescent="0.25">
      <c r="A1120" s="2" t="s">
        <v>1666</v>
      </c>
      <c r="B1120" s="2">
        <v>84</v>
      </c>
      <c r="C1120" s="2">
        <v>111760631</v>
      </c>
      <c r="D1120" s="2" t="s">
        <v>1053</v>
      </c>
      <c r="E1120" s="2" t="s">
        <v>2103</v>
      </c>
      <c r="F1120" s="2" t="s">
        <v>14</v>
      </c>
      <c r="G1120" s="2" t="s">
        <v>15</v>
      </c>
      <c r="H1120" s="2">
        <v>38000000</v>
      </c>
      <c r="I1120" s="2">
        <v>4.0999999999999996</v>
      </c>
      <c r="J1120" s="2">
        <f t="shared" si="8"/>
        <v>73760631</v>
      </c>
      <c r="K1120" s="2">
        <f t="shared" si="9"/>
        <v>-1.476819460813885E-2</v>
      </c>
      <c r="L1120" s="2" t="str">
        <f>IF(ISNUMBER(SEARCH("|",IMDB_Movies!$D1120)),LEFT(IMDB_Movies!$D1120,SEARCH("|",IMDB_Movies!$D1120)-1),IMDB_Movies!$D1120)</f>
        <v>Action</v>
      </c>
      <c r="V1120" s="2"/>
      <c r="W1120" s="2"/>
    </row>
    <row r="1121" spans="1:23" ht="12.5" x14ac:dyDescent="0.25">
      <c r="A1121" s="2" t="s">
        <v>482</v>
      </c>
      <c r="B1121" s="2">
        <v>149</v>
      </c>
      <c r="C1121" s="2">
        <v>108706165</v>
      </c>
      <c r="D1121" s="2" t="s">
        <v>763</v>
      </c>
      <c r="E1121" s="2" t="s">
        <v>2104</v>
      </c>
      <c r="F1121" s="2" t="s">
        <v>14</v>
      </c>
      <c r="G1121" s="2" t="s">
        <v>15</v>
      </c>
      <c r="H1121" s="2">
        <v>40000000</v>
      </c>
      <c r="I1121" s="2">
        <v>7.4</v>
      </c>
      <c r="J1121" s="2">
        <f t="shared" si="8"/>
        <v>68706165</v>
      </c>
      <c r="K1121" s="2">
        <f t="shared" si="9"/>
        <v>-1.4813288611387298E-2</v>
      </c>
      <c r="L1121" s="2" t="str">
        <f>IF(ISNUMBER(SEARCH("|",IMDB_Movies!$D1121)),LEFT(IMDB_Movies!$D1121,SEARCH("|",IMDB_Movies!$D1121)-1),IMDB_Movies!$D1121)</f>
        <v>Crime</v>
      </c>
      <c r="V1121" s="2"/>
      <c r="W1121" s="2"/>
    </row>
    <row r="1122" spans="1:23" ht="12.5" x14ac:dyDescent="0.25">
      <c r="A1122" s="2" t="s">
        <v>302</v>
      </c>
      <c r="B1122" s="2">
        <v>94</v>
      </c>
      <c r="C1122" s="2">
        <v>138614544</v>
      </c>
      <c r="D1122" s="2" t="s">
        <v>1058</v>
      </c>
      <c r="E1122" s="2" t="s">
        <v>2105</v>
      </c>
      <c r="F1122" s="2" t="s">
        <v>14</v>
      </c>
      <c r="G1122" s="2" t="s">
        <v>15</v>
      </c>
      <c r="H1122" s="2">
        <v>40000000</v>
      </c>
      <c r="I1122" s="2">
        <v>5.8</v>
      </c>
      <c r="J1122" s="2">
        <f t="shared" si="8"/>
        <v>98614544</v>
      </c>
      <c r="K1122" s="2">
        <f t="shared" si="9"/>
        <v>-1.4862268411151102E-2</v>
      </c>
      <c r="L1122" s="2" t="str">
        <f>IF(ISNUMBER(SEARCH("|",IMDB_Movies!$D1122)),LEFT(IMDB_Movies!$D1122,SEARCH("|",IMDB_Movies!$D1122)-1),IMDB_Movies!$D1122)</f>
        <v>Comedy</v>
      </c>
      <c r="V1122" s="2"/>
      <c r="W1122" s="2"/>
    </row>
    <row r="1123" spans="1:23" ht="12.5" x14ac:dyDescent="0.25">
      <c r="A1123" s="2" t="s">
        <v>89</v>
      </c>
      <c r="B1123" s="2">
        <v>121</v>
      </c>
      <c r="C1123" s="2">
        <v>125069696</v>
      </c>
      <c r="D1123" s="2" t="s">
        <v>2106</v>
      </c>
      <c r="E1123" s="2" t="s">
        <v>2107</v>
      </c>
      <c r="F1123" s="2" t="s">
        <v>14</v>
      </c>
      <c r="G1123" s="2" t="s">
        <v>15</v>
      </c>
      <c r="H1123" s="2">
        <v>40000000</v>
      </c>
      <c r="I1123" s="2">
        <v>7.6</v>
      </c>
      <c r="J1123" s="2">
        <f t="shared" si="8"/>
        <v>85069696</v>
      </c>
      <c r="K1123" s="2">
        <f t="shared" si="9"/>
        <v>-1.4935894692396427E-2</v>
      </c>
      <c r="L1123" s="2" t="str">
        <f>IF(ISNUMBER(SEARCH("|",IMDB_Movies!$D1123)),LEFT(IMDB_Movies!$D1123,SEARCH("|",IMDB_Movies!$D1123)-1),IMDB_Movies!$D1123)</f>
        <v>Action</v>
      </c>
      <c r="V1123" s="2"/>
      <c r="W1123" s="2"/>
    </row>
    <row r="1124" spans="1:23" ht="12.5" x14ac:dyDescent="0.25">
      <c r="A1124" s="2" t="s">
        <v>1896</v>
      </c>
      <c r="B1124" s="2">
        <v>128</v>
      </c>
      <c r="C1124" s="2">
        <v>107458785</v>
      </c>
      <c r="D1124" s="2" t="s">
        <v>2108</v>
      </c>
      <c r="E1124" s="2" t="s">
        <v>2109</v>
      </c>
      <c r="F1124" s="2" t="s">
        <v>14</v>
      </c>
      <c r="G1124" s="2" t="s">
        <v>15</v>
      </c>
      <c r="H1124" s="2">
        <v>40000000</v>
      </c>
      <c r="I1124" s="2">
        <v>7.2</v>
      </c>
      <c r="J1124" s="2">
        <f t="shared" si="8"/>
        <v>67458785</v>
      </c>
      <c r="K1124" s="2">
        <f t="shared" si="9"/>
        <v>-1.4998253827081426E-2</v>
      </c>
      <c r="L1124" s="2" t="str">
        <f>IF(ISNUMBER(SEARCH("|",IMDB_Movies!$D1124)),LEFT(IMDB_Movies!$D1124,SEARCH("|",IMDB_Movies!$D1124)-1),IMDB_Movies!$D1124)</f>
        <v>Comedy</v>
      </c>
      <c r="V1124" s="2"/>
      <c r="W1124" s="2"/>
    </row>
    <row r="1125" spans="1:23" ht="12.5" x14ac:dyDescent="0.25">
      <c r="A1125" s="2" t="s">
        <v>124</v>
      </c>
      <c r="B1125" s="2">
        <v>134</v>
      </c>
      <c r="C1125" s="2">
        <v>102310175</v>
      </c>
      <c r="D1125" s="2" t="s">
        <v>1050</v>
      </c>
      <c r="E1125" s="2" t="s">
        <v>2110</v>
      </c>
      <c r="F1125" s="2" t="s">
        <v>14</v>
      </c>
      <c r="G1125" s="2" t="s">
        <v>15</v>
      </c>
      <c r="H1125" s="2">
        <v>40000000</v>
      </c>
      <c r="I1125" s="2">
        <v>7.8</v>
      </c>
      <c r="J1125" s="2">
        <f t="shared" si="8"/>
        <v>62310175</v>
      </c>
      <c r="K1125" s="2">
        <f t="shared" si="9"/>
        <v>-1.5046766155909356E-2</v>
      </c>
      <c r="L1125" s="2" t="str">
        <f>IF(ISNUMBER(SEARCH("|",IMDB_Movies!$D1125)),LEFT(IMDB_Movies!$D1125,SEARCH("|",IMDB_Movies!$D1125)-1),IMDB_Movies!$D1125)</f>
        <v>Horror</v>
      </c>
      <c r="V1125" s="2"/>
      <c r="W1125" s="2"/>
    </row>
    <row r="1126" spans="1:23" ht="12.5" x14ac:dyDescent="0.25">
      <c r="A1126" s="2" t="s">
        <v>255</v>
      </c>
      <c r="B1126" s="2">
        <v>120</v>
      </c>
      <c r="C1126" s="2">
        <v>96917897</v>
      </c>
      <c r="D1126" s="2" t="s">
        <v>555</v>
      </c>
      <c r="E1126" s="2" t="s">
        <v>2111</v>
      </c>
      <c r="F1126" s="2" t="s">
        <v>14</v>
      </c>
      <c r="G1126" s="2" t="s">
        <v>15</v>
      </c>
      <c r="H1126" s="2">
        <v>40000000</v>
      </c>
      <c r="I1126" s="2">
        <v>7.7</v>
      </c>
      <c r="J1126" s="2">
        <f t="shared" si="8"/>
        <v>56917897</v>
      </c>
      <c r="K1126" s="2">
        <f t="shared" si="9"/>
        <v>-1.5091504684988532E-2</v>
      </c>
      <c r="L1126" s="2" t="str">
        <f>IF(ISNUMBER(SEARCH("|",IMDB_Movies!$D1126)),LEFT(IMDB_Movies!$D1126,SEARCH("|",IMDB_Movies!$D1126)-1),IMDB_Movies!$D1126)</f>
        <v>Biography</v>
      </c>
      <c r="V1126" s="2"/>
      <c r="W1126" s="2"/>
    </row>
    <row r="1127" spans="1:23" ht="12.5" x14ac:dyDescent="0.25">
      <c r="A1127" s="2" t="s">
        <v>2112</v>
      </c>
      <c r="B1127" s="2">
        <v>129</v>
      </c>
      <c r="C1127" s="2">
        <v>93952276</v>
      </c>
      <c r="D1127" s="2" t="s">
        <v>514</v>
      </c>
      <c r="E1127" s="2" t="s">
        <v>2113</v>
      </c>
      <c r="F1127" s="2" t="s">
        <v>14</v>
      </c>
      <c r="G1127" s="2" t="s">
        <v>15</v>
      </c>
      <c r="H1127" s="2">
        <v>40000000</v>
      </c>
      <c r="I1127" s="2">
        <v>6.4</v>
      </c>
      <c r="J1127" s="2">
        <f t="shared" si="8"/>
        <v>53952276</v>
      </c>
      <c r="K1127" s="2">
        <f t="shared" si="9"/>
        <v>-1.5132365099990689E-2</v>
      </c>
      <c r="L1127" s="2" t="str">
        <f>IF(ISNUMBER(SEARCH("|",IMDB_Movies!$D1127)),LEFT(IMDB_Movies!$D1127,SEARCH("|",IMDB_Movies!$D1127)-1),IMDB_Movies!$D1127)</f>
        <v>Comedy</v>
      </c>
      <c r="V1127" s="2"/>
      <c r="W1127" s="2"/>
    </row>
    <row r="1128" spans="1:23" ht="12.5" x14ac:dyDescent="0.25">
      <c r="A1128" s="2" t="s">
        <v>1918</v>
      </c>
      <c r="B1128" s="2">
        <v>89</v>
      </c>
      <c r="C1128" s="2">
        <v>90703745</v>
      </c>
      <c r="D1128" s="2" t="s">
        <v>709</v>
      </c>
      <c r="E1128" s="2" t="s">
        <v>2114</v>
      </c>
      <c r="F1128" s="2" t="s">
        <v>14</v>
      </c>
      <c r="G1128" s="2" t="s">
        <v>15</v>
      </c>
      <c r="H1128" s="2">
        <v>45000000</v>
      </c>
      <c r="I1128" s="2">
        <v>5.0999999999999996</v>
      </c>
      <c r="J1128" s="2">
        <f t="shared" si="8"/>
        <v>45703745</v>
      </c>
      <c r="K1128" s="2">
        <f t="shared" si="9"/>
        <v>-1.5171164214704642E-2</v>
      </c>
      <c r="L1128" s="2" t="str">
        <f>IF(ISNUMBER(SEARCH("|",IMDB_Movies!$D1128)),LEFT(IMDB_Movies!$D1128,SEARCH("|",IMDB_Movies!$D1128)-1),IMDB_Movies!$D1128)</f>
        <v>Comedy</v>
      </c>
      <c r="V1128" s="2"/>
      <c r="W1128" s="2"/>
    </row>
    <row r="1129" spans="1:23" ht="12.5" x14ac:dyDescent="0.25">
      <c r="A1129" s="2" t="s">
        <v>2115</v>
      </c>
      <c r="B1129" s="2">
        <v>116</v>
      </c>
      <c r="C1129" s="2">
        <v>89138076</v>
      </c>
      <c r="D1129" s="2" t="s">
        <v>2116</v>
      </c>
      <c r="E1129" s="2" t="s">
        <v>2117</v>
      </c>
      <c r="F1129" s="2" t="s">
        <v>14</v>
      </c>
      <c r="G1129" s="2" t="s">
        <v>15</v>
      </c>
      <c r="H1129" s="2">
        <v>40000000</v>
      </c>
      <c r="I1129" s="2">
        <v>5.5</v>
      </c>
      <c r="J1129" s="2">
        <f t="shared" si="8"/>
        <v>49138076</v>
      </c>
      <c r="K1129" s="2">
        <f t="shared" si="9"/>
        <v>-1.5219230728363894E-2</v>
      </c>
      <c r="L1129" s="2" t="str">
        <f>IF(ISNUMBER(SEARCH("|",IMDB_Movies!$D1129)),LEFT(IMDB_Movies!$D1129,SEARCH("|",IMDB_Movies!$D1129)-1),IMDB_Movies!$D1129)</f>
        <v>Horror</v>
      </c>
      <c r="V1129" s="2"/>
      <c r="W1129" s="2"/>
    </row>
    <row r="1130" spans="1:23" ht="12.5" x14ac:dyDescent="0.25">
      <c r="A1130" s="2" t="s">
        <v>160</v>
      </c>
      <c r="B1130" s="2">
        <v>118</v>
      </c>
      <c r="C1130" s="2">
        <v>87666629</v>
      </c>
      <c r="D1130" s="2" t="s">
        <v>2118</v>
      </c>
      <c r="E1130" s="2" t="s">
        <v>2119</v>
      </c>
      <c r="F1130" s="2" t="s">
        <v>14</v>
      </c>
      <c r="G1130" s="2" t="s">
        <v>15</v>
      </c>
      <c r="H1130" s="2">
        <v>40000000</v>
      </c>
      <c r="I1130" s="2">
        <v>7.4</v>
      </c>
      <c r="J1130" s="2">
        <f t="shared" si="8"/>
        <v>47666629</v>
      </c>
      <c r="K1130" s="2">
        <f t="shared" si="9"/>
        <v>-1.5254762892543692E-2</v>
      </c>
      <c r="L1130" s="2" t="str">
        <f>IF(ISNUMBER(SEARCH("|",IMDB_Movies!$D1130)),LEFT(IMDB_Movies!$D1130,SEARCH("|",IMDB_Movies!$D1130)-1),IMDB_Movies!$D1130)</f>
        <v>Adventure</v>
      </c>
      <c r="V1130" s="2"/>
      <c r="W1130" s="2"/>
    </row>
    <row r="1131" spans="1:23" ht="12.5" x14ac:dyDescent="0.25">
      <c r="A1131" s="2" t="s">
        <v>2120</v>
      </c>
      <c r="B1131" s="2">
        <v>107</v>
      </c>
      <c r="C1131" s="2">
        <v>90353764</v>
      </c>
      <c r="D1131" s="2" t="s">
        <v>375</v>
      </c>
      <c r="E1131" s="2" t="s">
        <v>2121</v>
      </c>
      <c r="F1131" s="2" t="s">
        <v>14</v>
      </c>
      <c r="G1131" s="2" t="s">
        <v>15</v>
      </c>
      <c r="H1131" s="2">
        <v>40000000</v>
      </c>
      <c r="I1131" s="2">
        <v>6</v>
      </c>
      <c r="J1131" s="2">
        <f t="shared" si="8"/>
        <v>50353764</v>
      </c>
      <c r="K1131" s="2">
        <f t="shared" si="9"/>
        <v>-1.5289327818516711E-2</v>
      </c>
      <c r="L1131" s="2" t="str">
        <f>IF(ISNUMBER(SEARCH("|",IMDB_Movies!$D1131)),LEFT(IMDB_Movies!$D1131,SEARCH("|",IMDB_Movies!$D1131)-1),IMDB_Movies!$D1131)</f>
        <v>Comedy</v>
      </c>
      <c r="V1131" s="2"/>
      <c r="W1131" s="2"/>
    </row>
    <row r="1132" spans="1:23" ht="12.5" x14ac:dyDescent="0.25">
      <c r="A1132" s="2" t="s">
        <v>1648</v>
      </c>
      <c r="B1132" s="2">
        <v>155</v>
      </c>
      <c r="C1132" s="2">
        <v>82522790</v>
      </c>
      <c r="D1132" s="2" t="s">
        <v>2122</v>
      </c>
      <c r="E1132" s="2" t="s">
        <v>2123</v>
      </c>
      <c r="F1132" s="2" t="s">
        <v>14</v>
      </c>
      <c r="G1132" s="2" t="s">
        <v>15</v>
      </c>
      <c r="H1132" s="2">
        <v>40000000</v>
      </c>
      <c r="I1132" s="2">
        <v>7.5</v>
      </c>
      <c r="J1132" s="2">
        <f t="shared" si="8"/>
        <v>42522790</v>
      </c>
      <c r="K1132" s="2">
        <f t="shared" si="9"/>
        <v>-1.5325845139965369E-2</v>
      </c>
      <c r="L1132" s="2" t="str">
        <f>IF(ISNUMBER(SEARCH("|",IMDB_Movies!$D1132)),LEFT(IMDB_Movies!$D1132,SEARCH("|",IMDB_Movies!$D1132)-1),IMDB_Movies!$D1132)</f>
        <v>Fantasy</v>
      </c>
      <c r="V1132" s="2"/>
      <c r="W1132" s="2"/>
    </row>
    <row r="1133" spans="1:23" ht="12.5" x14ac:dyDescent="0.25">
      <c r="A1133" s="2" t="s">
        <v>1270</v>
      </c>
      <c r="B1133" s="2">
        <v>123</v>
      </c>
      <c r="C1133" s="2">
        <v>94125426</v>
      </c>
      <c r="D1133" s="2" t="s">
        <v>2124</v>
      </c>
      <c r="E1133" s="2" t="s">
        <v>2125</v>
      </c>
      <c r="F1133" s="2" t="s">
        <v>14</v>
      </c>
      <c r="G1133" s="2" t="s">
        <v>15</v>
      </c>
      <c r="H1133" s="2">
        <v>40000000</v>
      </c>
      <c r="I1133" s="2">
        <v>7</v>
      </c>
      <c r="J1133" s="2">
        <f t="shared" si="8"/>
        <v>54125426</v>
      </c>
      <c r="K1133" s="2">
        <f t="shared" si="9"/>
        <v>-1.5356984399972238E-2</v>
      </c>
      <c r="L1133" s="2" t="str">
        <f>IF(ISNUMBER(SEARCH("|",IMDB_Movies!$D1133)),LEFT(IMDB_Movies!$D1133,SEARCH("|",IMDB_Movies!$D1133)-1),IMDB_Movies!$D1133)</f>
        <v>Biography</v>
      </c>
      <c r="V1133" s="2"/>
      <c r="W1133" s="2"/>
    </row>
    <row r="1134" spans="1:23" ht="12.5" x14ac:dyDescent="0.25">
      <c r="A1134" s="2" t="s">
        <v>1727</v>
      </c>
      <c r="B1134" s="2">
        <v>128</v>
      </c>
      <c r="C1134" s="2">
        <v>95001343</v>
      </c>
      <c r="D1134" s="2" t="s">
        <v>585</v>
      </c>
      <c r="E1134" s="2" t="s">
        <v>2126</v>
      </c>
      <c r="F1134" s="2" t="s">
        <v>14</v>
      </c>
      <c r="G1134" s="2" t="s">
        <v>15</v>
      </c>
      <c r="H1134" s="2">
        <v>40000000</v>
      </c>
      <c r="I1134" s="2">
        <v>7.5</v>
      </c>
      <c r="J1134" s="2">
        <f t="shared" si="8"/>
        <v>55001343</v>
      </c>
      <c r="K1134" s="2">
        <f t="shared" si="9"/>
        <v>-1.5396339360670809E-2</v>
      </c>
      <c r="L1134" s="2" t="str">
        <f>IF(ISNUMBER(SEARCH("|",IMDB_Movies!$D1134)),LEFT(IMDB_Movies!$D1134,SEARCH("|",IMDB_Movies!$D1134)-1),IMDB_Movies!$D1134)</f>
        <v>Biography</v>
      </c>
      <c r="V1134" s="2"/>
      <c r="W1134" s="2"/>
    </row>
    <row r="1135" spans="1:23" ht="12.5" x14ac:dyDescent="0.25">
      <c r="A1135" s="2" t="s">
        <v>926</v>
      </c>
      <c r="B1135" s="2">
        <v>139</v>
      </c>
      <c r="C1135" s="2">
        <v>81292135</v>
      </c>
      <c r="D1135" s="2" t="s">
        <v>763</v>
      </c>
      <c r="E1135" s="2" t="s">
        <v>2127</v>
      </c>
      <c r="F1135" s="2" t="s">
        <v>14</v>
      </c>
      <c r="G1135" s="2" t="s">
        <v>15</v>
      </c>
      <c r="H1135" s="2">
        <v>40000000</v>
      </c>
      <c r="I1135" s="2">
        <v>7.3</v>
      </c>
      <c r="J1135" s="2">
        <f t="shared" si="8"/>
        <v>41292135</v>
      </c>
      <c r="K1135" s="2">
        <f t="shared" si="9"/>
        <v>-1.5436411864033175E-2</v>
      </c>
      <c r="L1135" s="2" t="str">
        <f>IF(ISNUMBER(SEARCH("|",IMDB_Movies!$D1135)),LEFT(IMDB_Movies!$D1135,SEARCH("|",IMDB_Movies!$D1135)-1),IMDB_Movies!$D1135)</f>
        <v>Crime</v>
      </c>
      <c r="V1135" s="2"/>
      <c r="W1135" s="2"/>
    </row>
    <row r="1136" spans="1:23" ht="12.5" x14ac:dyDescent="0.25">
      <c r="A1136" s="2" t="s">
        <v>1211</v>
      </c>
      <c r="B1136" s="2">
        <v>109</v>
      </c>
      <c r="C1136" s="2">
        <v>86208010</v>
      </c>
      <c r="D1136" s="2" t="s">
        <v>709</v>
      </c>
      <c r="E1136" s="2" t="s">
        <v>2128</v>
      </c>
      <c r="F1136" s="2" t="s">
        <v>14</v>
      </c>
      <c r="G1136" s="2" t="s">
        <v>15</v>
      </c>
      <c r="H1136" s="2">
        <v>35000000</v>
      </c>
      <c r="I1136" s="2">
        <v>5.7</v>
      </c>
      <c r="J1136" s="2">
        <f t="shared" si="8"/>
        <v>51208010</v>
      </c>
      <c r="K1136" s="2">
        <f t="shared" si="9"/>
        <v>-1.5466886855597916E-2</v>
      </c>
      <c r="L1136" s="2" t="str">
        <f>IF(ISNUMBER(SEARCH("|",IMDB_Movies!$D1136)),LEFT(IMDB_Movies!$D1136,SEARCH("|",IMDB_Movies!$D1136)-1),IMDB_Movies!$D1136)</f>
        <v>Comedy</v>
      </c>
      <c r="V1136" s="2"/>
      <c r="W1136" s="2"/>
    </row>
    <row r="1137" spans="1:23" ht="12.5" x14ac:dyDescent="0.25">
      <c r="A1137" s="2" t="s">
        <v>1729</v>
      </c>
      <c r="B1137" s="2">
        <v>120</v>
      </c>
      <c r="C1137" s="2">
        <v>81593527</v>
      </c>
      <c r="D1137" s="2" t="s">
        <v>1135</v>
      </c>
      <c r="E1137" s="2" t="s">
        <v>2129</v>
      </c>
      <c r="F1137" s="2" t="s">
        <v>14</v>
      </c>
      <c r="G1137" s="2" t="s">
        <v>15</v>
      </c>
      <c r="H1137" s="2">
        <v>40000000</v>
      </c>
      <c r="I1137" s="2">
        <v>7.3</v>
      </c>
      <c r="J1137" s="2">
        <f t="shared" si="8"/>
        <v>41593527</v>
      </c>
      <c r="K1137" s="2">
        <f t="shared" si="9"/>
        <v>-1.5490048335283668E-2</v>
      </c>
      <c r="L1137" s="2" t="str">
        <f>IF(ISNUMBER(SEARCH("|",IMDB_Movies!$D1137)),LEFT(IMDB_Movies!$D1137,SEARCH("|",IMDB_Movies!$D1137)-1),IMDB_Movies!$D1137)</f>
        <v>Adventure</v>
      </c>
      <c r="V1137" s="2"/>
      <c r="W1137" s="2"/>
    </row>
    <row r="1138" spans="1:23" ht="12.5" x14ac:dyDescent="0.25">
      <c r="A1138" s="2" t="s">
        <v>843</v>
      </c>
      <c r="B1138" s="2">
        <v>121</v>
      </c>
      <c r="C1138" s="2">
        <v>75274748</v>
      </c>
      <c r="D1138" s="2" t="s">
        <v>891</v>
      </c>
      <c r="E1138" s="2" t="s">
        <v>2130</v>
      </c>
      <c r="F1138" s="2" t="s">
        <v>14</v>
      </c>
      <c r="G1138" s="2" t="s">
        <v>15</v>
      </c>
      <c r="H1138" s="2">
        <v>35000000</v>
      </c>
      <c r="I1138" s="2">
        <v>7.2</v>
      </c>
      <c r="J1138" s="2">
        <f t="shared" si="8"/>
        <v>40274748</v>
      </c>
      <c r="K1138" s="2">
        <f t="shared" si="9"/>
        <v>-1.5520820246803988E-2</v>
      </c>
      <c r="L1138" s="2" t="str">
        <f>IF(ISNUMBER(SEARCH("|",IMDB_Movies!$D1138)),LEFT(IMDB_Movies!$D1138,SEARCH("|",IMDB_Movies!$D1138)-1),IMDB_Movies!$D1138)</f>
        <v>Comedy</v>
      </c>
      <c r="V1138" s="2"/>
      <c r="W1138" s="2"/>
    </row>
    <row r="1139" spans="1:23" ht="12.5" x14ac:dyDescent="0.25">
      <c r="A1139" s="2" t="s">
        <v>490</v>
      </c>
      <c r="B1139" s="2">
        <v>102</v>
      </c>
      <c r="C1139" s="2">
        <v>90835030</v>
      </c>
      <c r="D1139" s="2" t="s">
        <v>768</v>
      </c>
      <c r="E1139" s="2" t="s">
        <v>2131</v>
      </c>
      <c r="F1139" s="2" t="s">
        <v>14</v>
      </c>
      <c r="G1139" s="2" t="s">
        <v>15</v>
      </c>
      <c r="H1139" s="2">
        <v>40000000</v>
      </c>
      <c r="I1139" s="2">
        <v>5.9</v>
      </c>
      <c r="J1139" s="2">
        <f t="shared" si="8"/>
        <v>50835030</v>
      </c>
      <c r="K1139" s="2">
        <f t="shared" si="9"/>
        <v>-1.5538665241797363E-2</v>
      </c>
      <c r="L1139" s="2" t="str">
        <f>IF(ISNUMBER(SEARCH("|",IMDB_Movies!$D1139)),LEFT(IMDB_Movies!$D1139,SEARCH("|",IMDB_Movies!$D1139)-1),IMDB_Movies!$D1139)</f>
        <v>Action</v>
      </c>
      <c r="V1139" s="2"/>
      <c r="W1139" s="2"/>
    </row>
    <row r="1140" spans="1:23" ht="12.5" x14ac:dyDescent="0.25">
      <c r="A1140" s="2" t="s">
        <v>584</v>
      </c>
      <c r="B1140" s="2">
        <v>117</v>
      </c>
      <c r="C1140" s="2">
        <v>72455275</v>
      </c>
      <c r="D1140" s="2" t="s">
        <v>2132</v>
      </c>
      <c r="E1140" s="2" t="s">
        <v>2133</v>
      </c>
      <c r="F1140" s="2" t="s">
        <v>14</v>
      </c>
      <c r="G1140" s="2" t="s">
        <v>15</v>
      </c>
      <c r="H1140" s="2">
        <v>40000000</v>
      </c>
      <c r="I1140" s="2">
        <v>7.8</v>
      </c>
      <c r="J1140" s="2">
        <f t="shared" si="8"/>
        <v>32455275</v>
      </c>
      <c r="K1140" s="2">
        <f t="shared" si="9"/>
        <v>-1.5576007923294107E-2</v>
      </c>
      <c r="L1140" s="2" t="str">
        <f>IF(ISNUMBER(SEARCH("|",IMDB_Movies!$D1140)),LEFT(IMDB_Movies!$D1140,SEARCH("|",IMDB_Movies!$D1140)-1),IMDB_Movies!$D1140)</f>
        <v>Action</v>
      </c>
      <c r="V1140" s="2"/>
      <c r="W1140" s="2"/>
    </row>
    <row r="1141" spans="1:23" ht="12.5" x14ac:dyDescent="0.25">
      <c r="A1141" s="2" t="s">
        <v>1303</v>
      </c>
      <c r="B1141" s="2">
        <v>178</v>
      </c>
      <c r="C1141" s="2">
        <v>75305995</v>
      </c>
      <c r="D1141" s="2" t="s">
        <v>1473</v>
      </c>
      <c r="E1141" s="2" t="s">
        <v>2134</v>
      </c>
      <c r="F1141" s="2" t="s">
        <v>14</v>
      </c>
      <c r="G1141" s="2" t="s">
        <v>15</v>
      </c>
      <c r="H1141" s="2">
        <v>40000000</v>
      </c>
      <c r="I1141" s="2">
        <v>7.7</v>
      </c>
      <c r="J1141" s="2">
        <f t="shared" si="8"/>
        <v>35305995</v>
      </c>
      <c r="K1141" s="2">
        <f t="shared" si="9"/>
        <v>-1.5600831211956346E-2</v>
      </c>
      <c r="L1141" s="2" t="str">
        <f>IF(ISNUMBER(SEARCH("|",IMDB_Movies!$D1141)),LEFT(IMDB_Movies!$D1141,SEARCH("|",IMDB_Movies!$D1141)-1),IMDB_Movies!$D1141)</f>
        <v>Biography</v>
      </c>
      <c r="V1141" s="2"/>
      <c r="W1141" s="2"/>
    </row>
    <row r="1142" spans="1:23" ht="12.5" x14ac:dyDescent="0.25">
      <c r="A1142" s="2" t="s">
        <v>1318</v>
      </c>
      <c r="B1142" s="2">
        <v>147</v>
      </c>
      <c r="C1142" s="2">
        <v>74098862</v>
      </c>
      <c r="D1142" s="2" t="s">
        <v>550</v>
      </c>
      <c r="E1142" s="2" t="s">
        <v>2135</v>
      </c>
      <c r="F1142" s="2" t="s">
        <v>14</v>
      </c>
      <c r="G1142" s="2" t="s">
        <v>15</v>
      </c>
      <c r="H1142" s="2">
        <v>40000000</v>
      </c>
      <c r="I1142" s="2">
        <v>8.1</v>
      </c>
      <c r="J1142" s="2">
        <f t="shared" si="8"/>
        <v>34098862</v>
      </c>
      <c r="K1142" s="2">
        <f t="shared" si="9"/>
        <v>-1.5627552534915122E-2</v>
      </c>
      <c r="L1142" s="2" t="str">
        <f>IF(ISNUMBER(SEARCH("|",IMDB_Movies!$D1142)),LEFT(IMDB_Movies!$D1142,SEARCH("|",IMDB_Movies!$D1142)-1),IMDB_Movies!$D1142)</f>
        <v>Crime</v>
      </c>
      <c r="V1142" s="2"/>
      <c r="W1142" s="2"/>
    </row>
    <row r="1143" spans="1:23" ht="12.5" x14ac:dyDescent="0.25">
      <c r="A1143" s="2" t="s">
        <v>879</v>
      </c>
      <c r="B1143" s="2">
        <v>90</v>
      </c>
      <c r="C1143" s="2">
        <v>72266306</v>
      </c>
      <c r="D1143" s="2" t="s">
        <v>770</v>
      </c>
      <c r="E1143" s="2" t="s">
        <v>2136</v>
      </c>
      <c r="F1143" s="2" t="s">
        <v>14</v>
      </c>
      <c r="G1143" s="2" t="s">
        <v>15</v>
      </c>
      <c r="H1143" s="2">
        <v>40000000</v>
      </c>
      <c r="I1143" s="2">
        <v>6.6</v>
      </c>
      <c r="J1143" s="2">
        <f t="shared" si="8"/>
        <v>32266306</v>
      </c>
      <c r="K1143" s="2">
        <f t="shared" si="9"/>
        <v>-1.5653515706621206E-2</v>
      </c>
      <c r="L1143" s="2" t="str">
        <f>IF(ISNUMBER(SEARCH("|",IMDB_Movies!$D1143)),LEFT(IMDB_Movies!$D1143,SEARCH("|",IMDB_Movies!$D1143)-1),IMDB_Movies!$D1143)</f>
        <v>Crime</v>
      </c>
      <c r="V1143" s="2"/>
      <c r="W1143" s="2"/>
    </row>
    <row r="1144" spans="1:23" ht="12.5" x14ac:dyDescent="0.25">
      <c r="A1144" s="2" t="s">
        <v>2048</v>
      </c>
      <c r="B1144" s="2">
        <v>105</v>
      </c>
      <c r="C1144" s="2">
        <v>71347010</v>
      </c>
      <c r="D1144" s="2" t="s">
        <v>600</v>
      </c>
      <c r="E1144" s="2" t="s">
        <v>2137</v>
      </c>
      <c r="F1144" s="2" t="s">
        <v>14</v>
      </c>
      <c r="G1144" s="2" t="s">
        <v>15</v>
      </c>
      <c r="H1144" s="2">
        <v>40000000</v>
      </c>
      <c r="I1144" s="2">
        <v>7.1</v>
      </c>
      <c r="J1144" s="2">
        <f t="shared" si="8"/>
        <v>31347010</v>
      </c>
      <c r="K1144" s="2">
        <f t="shared" si="9"/>
        <v>-1.5678316795121466E-2</v>
      </c>
      <c r="L1144" s="2" t="str">
        <f>IF(ISNUMBER(SEARCH("|",IMDB_Movies!$D1144)),LEFT(IMDB_Movies!$D1144,SEARCH("|",IMDB_Movies!$D1144)-1),IMDB_Movies!$D1144)</f>
        <v>Comedy</v>
      </c>
      <c r="V1144" s="2"/>
      <c r="W1144" s="2"/>
    </row>
    <row r="1145" spans="1:23" ht="12.5" x14ac:dyDescent="0.25">
      <c r="A1145" s="2" t="s">
        <v>1211</v>
      </c>
      <c r="B1145" s="2">
        <v>114</v>
      </c>
      <c r="C1145" s="2">
        <v>70836296</v>
      </c>
      <c r="D1145" s="2" t="s">
        <v>881</v>
      </c>
      <c r="E1145" s="2" t="s">
        <v>2138</v>
      </c>
      <c r="F1145" s="2" t="s">
        <v>14</v>
      </c>
      <c r="G1145" s="2" t="s">
        <v>15</v>
      </c>
      <c r="H1145" s="2">
        <v>40000000</v>
      </c>
      <c r="I1145" s="2">
        <v>5.9</v>
      </c>
      <c r="J1145" s="2">
        <f t="shared" si="8"/>
        <v>30836296</v>
      </c>
      <c r="K1145" s="2">
        <f t="shared" si="9"/>
        <v>-1.5702554092668974E-2</v>
      </c>
      <c r="L1145" s="2" t="str">
        <f>IF(ISNUMBER(SEARCH("|",IMDB_Movies!$D1145)),LEFT(IMDB_Movies!$D1145,SEARCH("|",IMDB_Movies!$D1145)-1),IMDB_Movies!$D1145)</f>
        <v>Comedy</v>
      </c>
      <c r="V1145" s="2"/>
      <c r="W1145" s="2"/>
    </row>
    <row r="1146" spans="1:23" ht="12.5" x14ac:dyDescent="0.25">
      <c r="A1146" s="2" t="s">
        <v>284</v>
      </c>
      <c r="B1146" s="2">
        <v>206</v>
      </c>
      <c r="C1146" s="2">
        <v>70405498</v>
      </c>
      <c r="D1146" s="2" t="s">
        <v>983</v>
      </c>
      <c r="E1146" s="2" t="s">
        <v>2139</v>
      </c>
      <c r="F1146" s="2" t="s">
        <v>14</v>
      </c>
      <c r="G1146" s="2" t="s">
        <v>686</v>
      </c>
      <c r="H1146" s="2">
        <v>40000000</v>
      </c>
      <c r="I1146" s="2">
        <v>8</v>
      </c>
      <c r="J1146" s="2">
        <f t="shared" si="8"/>
        <v>30405498</v>
      </c>
      <c r="K1146" s="2">
        <f t="shared" si="9"/>
        <v>-1.5726492370145881E-2</v>
      </c>
      <c r="L1146" s="2" t="str">
        <f>IF(ISNUMBER(SEARCH("|",IMDB_Movies!$D1146)),LEFT(IMDB_Movies!$D1146,SEARCH("|",IMDB_Movies!$D1146)-1),IMDB_Movies!$D1146)</f>
        <v>Drama</v>
      </c>
      <c r="V1146" s="2"/>
      <c r="W1146" s="2"/>
    </row>
    <row r="1147" spans="1:23" ht="12.5" x14ac:dyDescent="0.25">
      <c r="A1147" s="2" t="s">
        <v>2140</v>
      </c>
      <c r="B1147" s="2">
        <v>99</v>
      </c>
      <c r="C1147" s="2">
        <v>70163652</v>
      </c>
      <c r="D1147" s="2" t="s">
        <v>375</v>
      </c>
      <c r="E1147" s="2" t="s">
        <v>2141</v>
      </c>
      <c r="F1147" s="2" t="s">
        <v>14</v>
      </c>
      <c r="G1147" s="2" t="s">
        <v>15</v>
      </c>
      <c r="H1147" s="2">
        <v>40000000</v>
      </c>
      <c r="I1147" s="2">
        <v>4.5999999999999996</v>
      </c>
      <c r="J1147" s="2">
        <f t="shared" si="8"/>
        <v>30163652</v>
      </c>
      <c r="K1147" s="2">
        <f t="shared" si="9"/>
        <v>-1.5750183131032731E-2</v>
      </c>
      <c r="L1147" s="2" t="str">
        <f>IF(ISNUMBER(SEARCH("|",IMDB_Movies!$D1147)),LEFT(IMDB_Movies!$D1147,SEARCH("|",IMDB_Movies!$D1147)-1),IMDB_Movies!$D1147)</f>
        <v>Comedy</v>
      </c>
      <c r="V1147" s="2"/>
      <c r="W1147" s="2"/>
    </row>
    <row r="1148" spans="1:23" ht="12.5" x14ac:dyDescent="0.25">
      <c r="A1148" s="2" t="s">
        <v>16</v>
      </c>
      <c r="B1148" s="2">
        <v>123</v>
      </c>
      <c r="C1148" s="2">
        <v>66808615</v>
      </c>
      <c r="D1148" s="2" t="s">
        <v>2142</v>
      </c>
      <c r="E1148" s="2" t="s">
        <v>2143</v>
      </c>
      <c r="F1148" s="2" t="s">
        <v>14</v>
      </c>
      <c r="G1148" s="2" t="s">
        <v>15</v>
      </c>
      <c r="H1148" s="2">
        <v>34000000</v>
      </c>
      <c r="I1148" s="2">
        <v>6.1</v>
      </c>
      <c r="J1148" s="2">
        <f t="shared" si="8"/>
        <v>32808615</v>
      </c>
      <c r="K1148" s="2">
        <f t="shared" si="9"/>
        <v>-1.5773747872826024E-2</v>
      </c>
      <c r="L1148" s="2" t="str">
        <f>IF(ISNUMBER(SEARCH("|",IMDB_Movies!$D1148)),LEFT(IMDB_Movies!$D1148,SEARCH("|",IMDB_Movies!$D1148)-1),IMDB_Movies!$D1148)</f>
        <v>Adventure</v>
      </c>
      <c r="V1148" s="2"/>
      <c r="W1148" s="2"/>
    </row>
    <row r="1149" spans="1:23" ht="12.5" x14ac:dyDescent="0.25">
      <c r="A1149" s="2" t="s">
        <v>2042</v>
      </c>
      <c r="B1149" s="2">
        <v>102</v>
      </c>
      <c r="C1149" s="2">
        <v>64149837</v>
      </c>
      <c r="D1149" s="2" t="s">
        <v>2144</v>
      </c>
      <c r="E1149" s="2" t="s">
        <v>2145</v>
      </c>
      <c r="F1149" s="2" t="s">
        <v>14</v>
      </c>
      <c r="G1149" s="2" t="s">
        <v>15</v>
      </c>
      <c r="H1149" s="2">
        <v>20000000</v>
      </c>
      <c r="I1149" s="2">
        <v>6.4</v>
      </c>
      <c r="J1149" s="2">
        <f t="shared" si="8"/>
        <v>44149837</v>
      </c>
      <c r="K1149" s="2">
        <f t="shared" si="9"/>
        <v>-1.5786533872277415E-2</v>
      </c>
      <c r="L1149" s="2" t="str">
        <f>IF(ISNUMBER(SEARCH("|",IMDB_Movies!$D1149)),LEFT(IMDB_Movies!$D1149,SEARCH("|",IMDB_Movies!$D1149)-1),IMDB_Movies!$D1149)</f>
        <v>Comedy</v>
      </c>
      <c r="V1149" s="2"/>
      <c r="W1149" s="2"/>
    </row>
    <row r="1150" spans="1:23" ht="12.5" x14ac:dyDescent="0.25">
      <c r="A1150" s="2" t="s">
        <v>2146</v>
      </c>
      <c r="B1150" s="2">
        <v>109</v>
      </c>
      <c r="C1150" s="2">
        <v>83906114</v>
      </c>
      <c r="D1150" s="2" t="s">
        <v>600</v>
      </c>
      <c r="E1150" s="2" t="s">
        <v>2147</v>
      </c>
      <c r="F1150" s="2" t="s">
        <v>14</v>
      </c>
      <c r="G1150" s="2" t="s">
        <v>15</v>
      </c>
      <c r="H1150" s="2">
        <v>40000000</v>
      </c>
      <c r="I1150" s="2">
        <v>6</v>
      </c>
      <c r="J1150" s="2">
        <f t="shared" si="8"/>
        <v>43906114</v>
      </c>
      <c r="K1150" s="2">
        <f t="shared" si="9"/>
        <v>-1.5779420056889988E-2</v>
      </c>
      <c r="L1150" s="2" t="str">
        <f>IF(ISNUMBER(SEARCH("|",IMDB_Movies!$D1150)),LEFT(IMDB_Movies!$D1150,SEARCH("|",IMDB_Movies!$D1150)-1),IMDB_Movies!$D1150)</f>
        <v>Comedy</v>
      </c>
      <c r="V1150" s="2"/>
      <c r="W1150" s="2"/>
    </row>
    <row r="1151" spans="1:23" ht="12.5" x14ac:dyDescent="0.25">
      <c r="A1151" s="2" t="s">
        <v>1970</v>
      </c>
      <c r="B1151" s="2">
        <v>82</v>
      </c>
      <c r="C1151" s="2">
        <v>66466372</v>
      </c>
      <c r="D1151" s="2" t="s">
        <v>2148</v>
      </c>
      <c r="E1151" s="2" t="s">
        <v>2149</v>
      </c>
      <c r="F1151" s="2" t="s">
        <v>14</v>
      </c>
      <c r="G1151" s="2" t="s">
        <v>15</v>
      </c>
      <c r="H1151" s="2">
        <v>40000000</v>
      </c>
      <c r="I1151" s="2">
        <v>5.2</v>
      </c>
      <c r="J1151" s="2">
        <f t="shared" si="8"/>
        <v>26466372</v>
      </c>
      <c r="K1151" s="2">
        <f t="shared" si="9"/>
        <v>-1.5812293688579913E-2</v>
      </c>
      <c r="L1151" s="2" t="str">
        <f>IF(ISNUMBER(SEARCH("|",IMDB_Movies!$D1151)),LEFT(IMDB_Movies!$D1151,SEARCH("|",IMDB_Movies!$D1151)-1),IMDB_Movies!$D1151)</f>
        <v>Horror</v>
      </c>
      <c r="V1151" s="2"/>
      <c r="W1151" s="2"/>
    </row>
    <row r="1152" spans="1:23" ht="12.5" x14ac:dyDescent="0.25">
      <c r="A1152" s="2" t="s">
        <v>141</v>
      </c>
      <c r="B1152" s="2">
        <v>142</v>
      </c>
      <c r="C1152" s="2">
        <v>72306065</v>
      </c>
      <c r="D1152" s="2" t="s">
        <v>983</v>
      </c>
      <c r="E1152" s="2" t="s">
        <v>2150</v>
      </c>
      <c r="F1152" s="2" t="s">
        <v>14</v>
      </c>
      <c r="G1152" s="2" t="s">
        <v>15</v>
      </c>
      <c r="H1152" s="2">
        <v>40000000</v>
      </c>
      <c r="I1152" s="2">
        <v>7.6</v>
      </c>
      <c r="J1152" s="2">
        <f t="shared" si="8"/>
        <v>32306065</v>
      </c>
      <c r="K1152" s="2">
        <f t="shared" si="9"/>
        <v>-1.5833596931341565E-2</v>
      </c>
      <c r="L1152" s="2" t="str">
        <f>IF(ISNUMBER(SEARCH("|",IMDB_Movies!$D1152)),LEFT(IMDB_Movies!$D1152,SEARCH("|",IMDB_Movies!$D1152)-1),IMDB_Movies!$D1152)</f>
        <v>Drama</v>
      </c>
      <c r="V1152" s="2"/>
      <c r="W1152" s="2"/>
    </row>
    <row r="1153" spans="1:23" ht="12.5" x14ac:dyDescent="0.25">
      <c r="A1153" s="2" t="s">
        <v>737</v>
      </c>
      <c r="B1153" s="2">
        <v>106</v>
      </c>
      <c r="C1153" s="2">
        <v>59068786</v>
      </c>
      <c r="D1153" s="2" t="s">
        <v>684</v>
      </c>
      <c r="E1153" s="2" t="s">
        <v>2151</v>
      </c>
      <c r="F1153" s="2" t="s">
        <v>14</v>
      </c>
      <c r="G1153" s="2" t="s">
        <v>15</v>
      </c>
      <c r="H1153" s="2">
        <v>40000000</v>
      </c>
      <c r="I1153" s="2">
        <v>6.4</v>
      </c>
      <c r="J1153" s="2">
        <f t="shared" si="8"/>
        <v>19068786</v>
      </c>
      <c r="K1153" s="2">
        <f t="shared" si="9"/>
        <v>-1.5858682278869038E-2</v>
      </c>
      <c r="L1153" s="2" t="str">
        <f>IF(ISNUMBER(SEARCH("|",IMDB_Movies!$D1153)),LEFT(IMDB_Movies!$D1153,SEARCH("|",IMDB_Movies!$D1153)-1),IMDB_Movies!$D1153)</f>
        <v>Action</v>
      </c>
      <c r="V1153" s="2"/>
      <c r="W1153" s="2"/>
    </row>
    <row r="1154" spans="1:23" ht="12.5" x14ac:dyDescent="0.25">
      <c r="A1154" s="2" t="s">
        <v>599</v>
      </c>
      <c r="B1154" s="2">
        <v>106</v>
      </c>
      <c r="C1154" s="2">
        <v>57887882</v>
      </c>
      <c r="D1154" s="2" t="s">
        <v>514</v>
      </c>
      <c r="E1154" s="2" t="s">
        <v>2152</v>
      </c>
      <c r="F1154" s="2" t="s">
        <v>14</v>
      </c>
      <c r="G1154" s="2" t="s">
        <v>15</v>
      </c>
      <c r="H1154" s="2">
        <v>50000000</v>
      </c>
      <c r="I1154" s="2">
        <v>6.1</v>
      </c>
      <c r="J1154" s="2">
        <f t="shared" si="8"/>
        <v>7887882</v>
      </c>
      <c r="K1154" s="2">
        <f t="shared" si="9"/>
        <v>-1.5875475680717649E-2</v>
      </c>
      <c r="L1154" s="2" t="str">
        <f>IF(ISNUMBER(SEARCH("|",IMDB_Movies!$D1154)),LEFT(IMDB_Movies!$D1154,SEARCH("|",IMDB_Movies!$D1154)-1),IMDB_Movies!$D1154)</f>
        <v>Comedy</v>
      </c>
      <c r="V1154" s="2"/>
      <c r="W1154" s="2"/>
    </row>
    <row r="1155" spans="1:23" ht="12.5" x14ac:dyDescent="0.25">
      <c r="A1155" s="2" t="s">
        <v>991</v>
      </c>
      <c r="B1155" s="2">
        <v>108</v>
      </c>
      <c r="C1155" s="2">
        <v>53955614</v>
      </c>
      <c r="D1155" s="2" t="s">
        <v>1053</v>
      </c>
      <c r="E1155" s="2" t="s">
        <v>2153</v>
      </c>
      <c r="F1155" s="2" t="s">
        <v>14</v>
      </c>
      <c r="G1155" s="2" t="s">
        <v>15</v>
      </c>
      <c r="H1155" s="2">
        <v>40000000</v>
      </c>
      <c r="I1155" s="2">
        <v>6.1</v>
      </c>
      <c r="J1155" s="2">
        <f t="shared" si="8"/>
        <v>13955614</v>
      </c>
      <c r="K1155" s="2">
        <f t="shared" si="9"/>
        <v>-1.5902768751349796E-2</v>
      </c>
      <c r="L1155" s="2" t="str">
        <f>IF(ISNUMBER(SEARCH("|",IMDB_Movies!$D1155)),LEFT(IMDB_Movies!$D1155,SEARCH("|",IMDB_Movies!$D1155)-1),IMDB_Movies!$D1155)</f>
        <v>Action</v>
      </c>
      <c r="V1155" s="2"/>
      <c r="W1155" s="2"/>
    </row>
    <row r="1156" spans="1:23" ht="12.5" x14ac:dyDescent="0.25">
      <c r="A1156" s="2" t="s">
        <v>2154</v>
      </c>
      <c r="B1156" s="2">
        <v>98</v>
      </c>
      <c r="C1156" s="2">
        <v>54967359</v>
      </c>
      <c r="D1156" s="2" t="s">
        <v>1937</v>
      </c>
      <c r="E1156" s="2" t="s">
        <v>2155</v>
      </c>
      <c r="F1156" s="2" t="s">
        <v>14</v>
      </c>
      <c r="G1156" s="2" t="s">
        <v>15</v>
      </c>
      <c r="H1156" s="2">
        <v>40000000</v>
      </c>
      <c r="I1156" s="2">
        <v>5.2</v>
      </c>
      <c r="J1156" s="2">
        <f t="shared" si="8"/>
        <v>14967359</v>
      </c>
      <c r="K1156" s="2">
        <f t="shared" si="9"/>
        <v>-1.5916573555601114E-2</v>
      </c>
      <c r="L1156" s="2" t="str">
        <f>IF(ISNUMBER(SEARCH("|",IMDB_Movies!$D1156)),LEFT(IMDB_Movies!$D1156,SEARCH("|",IMDB_Movies!$D1156)-1),IMDB_Movies!$D1156)</f>
        <v>Action</v>
      </c>
      <c r="V1156" s="2"/>
      <c r="W1156" s="2"/>
    </row>
    <row r="1157" spans="1:23" ht="12.5" x14ac:dyDescent="0.25">
      <c r="A1157" s="2" t="s">
        <v>208</v>
      </c>
      <c r="B1157" s="2">
        <v>131</v>
      </c>
      <c r="C1157" s="2">
        <v>54228104</v>
      </c>
      <c r="D1157" s="2" t="s">
        <v>2156</v>
      </c>
      <c r="E1157" s="2" t="s">
        <v>2157</v>
      </c>
      <c r="F1157" s="2" t="s">
        <v>14</v>
      </c>
      <c r="G1157" s="2" t="s">
        <v>22</v>
      </c>
      <c r="H1157" s="2">
        <v>35000000</v>
      </c>
      <c r="I1157" s="2">
        <v>7.7</v>
      </c>
      <c r="J1157" s="2">
        <f t="shared" si="8"/>
        <v>19228104</v>
      </c>
      <c r="K1157" s="2">
        <f t="shared" si="9"/>
        <v>-1.5930982498589454E-2</v>
      </c>
      <c r="L1157" s="2" t="str">
        <f>IF(ISNUMBER(SEARCH("|",IMDB_Movies!$D1157)),LEFT(IMDB_Movies!$D1157,SEARCH("|",IMDB_Movies!$D1157)-1),IMDB_Movies!$D1157)</f>
        <v>Action</v>
      </c>
      <c r="V1157" s="2"/>
      <c r="W1157" s="2"/>
    </row>
    <row r="1158" spans="1:23" ht="12.5" x14ac:dyDescent="0.25">
      <c r="A1158" s="2" t="s">
        <v>1913</v>
      </c>
      <c r="B1158" s="2">
        <v>118</v>
      </c>
      <c r="C1158" s="2">
        <v>57981889</v>
      </c>
      <c r="D1158" s="2" t="s">
        <v>763</v>
      </c>
      <c r="E1158" s="2" t="s">
        <v>2158</v>
      </c>
      <c r="F1158" s="2" t="s">
        <v>14</v>
      </c>
      <c r="G1158" s="2" t="s">
        <v>15</v>
      </c>
      <c r="H1158" s="2">
        <v>40000000</v>
      </c>
      <c r="I1158" s="2">
        <v>7.3</v>
      </c>
      <c r="J1158" s="2">
        <f t="shared" si="8"/>
        <v>17981889</v>
      </c>
      <c r="K1158" s="2">
        <f t="shared" si="9"/>
        <v>-1.5940053805003757E-2</v>
      </c>
      <c r="L1158" s="2" t="str">
        <f>IF(ISNUMBER(SEARCH("|",IMDB_Movies!$D1158)),LEFT(IMDB_Movies!$D1158,SEARCH("|",IMDB_Movies!$D1158)-1),IMDB_Movies!$D1158)</f>
        <v>Crime</v>
      </c>
      <c r="V1158" s="2"/>
      <c r="W1158" s="2"/>
    </row>
    <row r="1159" spans="1:23" ht="12.5" x14ac:dyDescent="0.25">
      <c r="A1159" s="2" t="s">
        <v>1741</v>
      </c>
      <c r="B1159" s="2">
        <v>113</v>
      </c>
      <c r="C1159" s="2">
        <v>61094903</v>
      </c>
      <c r="D1159" s="2" t="s">
        <v>425</v>
      </c>
      <c r="E1159" s="2" t="s">
        <v>2159</v>
      </c>
      <c r="F1159" s="2" t="s">
        <v>14</v>
      </c>
      <c r="G1159" s="2" t="s">
        <v>22</v>
      </c>
      <c r="H1159" s="2">
        <v>30000000</v>
      </c>
      <c r="I1159" s="2">
        <v>6.9</v>
      </c>
      <c r="J1159" s="2">
        <f t="shared" si="8"/>
        <v>31094903</v>
      </c>
      <c r="K1159" s="2">
        <f t="shared" si="9"/>
        <v>-1.595627600039002E-2</v>
      </c>
      <c r="L1159" s="2" t="str">
        <f>IF(ISNUMBER(SEARCH("|",IMDB_Movies!$D1159)),LEFT(IMDB_Movies!$D1159,SEARCH("|",IMDB_Movies!$D1159)-1),IMDB_Movies!$D1159)</f>
        <v>Action</v>
      </c>
      <c r="V1159" s="2"/>
      <c r="W1159" s="2"/>
    </row>
    <row r="1160" spans="1:23" ht="12.5" x14ac:dyDescent="0.25">
      <c r="A1160" s="2" t="s">
        <v>24</v>
      </c>
      <c r="B1160" s="2">
        <v>130</v>
      </c>
      <c r="C1160" s="2">
        <v>53082743</v>
      </c>
      <c r="D1160" s="2" t="s">
        <v>788</v>
      </c>
      <c r="E1160" s="2" t="s">
        <v>2160</v>
      </c>
      <c r="F1160" s="2" t="s">
        <v>14</v>
      </c>
      <c r="G1160" s="2" t="s">
        <v>15</v>
      </c>
      <c r="H1160" s="2">
        <v>40000000</v>
      </c>
      <c r="I1160" s="2">
        <v>8.5</v>
      </c>
      <c r="J1160" s="2">
        <f t="shared" si="8"/>
        <v>13082743</v>
      </c>
      <c r="K1160" s="2">
        <f t="shared" si="9"/>
        <v>-1.5962000862297269E-2</v>
      </c>
      <c r="L1160" s="2" t="str">
        <f>IF(ISNUMBER(SEARCH("|",IMDB_Movies!$D1160)),LEFT(IMDB_Movies!$D1160,SEARCH("|",IMDB_Movies!$D1160)-1),IMDB_Movies!$D1160)</f>
        <v>Drama</v>
      </c>
      <c r="V1160" s="2"/>
      <c r="W1160" s="2"/>
    </row>
    <row r="1161" spans="1:23" ht="12.5" x14ac:dyDescent="0.25">
      <c r="A1161" s="2" t="s">
        <v>1545</v>
      </c>
      <c r="B1161" s="2">
        <v>116</v>
      </c>
      <c r="C1161" s="2">
        <v>54414716</v>
      </c>
      <c r="D1161" s="2" t="s">
        <v>375</v>
      </c>
      <c r="E1161" s="2" t="s">
        <v>2161</v>
      </c>
      <c r="F1161" s="2" t="s">
        <v>14</v>
      </c>
      <c r="G1161" s="2" t="s">
        <v>15</v>
      </c>
      <c r="H1161" s="2">
        <v>42000000</v>
      </c>
      <c r="I1161" s="2">
        <v>6.3</v>
      </c>
      <c r="J1161" s="2">
        <f t="shared" si="8"/>
        <v>12414716</v>
      </c>
      <c r="K1161" s="2">
        <f t="shared" si="9"/>
        <v>-1.5975361221601956E-2</v>
      </c>
      <c r="L1161" s="2" t="str">
        <f>IF(ISNUMBER(SEARCH("|",IMDB_Movies!$D1161)),LEFT(IMDB_Movies!$D1161,SEARCH("|",IMDB_Movies!$D1161)-1),IMDB_Movies!$D1161)</f>
        <v>Comedy</v>
      </c>
      <c r="V1161" s="2"/>
      <c r="W1161" s="2"/>
    </row>
    <row r="1162" spans="1:23" ht="12.5" x14ac:dyDescent="0.25">
      <c r="A1162" s="2" t="s">
        <v>2162</v>
      </c>
      <c r="B1162" s="2">
        <v>89</v>
      </c>
      <c r="C1162" s="2">
        <v>57011847</v>
      </c>
      <c r="D1162" s="2" t="s">
        <v>238</v>
      </c>
      <c r="E1162" s="2" t="s">
        <v>2163</v>
      </c>
      <c r="F1162" s="2" t="s">
        <v>14</v>
      </c>
      <c r="G1162" s="2" t="s">
        <v>15</v>
      </c>
      <c r="H1162" s="2">
        <v>40000000</v>
      </c>
      <c r="I1162" s="2">
        <v>5.9</v>
      </c>
      <c r="J1162" s="2">
        <f t="shared" si="8"/>
        <v>17011847</v>
      </c>
      <c r="K1162" s="2">
        <f t="shared" si="9"/>
        <v>-1.5991496748100506E-2</v>
      </c>
      <c r="L1162" s="2" t="str">
        <f>IF(ISNUMBER(SEARCH("|",IMDB_Movies!$D1162)),LEFT(IMDB_Movies!$D1162,SEARCH("|",IMDB_Movies!$D1162)-1),IMDB_Movies!$D1162)</f>
        <v>Adventure</v>
      </c>
      <c r="V1162" s="2"/>
      <c r="W1162" s="2"/>
    </row>
    <row r="1163" spans="1:23" ht="12.5" x14ac:dyDescent="0.25">
      <c r="A1163" s="2" t="s">
        <v>1124</v>
      </c>
      <c r="B1163" s="2">
        <v>139</v>
      </c>
      <c r="C1163" s="2">
        <v>50859889</v>
      </c>
      <c r="D1163" s="2" t="s">
        <v>267</v>
      </c>
      <c r="E1163" s="2" t="s">
        <v>2164</v>
      </c>
      <c r="F1163" s="2" t="s">
        <v>2165</v>
      </c>
      <c r="G1163" s="2" t="s">
        <v>15</v>
      </c>
      <c r="H1163" s="2">
        <v>40000000</v>
      </c>
      <c r="I1163" s="2">
        <v>7.8</v>
      </c>
      <c r="J1163" s="2">
        <f t="shared" si="8"/>
        <v>10859889</v>
      </c>
      <c r="K1163" s="2">
        <f t="shared" si="9"/>
        <v>-1.600719681705098E-2</v>
      </c>
      <c r="L1163" s="2" t="str">
        <f>IF(ISNUMBER(SEARCH("|",IMDB_Movies!$D1163)),LEFT(IMDB_Movies!$D1163,SEARCH("|",IMDB_Movies!$D1163)-1),IMDB_Movies!$D1163)</f>
        <v>Action</v>
      </c>
      <c r="V1163" s="2"/>
      <c r="W1163" s="2"/>
    </row>
    <row r="1164" spans="1:23" ht="12.5" x14ac:dyDescent="0.25">
      <c r="A1164" s="2" t="s">
        <v>2064</v>
      </c>
      <c r="B1164" s="2">
        <v>130</v>
      </c>
      <c r="C1164" s="2">
        <v>51185897</v>
      </c>
      <c r="D1164" s="2" t="s">
        <v>20</v>
      </c>
      <c r="E1164" s="2" t="s">
        <v>2166</v>
      </c>
      <c r="F1164" s="2" t="s">
        <v>14</v>
      </c>
      <c r="G1164" s="2" t="s">
        <v>22</v>
      </c>
      <c r="H1164" s="2">
        <v>30000000</v>
      </c>
      <c r="I1164" s="2">
        <v>6.7</v>
      </c>
      <c r="J1164" s="2">
        <f t="shared" si="8"/>
        <v>21185897</v>
      </c>
      <c r="K1164" s="2">
        <f t="shared" si="9"/>
        <v>-1.601931635102705E-2</v>
      </c>
      <c r="L1164" s="2" t="str">
        <f>IF(ISNUMBER(SEARCH("|",IMDB_Movies!$D1164)),LEFT(IMDB_Movies!$D1164,SEARCH("|",IMDB_Movies!$D1164)-1),IMDB_Movies!$D1164)</f>
        <v>Action</v>
      </c>
      <c r="V1164" s="2"/>
      <c r="W1164" s="2"/>
    </row>
    <row r="1165" spans="1:23" ht="12.5" x14ac:dyDescent="0.25">
      <c r="A1165" s="2" t="s">
        <v>2167</v>
      </c>
      <c r="B1165" s="2">
        <v>107</v>
      </c>
      <c r="C1165" s="2">
        <v>52000688</v>
      </c>
      <c r="D1165" s="2" t="s">
        <v>90</v>
      </c>
      <c r="E1165" s="2" t="s">
        <v>2168</v>
      </c>
      <c r="F1165" s="2" t="s">
        <v>14</v>
      </c>
      <c r="G1165" s="2" t="s">
        <v>15</v>
      </c>
      <c r="H1165" s="2">
        <v>40000000</v>
      </c>
      <c r="I1165" s="2">
        <v>6.4</v>
      </c>
      <c r="J1165" s="2">
        <f t="shared" si="8"/>
        <v>12000688</v>
      </c>
      <c r="K1165" s="2">
        <f t="shared" si="9"/>
        <v>-1.6022895940715313E-2</v>
      </c>
      <c r="L1165" s="2" t="str">
        <f>IF(ISNUMBER(SEARCH("|",IMDB_Movies!$D1165)),LEFT(IMDB_Movies!$D1165,SEARCH("|",IMDB_Movies!$D1165)-1),IMDB_Movies!$D1165)</f>
        <v>Action</v>
      </c>
      <c r="V1165" s="2"/>
      <c r="W1165" s="2"/>
    </row>
    <row r="1166" spans="1:23" ht="12.5" x14ac:dyDescent="0.25">
      <c r="A1166" s="2" t="s">
        <v>947</v>
      </c>
      <c r="B1166" s="2">
        <v>116</v>
      </c>
      <c r="C1166" s="2">
        <v>49851591</v>
      </c>
      <c r="D1166" s="2" t="s">
        <v>1464</v>
      </c>
      <c r="E1166" s="2" t="s">
        <v>2169</v>
      </c>
      <c r="F1166" s="2" t="s">
        <v>14</v>
      </c>
      <c r="G1166" s="2" t="s">
        <v>15</v>
      </c>
      <c r="H1166" s="2">
        <v>40000000</v>
      </c>
      <c r="I1166" s="2">
        <v>5.9</v>
      </c>
      <c r="J1166" s="2">
        <f t="shared" si="8"/>
        <v>9851591</v>
      </c>
      <c r="K1166" s="2">
        <f t="shared" si="9"/>
        <v>-1.6035689261664484E-2</v>
      </c>
      <c r="L1166" s="2" t="str">
        <f>IF(ISNUMBER(SEARCH("|",IMDB_Movies!$D1166)),LEFT(IMDB_Movies!$D1166,SEARCH("|",IMDB_Movies!$D1166)-1),IMDB_Movies!$D1166)</f>
        <v>Comedy</v>
      </c>
      <c r="V1166" s="2"/>
      <c r="W1166" s="2"/>
    </row>
    <row r="1167" spans="1:23" ht="12.5" x14ac:dyDescent="0.25">
      <c r="A1167" s="2" t="s">
        <v>1513</v>
      </c>
      <c r="B1167" s="2">
        <v>96</v>
      </c>
      <c r="C1167" s="2">
        <v>47781388</v>
      </c>
      <c r="D1167" s="2" t="s">
        <v>315</v>
      </c>
      <c r="E1167" s="2" t="s">
        <v>2170</v>
      </c>
      <c r="F1167" s="2" t="s">
        <v>14</v>
      </c>
      <c r="G1167" s="2" t="s">
        <v>15</v>
      </c>
      <c r="H1167" s="2">
        <v>40000000</v>
      </c>
      <c r="I1167" s="2">
        <v>6.6</v>
      </c>
      <c r="J1167" s="2">
        <f t="shared" si="8"/>
        <v>7781388</v>
      </c>
      <c r="K1167" s="2">
        <f t="shared" si="9"/>
        <v>-1.6047263189198507E-2</v>
      </c>
      <c r="L1167" s="2" t="str">
        <f>IF(ISNUMBER(SEARCH("|",IMDB_Movies!$D1167)),LEFT(IMDB_Movies!$D1167,SEARCH("|",IMDB_Movies!$D1167)-1),IMDB_Movies!$D1167)</f>
        <v>Mystery</v>
      </c>
      <c r="V1167" s="2"/>
      <c r="W1167" s="2"/>
    </row>
    <row r="1168" spans="1:23" ht="12.5" x14ac:dyDescent="0.25">
      <c r="A1168" s="2" t="s">
        <v>2171</v>
      </c>
      <c r="B1168" s="2">
        <v>99</v>
      </c>
      <c r="C1168" s="2">
        <v>52320979</v>
      </c>
      <c r="D1168" s="2" t="s">
        <v>256</v>
      </c>
      <c r="E1168" s="2" t="s">
        <v>2172</v>
      </c>
      <c r="F1168" s="2" t="s">
        <v>14</v>
      </c>
      <c r="G1168" s="2" t="s">
        <v>15</v>
      </c>
      <c r="H1168" s="2">
        <v>40000000</v>
      </c>
      <c r="I1168" s="2">
        <v>6.8</v>
      </c>
      <c r="J1168" s="2">
        <f t="shared" si="8"/>
        <v>12320979</v>
      </c>
      <c r="K1168" s="2">
        <f t="shared" si="9"/>
        <v>-1.6057678977428207E-2</v>
      </c>
      <c r="L1168" s="2" t="str">
        <f>IF(ISNUMBER(SEARCH("|",IMDB_Movies!$D1168)),LEFT(IMDB_Movies!$D1168,SEARCH("|",IMDB_Movies!$D1168)-1),IMDB_Movies!$D1168)</f>
        <v>Drama</v>
      </c>
      <c r="V1168" s="2"/>
      <c r="W1168" s="2"/>
    </row>
    <row r="1169" spans="1:23" ht="12.5" x14ac:dyDescent="0.25">
      <c r="A1169" s="2" t="s">
        <v>1510</v>
      </c>
      <c r="B1169" s="2">
        <v>104</v>
      </c>
      <c r="C1169" s="2">
        <v>47806295</v>
      </c>
      <c r="D1169" s="2" t="s">
        <v>1050</v>
      </c>
      <c r="E1169" s="2" t="s">
        <v>2173</v>
      </c>
      <c r="F1169" s="2" t="s">
        <v>14</v>
      </c>
      <c r="G1169" s="2" t="s">
        <v>15</v>
      </c>
      <c r="H1169" s="2">
        <v>43000000</v>
      </c>
      <c r="I1169" s="2">
        <v>6.5</v>
      </c>
      <c r="J1169" s="2">
        <f t="shared" si="8"/>
        <v>4806295</v>
      </c>
      <c r="K1169" s="2">
        <f t="shared" si="9"/>
        <v>-1.6070690946031502E-2</v>
      </c>
      <c r="L1169" s="2" t="str">
        <f>IF(ISNUMBER(SEARCH("|",IMDB_Movies!$D1169)),LEFT(IMDB_Movies!$D1169,SEARCH("|",IMDB_Movies!$D1169)-1),IMDB_Movies!$D1169)</f>
        <v>Horror</v>
      </c>
      <c r="V1169" s="2"/>
      <c r="W1169" s="2"/>
    </row>
    <row r="1170" spans="1:23" ht="12.5" x14ac:dyDescent="0.25">
      <c r="A1170" s="2" t="s">
        <v>2174</v>
      </c>
      <c r="B1170" s="2">
        <v>105</v>
      </c>
      <c r="C1170" s="2">
        <v>51853450</v>
      </c>
      <c r="D1170" s="2" t="s">
        <v>1635</v>
      </c>
      <c r="E1170" s="2" t="s">
        <v>2175</v>
      </c>
      <c r="F1170" s="2" t="s">
        <v>14</v>
      </c>
      <c r="G1170" s="2" t="s">
        <v>15</v>
      </c>
      <c r="H1170" s="2">
        <v>25000000</v>
      </c>
      <c r="I1170" s="2">
        <v>6.6</v>
      </c>
      <c r="J1170" s="2">
        <f t="shared" si="8"/>
        <v>26853450</v>
      </c>
      <c r="K1170" s="2">
        <f t="shared" si="9"/>
        <v>-1.6083391530795733E-2</v>
      </c>
      <c r="L1170" s="2" t="str">
        <f>IF(ISNUMBER(SEARCH("|",IMDB_Movies!$D1170)),LEFT(IMDB_Movies!$D1170,SEARCH("|",IMDB_Movies!$D1170)-1),IMDB_Movies!$D1170)</f>
        <v>Comedy</v>
      </c>
      <c r="V1170" s="2"/>
      <c r="W1170" s="2"/>
    </row>
    <row r="1171" spans="1:23" ht="12.5" x14ac:dyDescent="0.25">
      <c r="A1171" s="2" t="s">
        <v>2176</v>
      </c>
      <c r="B1171" s="2">
        <v>101</v>
      </c>
      <c r="C1171" s="2">
        <v>46012734</v>
      </c>
      <c r="D1171" s="2" t="s">
        <v>600</v>
      </c>
      <c r="E1171" s="2" t="s">
        <v>2177</v>
      </c>
      <c r="F1171" s="2" t="s">
        <v>14</v>
      </c>
      <c r="G1171" s="2" t="s">
        <v>15</v>
      </c>
      <c r="H1171" s="2">
        <v>40000000</v>
      </c>
      <c r="I1171" s="2">
        <v>5.8</v>
      </c>
      <c r="J1171" s="2">
        <f t="shared" si="8"/>
        <v>6012734</v>
      </c>
      <c r="K1171" s="2">
        <f t="shared" si="9"/>
        <v>-1.608264640097911E-2</v>
      </c>
      <c r="L1171" s="2" t="str">
        <f>IF(ISNUMBER(SEARCH("|",IMDB_Movies!$D1171)),LEFT(IMDB_Movies!$D1171,SEARCH("|",IMDB_Movies!$D1171)-1),IMDB_Movies!$D1171)</f>
        <v>Comedy</v>
      </c>
      <c r="V1171" s="2"/>
      <c r="W1171" s="2"/>
    </row>
    <row r="1172" spans="1:23" ht="12.5" x14ac:dyDescent="0.25">
      <c r="A1172" s="2" t="s">
        <v>1279</v>
      </c>
      <c r="B1172" s="2">
        <v>134</v>
      </c>
      <c r="C1172" s="2">
        <v>47034272</v>
      </c>
      <c r="D1172" s="2" t="s">
        <v>2178</v>
      </c>
      <c r="E1172" s="2" t="s">
        <v>2179</v>
      </c>
      <c r="F1172" s="2" t="s">
        <v>14</v>
      </c>
      <c r="G1172" s="2" t="s">
        <v>15</v>
      </c>
      <c r="H1172" s="2">
        <v>40000000</v>
      </c>
      <c r="I1172" s="2">
        <v>6.9</v>
      </c>
      <c r="J1172" s="2">
        <f t="shared" si="8"/>
        <v>7034272</v>
      </c>
      <c r="K1172" s="2">
        <f t="shared" si="9"/>
        <v>-1.6092111250085524E-2</v>
      </c>
      <c r="L1172" s="2" t="str">
        <f>IF(ISNUMBER(SEARCH("|",IMDB_Movies!$D1172)),LEFT(IMDB_Movies!$D1172,SEARCH("|",IMDB_Movies!$D1172)-1),IMDB_Movies!$D1172)</f>
        <v>Biography</v>
      </c>
      <c r="V1172" s="2"/>
      <c r="W1172" s="2"/>
    </row>
    <row r="1173" spans="1:23" ht="12.5" x14ac:dyDescent="0.25">
      <c r="A1173" s="2" t="s">
        <v>1648</v>
      </c>
      <c r="B1173" s="2">
        <v>135</v>
      </c>
      <c r="C1173" s="2">
        <v>45856732</v>
      </c>
      <c r="D1173" s="2" t="s">
        <v>763</v>
      </c>
      <c r="E1173" s="2" t="s">
        <v>2180</v>
      </c>
      <c r="F1173" s="2" t="s">
        <v>14</v>
      </c>
      <c r="G1173" s="2" t="s">
        <v>15</v>
      </c>
      <c r="H1173" s="2">
        <v>40000000</v>
      </c>
      <c r="I1173" s="2">
        <v>7.1</v>
      </c>
      <c r="J1173" s="2">
        <f t="shared" si="8"/>
        <v>5856732</v>
      </c>
      <c r="K1173" s="2">
        <f t="shared" si="9"/>
        <v>-1.6102152409901243E-2</v>
      </c>
      <c r="L1173" s="2" t="str">
        <f>IF(ISNUMBER(SEARCH("|",IMDB_Movies!$D1173)),LEFT(IMDB_Movies!$D1173,SEARCH("|",IMDB_Movies!$D1173)-1),IMDB_Movies!$D1173)</f>
        <v>Crime</v>
      </c>
      <c r="V1173" s="2"/>
      <c r="W1173" s="2"/>
    </row>
    <row r="1174" spans="1:23" ht="12.5" x14ac:dyDescent="0.25">
      <c r="A1174" s="2" t="s">
        <v>1983</v>
      </c>
      <c r="B1174" s="2">
        <v>98</v>
      </c>
      <c r="C1174" s="2">
        <v>59588068</v>
      </c>
      <c r="D1174" s="2" t="s">
        <v>1050</v>
      </c>
      <c r="E1174" s="2" t="s">
        <v>2181</v>
      </c>
      <c r="F1174" s="2" t="s">
        <v>14</v>
      </c>
      <c r="G1174" s="2" t="s">
        <v>15</v>
      </c>
      <c r="H1174" s="2">
        <v>40000000</v>
      </c>
      <c r="I1174" s="2">
        <v>5.8</v>
      </c>
      <c r="J1174" s="2">
        <f t="shared" si="8"/>
        <v>19588068</v>
      </c>
      <c r="K1174" s="2">
        <f t="shared" si="9"/>
        <v>-1.6111547332307831E-2</v>
      </c>
      <c r="L1174" s="2" t="str">
        <f>IF(ISNUMBER(SEARCH("|",IMDB_Movies!$D1174)),LEFT(IMDB_Movies!$D1174,SEARCH("|",IMDB_Movies!$D1174)-1),IMDB_Movies!$D1174)</f>
        <v>Horror</v>
      </c>
      <c r="V1174" s="2"/>
      <c r="W1174" s="2"/>
    </row>
    <row r="1175" spans="1:23" ht="12.5" x14ac:dyDescent="0.25">
      <c r="A1175" s="2" t="s">
        <v>141</v>
      </c>
      <c r="B1175" s="2">
        <v>155</v>
      </c>
      <c r="C1175" s="2">
        <v>44175394</v>
      </c>
      <c r="D1175" s="2" t="s">
        <v>2182</v>
      </c>
      <c r="E1175" s="2" t="s">
        <v>2183</v>
      </c>
      <c r="F1175" s="2" t="s">
        <v>14</v>
      </c>
      <c r="G1175" s="2" t="s">
        <v>15</v>
      </c>
      <c r="H1175" s="2">
        <v>36000000</v>
      </c>
      <c r="I1175" s="2">
        <v>7.2</v>
      </c>
      <c r="J1175" s="2">
        <f t="shared" si="8"/>
        <v>8175394</v>
      </c>
      <c r="K1175" s="2">
        <f t="shared" si="9"/>
        <v>-1.6128952037524832E-2</v>
      </c>
      <c r="L1175" s="2" t="str">
        <f>IF(ISNUMBER(SEARCH("|",IMDB_Movies!$D1175)),LEFT(IMDB_Movies!$D1175,SEARCH("|",IMDB_Movies!$D1175)-1),IMDB_Movies!$D1175)</f>
        <v>Drama</v>
      </c>
      <c r="V1175" s="2"/>
      <c r="W1175" s="2"/>
    </row>
    <row r="1176" spans="1:23" ht="12.5" x14ac:dyDescent="0.25">
      <c r="A1176" s="2" t="s">
        <v>477</v>
      </c>
      <c r="B1176" s="2">
        <v>106</v>
      </c>
      <c r="C1176" s="2">
        <v>45500797</v>
      </c>
      <c r="D1176" s="2" t="s">
        <v>824</v>
      </c>
      <c r="E1176" s="2" t="s">
        <v>2184</v>
      </c>
      <c r="F1176" s="2" t="s">
        <v>14</v>
      </c>
      <c r="G1176" s="2" t="s">
        <v>15</v>
      </c>
      <c r="H1176" s="2">
        <v>40000000</v>
      </c>
      <c r="I1176" s="2">
        <v>6</v>
      </c>
      <c r="J1176" s="2">
        <f t="shared" si="8"/>
        <v>5500797</v>
      </c>
      <c r="K1176" s="2">
        <f t="shared" si="9"/>
        <v>-1.6134972813922177E-2</v>
      </c>
      <c r="L1176" s="2" t="str">
        <f>IF(ISNUMBER(SEARCH("|",IMDB_Movies!$D1176)),LEFT(IMDB_Movies!$D1176,SEARCH("|",IMDB_Movies!$D1176)-1),IMDB_Movies!$D1176)</f>
        <v>Adventure</v>
      </c>
      <c r="V1176" s="2"/>
      <c r="W1176" s="2"/>
    </row>
    <row r="1177" spans="1:23" ht="12.5" x14ac:dyDescent="0.25">
      <c r="A1177" s="2" t="s">
        <v>2185</v>
      </c>
      <c r="B1177" s="2">
        <v>102</v>
      </c>
      <c r="C1177" s="2">
        <v>41797066</v>
      </c>
      <c r="D1177" s="2" t="s">
        <v>790</v>
      </c>
      <c r="E1177" s="2" t="s">
        <v>2186</v>
      </c>
      <c r="F1177" s="2" t="s">
        <v>14</v>
      </c>
      <c r="G1177" s="2" t="s">
        <v>15</v>
      </c>
      <c r="H1177" s="2">
        <v>40000000</v>
      </c>
      <c r="I1177" s="2">
        <v>4.7</v>
      </c>
      <c r="J1177" s="2">
        <f t="shared" si="8"/>
        <v>1797066</v>
      </c>
      <c r="K1177" s="2">
        <f t="shared" si="9"/>
        <v>-1.6144197269122151E-2</v>
      </c>
      <c r="L1177" s="2" t="str">
        <f>IF(ISNUMBER(SEARCH("|",IMDB_Movies!$D1177)),LEFT(IMDB_Movies!$D1177,SEARCH("|",IMDB_Movies!$D1177)-1),IMDB_Movies!$D1177)</f>
        <v>Action</v>
      </c>
      <c r="V1177" s="2"/>
      <c r="W1177" s="2"/>
    </row>
    <row r="1178" spans="1:23" ht="12.5" x14ac:dyDescent="0.25">
      <c r="A1178" s="2" t="s">
        <v>1456</v>
      </c>
      <c r="B1178" s="2">
        <v>95</v>
      </c>
      <c r="C1178" s="2">
        <v>38087756</v>
      </c>
      <c r="D1178" s="2" t="s">
        <v>1058</v>
      </c>
      <c r="E1178" s="2" t="s">
        <v>2187</v>
      </c>
      <c r="F1178" s="2" t="s">
        <v>14</v>
      </c>
      <c r="G1178" s="2" t="s">
        <v>15</v>
      </c>
      <c r="H1178" s="2">
        <v>40000000</v>
      </c>
      <c r="I1178" s="2">
        <v>5.2</v>
      </c>
      <c r="J1178" s="2">
        <f t="shared" si="8"/>
        <v>-1912244</v>
      </c>
      <c r="K1178" s="2">
        <f t="shared" si="9"/>
        <v>-1.6151408630080303E-2</v>
      </c>
      <c r="L1178" s="2" t="str">
        <f>IF(ISNUMBER(SEARCH("|",IMDB_Movies!$D1178)),LEFT(IMDB_Movies!$D1178,SEARCH("|",IMDB_Movies!$D1178)-1),IMDB_Movies!$D1178)</f>
        <v>Comedy</v>
      </c>
      <c r="V1178" s="2"/>
      <c r="W1178" s="2"/>
    </row>
    <row r="1179" spans="1:23" ht="12.5" x14ac:dyDescent="0.25">
      <c r="A1179" s="2" t="s">
        <v>2188</v>
      </c>
      <c r="B1179" s="2">
        <v>103</v>
      </c>
      <c r="C1179" s="2">
        <v>37752931</v>
      </c>
      <c r="D1179" s="2" t="s">
        <v>85</v>
      </c>
      <c r="E1179" s="2" t="s">
        <v>2189</v>
      </c>
      <c r="F1179" s="2" t="s">
        <v>14</v>
      </c>
      <c r="G1179" s="2" t="s">
        <v>15</v>
      </c>
      <c r="H1179" s="2">
        <v>40000000</v>
      </c>
      <c r="I1179" s="2">
        <v>5.5</v>
      </c>
      <c r="J1179" s="2">
        <f t="shared" si="8"/>
        <v>-2247069</v>
      </c>
      <c r="K1179" s="2">
        <f t="shared" si="9"/>
        <v>-1.6156658577854584E-2</v>
      </c>
      <c r="L1179" s="2" t="str">
        <f>IF(ISNUMBER(SEARCH("|",IMDB_Movies!$D1179)),LEFT(IMDB_Movies!$D1179,SEARCH("|",IMDB_Movies!$D1179)-1),IMDB_Movies!$D1179)</f>
        <v>Drama</v>
      </c>
      <c r="V1179" s="2"/>
      <c r="W1179" s="2"/>
    </row>
    <row r="1180" spans="1:23" ht="12.5" x14ac:dyDescent="0.25">
      <c r="A1180" s="2" t="s">
        <v>2190</v>
      </c>
      <c r="B1180" s="2">
        <v>109</v>
      </c>
      <c r="C1180" s="2">
        <v>37371385</v>
      </c>
      <c r="D1180" s="2" t="s">
        <v>670</v>
      </c>
      <c r="E1180" s="2" t="s">
        <v>2191</v>
      </c>
      <c r="F1180" s="2" t="s">
        <v>14</v>
      </c>
      <c r="G1180" s="2" t="s">
        <v>15</v>
      </c>
      <c r="H1180" s="2">
        <v>40000000</v>
      </c>
      <c r="I1180" s="2">
        <v>7</v>
      </c>
      <c r="J1180" s="2">
        <f t="shared" si="8"/>
        <v>-2628615</v>
      </c>
      <c r="K1180" s="2">
        <f t="shared" si="9"/>
        <v>-1.6161737886508064E-2</v>
      </c>
      <c r="L1180" s="2" t="str">
        <f>IF(ISNUMBER(SEARCH("|",IMDB_Movies!$D1180)),LEFT(IMDB_Movies!$D1180,SEARCH("|",IMDB_Movies!$D1180)-1),IMDB_Movies!$D1180)</f>
        <v>Adventure</v>
      </c>
      <c r="V1180" s="2"/>
      <c r="W1180" s="2"/>
    </row>
    <row r="1181" spans="1:23" ht="12.5" x14ac:dyDescent="0.25">
      <c r="A1181" s="2" t="s">
        <v>2095</v>
      </c>
      <c r="B1181" s="2">
        <v>95</v>
      </c>
      <c r="C1181" s="2">
        <v>37101011</v>
      </c>
      <c r="D1181" s="2" t="s">
        <v>891</v>
      </c>
      <c r="E1181" s="2" t="s">
        <v>2192</v>
      </c>
      <c r="F1181" s="2" t="s">
        <v>14</v>
      </c>
      <c r="G1181" s="2" t="s">
        <v>15</v>
      </c>
      <c r="H1181" s="2">
        <v>40000000</v>
      </c>
      <c r="I1181" s="2">
        <v>5.8</v>
      </c>
      <c r="J1181" s="2">
        <f t="shared" si="8"/>
        <v>-2898989</v>
      </c>
      <c r="K1181" s="2">
        <f t="shared" si="9"/>
        <v>-1.616662250619702E-2</v>
      </c>
      <c r="L1181" s="2" t="str">
        <f>IF(ISNUMBER(SEARCH("|",IMDB_Movies!$D1181)),LEFT(IMDB_Movies!$D1181,SEARCH("|",IMDB_Movies!$D1181)-1),IMDB_Movies!$D1181)</f>
        <v>Comedy</v>
      </c>
      <c r="V1181" s="2"/>
      <c r="W1181" s="2"/>
    </row>
    <row r="1182" spans="1:23" ht="12.5" x14ac:dyDescent="0.25">
      <c r="A1182" s="2" t="s">
        <v>2115</v>
      </c>
      <c r="B1182" s="2">
        <v>111</v>
      </c>
      <c r="C1182" s="2">
        <v>38176892</v>
      </c>
      <c r="D1182" s="2" t="s">
        <v>2116</v>
      </c>
      <c r="E1182" s="2" t="s">
        <v>2193</v>
      </c>
      <c r="F1182" s="2" t="s">
        <v>14</v>
      </c>
      <c r="G1182" s="2" t="s">
        <v>15</v>
      </c>
      <c r="H1182" s="2">
        <v>40000000</v>
      </c>
      <c r="I1182" s="2">
        <v>6.2</v>
      </c>
      <c r="J1182" s="2">
        <f t="shared" si="8"/>
        <v>-1823108</v>
      </c>
      <c r="K1182" s="2">
        <f t="shared" si="9"/>
        <v>-1.6171370487843544E-2</v>
      </c>
      <c r="L1182" s="2" t="str">
        <f>IF(ISNUMBER(SEARCH("|",IMDB_Movies!$D1182)),LEFT(IMDB_Movies!$D1182,SEARCH("|",IMDB_Movies!$D1182)-1),IMDB_Movies!$D1182)</f>
        <v>Horror</v>
      </c>
      <c r="V1182" s="2"/>
      <c r="W1182" s="2"/>
    </row>
    <row r="1183" spans="1:23" ht="12.5" x14ac:dyDescent="0.25">
      <c r="A1183" s="2" t="s">
        <v>482</v>
      </c>
      <c r="B1183" s="2">
        <v>123</v>
      </c>
      <c r="C1183" s="2">
        <v>36283504</v>
      </c>
      <c r="D1183" s="2" t="s">
        <v>315</v>
      </c>
      <c r="E1183" s="2" t="s">
        <v>2194</v>
      </c>
      <c r="F1183" s="2" t="s">
        <v>14</v>
      </c>
      <c r="G1183" s="2" t="s">
        <v>287</v>
      </c>
      <c r="H1183" s="2">
        <v>40000000</v>
      </c>
      <c r="I1183" s="2">
        <v>6.5</v>
      </c>
      <c r="J1183" s="2">
        <f t="shared" si="8"/>
        <v>-3716496</v>
      </c>
      <c r="K1183" s="2">
        <f t="shared" si="9"/>
        <v>-1.6176683422221054E-2</v>
      </c>
      <c r="L1183" s="2" t="str">
        <f>IF(ISNUMBER(SEARCH("|",IMDB_Movies!$D1183)),LEFT(IMDB_Movies!$D1183,SEARCH("|",IMDB_Movies!$D1183)-1),IMDB_Movies!$D1183)</f>
        <v>Mystery</v>
      </c>
      <c r="V1183" s="2"/>
      <c r="W1183" s="2"/>
    </row>
    <row r="1184" spans="1:23" ht="12.5" x14ac:dyDescent="0.25">
      <c r="A1184" s="2" t="s">
        <v>284</v>
      </c>
      <c r="B1184" s="2">
        <v>140</v>
      </c>
      <c r="C1184" s="2">
        <v>35183792</v>
      </c>
      <c r="D1184" s="2" t="s">
        <v>2178</v>
      </c>
      <c r="E1184" s="2" t="s">
        <v>2195</v>
      </c>
      <c r="F1184" s="2" t="s">
        <v>14</v>
      </c>
      <c r="G1184" s="2" t="s">
        <v>15</v>
      </c>
      <c r="H1184" s="2">
        <v>38000000</v>
      </c>
      <c r="I1184" s="2">
        <v>7.2</v>
      </c>
      <c r="J1184" s="2">
        <f t="shared" si="8"/>
        <v>-2816208</v>
      </c>
      <c r="K1184" s="2">
        <f t="shared" si="9"/>
        <v>-1.6181015813015186E-2</v>
      </c>
      <c r="L1184" s="2" t="str">
        <f>IF(ISNUMBER(SEARCH("|",IMDB_Movies!$D1184)),LEFT(IMDB_Movies!$D1184,SEARCH("|",IMDB_Movies!$D1184)-1),IMDB_Movies!$D1184)</f>
        <v>Biography</v>
      </c>
      <c r="V1184" s="2"/>
      <c r="W1184" s="2"/>
    </row>
    <row r="1185" spans="1:23" ht="12.5" x14ac:dyDescent="0.25">
      <c r="A1185" s="2" t="s">
        <v>2196</v>
      </c>
      <c r="B1185" s="2">
        <v>94</v>
      </c>
      <c r="C1185" s="2">
        <v>38543473</v>
      </c>
      <c r="D1185" s="2" t="s">
        <v>709</v>
      </c>
      <c r="E1185" s="2" t="s">
        <v>2197</v>
      </c>
      <c r="F1185" s="2" t="s">
        <v>14</v>
      </c>
      <c r="G1185" s="2" t="s">
        <v>15</v>
      </c>
      <c r="H1185" s="2">
        <v>40000000</v>
      </c>
      <c r="I1185" s="2">
        <v>5.0999999999999996</v>
      </c>
      <c r="J1185" s="2">
        <f t="shared" si="8"/>
        <v>-1456527</v>
      </c>
      <c r="K1185" s="2">
        <f t="shared" si="9"/>
        <v>-1.6184218738502034E-2</v>
      </c>
      <c r="L1185" s="2" t="str">
        <f>IF(ISNUMBER(SEARCH("|",IMDB_Movies!$D1185)),LEFT(IMDB_Movies!$D1185,SEARCH("|",IMDB_Movies!$D1185)-1),IMDB_Movies!$D1185)</f>
        <v>Comedy</v>
      </c>
      <c r="V1185" s="2"/>
      <c r="W1185" s="2"/>
    </row>
    <row r="1186" spans="1:23" ht="12.5" x14ac:dyDescent="0.25">
      <c r="A1186" s="2" t="s">
        <v>2198</v>
      </c>
      <c r="B1186" s="2">
        <v>94</v>
      </c>
      <c r="C1186" s="2">
        <v>36037909</v>
      </c>
      <c r="D1186" s="2" t="s">
        <v>891</v>
      </c>
      <c r="E1186" s="2" t="s">
        <v>2199</v>
      </c>
      <c r="F1186" s="2" t="s">
        <v>14</v>
      </c>
      <c r="G1186" s="2" t="s">
        <v>287</v>
      </c>
      <c r="H1186" s="2">
        <v>60000000</v>
      </c>
      <c r="I1186" s="2">
        <v>4.7</v>
      </c>
      <c r="J1186" s="2">
        <f t="shared" si="8"/>
        <v>-23962091</v>
      </c>
      <c r="K1186" s="2">
        <f t="shared" si="9"/>
        <v>-1.6189735564151521E-2</v>
      </c>
      <c r="L1186" s="2" t="str">
        <f>IF(ISNUMBER(SEARCH("|",IMDB_Movies!$D1186)),LEFT(IMDB_Movies!$D1186,SEARCH("|",IMDB_Movies!$D1186)-1),IMDB_Movies!$D1186)</f>
        <v>Comedy</v>
      </c>
      <c r="V1186" s="2"/>
      <c r="W1186" s="2"/>
    </row>
    <row r="1187" spans="1:23" ht="12.5" x14ac:dyDescent="0.25">
      <c r="A1187" s="2" t="s">
        <v>1779</v>
      </c>
      <c r="B1187" s="2">
        <v>92</v>
      </c>
      <c r="C1187" s="2">
        <v>42575718</v>
      </c>
      <c r="D1187" s="2" t="s">
        <v>2148</v>
      </c>
      <c r="E1187" s="2" t="s">
        <v>2200</v>
      </c>
      <c r="F1187" s="2" t="s">
        <v>14</v>
      </c>
      <c r="G1187" s="2" t="s">
        <v>15</v>
      </c>
      <c r="H1187" s="2">
        <v>40000000</v>
      </c>
      <c r="I1187" s="2">
        <v>5.9</v>
      </c>
      <c r="J1187" s="2">
        <f t="shared" si="8"/>
        <v>2575718</v>
      </c>
      <c r="K1187" s="2">
        <f t="shared" si="9"/>
        <v>-1.6200288149108507E-2</v>
      </c>
      <c r="L1187" s="2" t="str">
        <f>IF(ISNUMBER(SEARCH("|",IMDB_Movies!$D1187)),LEFT(IMDB_Movies!$D1187,SEARCH("|",IMDB_Movies!$D1187)-1),IMDB_Movies!$D1187)</f>
        <v>Horror</v>
      </c>
      <c r="V1187" s="2"/>
      <c r="W1187" s="2"/>
    </row>
    <row r="1188" spans="1:23" ht="12.5" x14ac:dyDescent="0.25">
      <c r="A1188" s="2" t="s">
        <v>2201</v>
      </c>
      <c r="B1188" s="2">
        <v>102</v>
      </c>
      <c r="C1188" s="2">
        <v>33864342</v>
      </c>
      <c r="D1188" s="2" t="s">
        <v>1464</v>
      </c>
      <c r="E1188" s="2" t="s">
        <v>2202</v>
      </c>
      <c r="F1188" s="2" t="s">
        <v>14</v>
      </c>
      <c r="G1188" s="2" t="s">
        <v>22</v>
      </c>
      <c r="H1188" s="2">
        <v>40000000</v>
      </c>
      <c r="I1188" s="2">
        <v>5.8</v>
      </c>
      <c r="J1188" s="2">
        <f t="shared" si="8"/>
        <v>-6135658</v>
      </c>
      <c r="K1188" s="2">
        <f t="shared" si="9"/>
        <v>-1.6207974773650935E-2</v>
      </c>
      <c r="L1188" s="2" t="str">
        <f>IF(ISNUMBER(SEARCH("|",IMDB_Movies!$D1188)),LEFT(IMDB_Movies!$D1188,SEARCH("|",IMDB_Movies!$D1188)-1),IMDB_Movies!$D1188)</f>
        <v>Comedy</v>
      </c>
      <c r="V1188" s="2"/>
      <c r="W1188" s="2"/>
    </row>
    <row r="1189" spans="1:23" ht="12.5" x14ac:dyDescent="0.25">
      <c r="A1189" s="2" t="s">
        <v>903</v>
      </c>
      <c r="B1189" s="2">
        <v>123</v>
      </c>
      <c r="C1189" s="2">
        <v>33508922</v>
      </c>
      <c r="D1189" s="2" t="s">
        <v>1180</v>
      </c>
      <c r="E1189" s="2" t="s">
        <v>2203</v>
      </c>
      <c r="F1189" s="2" t="s">
        <v>14</v>
      </c>
      <c r="G1189" s="2" t="s">
        <v>15</v>
      </c>
      <c r="H1189" s="2">
        <v>40000000</v>
      </c>
      <c r="I1189" s="2">
        <v>7.2</v>
      </c>
      <c r="J1189" s="2">
        <f t="shared" si="8"/>
        <v>-6491078</v>
      </c>
      <c r="K1189" s="2">
        <f t="shared" si="9"/>
        <v>-1.6211088522957707E-2</v>
      </c>
      <c r="L1189" s="2" t="str">
        <f>IF(ISNUMBER(SEARCH("|",IMDB_Movies!$D1189)),LEFT(IMDB_Movies!$D1189,SEARCH("|",IMDB_Movies!$D1189)-1),IMDB_Movies!$D1189)</f>
        <v>Drama</v>
      </c>
      <c r="V1189" s="2"/>
      <c r="W1189" s="2"/>
    </row>
    <row r="1190" spans="1:23" ht="12.5" x14ac:dyDescent="0.25">
      <c r="A1190" s="2" t="s">
        <v>1211</v>
      </c>
      <c r="B1190" s="2">
        <v>104</v>
      </c>
      <c r="C1190" s="2">
        <v>42071069</v>
      </c>
      <c r="D1190" s="2" t="s">
        <v>1537</v>
      </c>
      <c r="E1190" s="2" t="s">
        <v>2204</v>
      </c>
      <c r="F1190" s="2" t="s">
        <v>14</v>
      </c>
      <c r="G1190" s="2" t="s">
        <v>15</v>
      </c>
      <c r="H1190" s="2">
        <v>30000000</v>
      </c>
      <c r="I1190" s="2">
        <v>6.2</v>
      </c>
      <c r="J1190" s="2">
        <f t="shared" si="8"/>
        <v>12071069</v>
      </c>
      <c r="K1190" s="2">
        <f t="shared" si="9"/>
        <v>-1.62140245734585E-2</v>
      </c>
      <c r="L1190" s="2" t="str">
        <f>IF(ISNUMBER(SEARCH("|",IMDB_Movies!$D1190)),LEFT(IMDB_Movies!$D1190,SEARCH("|",IMDB_Movies!$D1190)-1),IMDB_Movies!$D1190)</f>
        <v>Comedy</v>
      </c>
      <c r="V1190" s="2"/>
      <c r="W1190" s="2"/>
    </row>
    <row r="1191" spans="1:23" ht="12.5" x14ac:dyDescent="0.25">
      <c r="A1191" s="2" t="s">
        <v>974</v>
      </c>
      <c r="B1191" s="2">
        <v>102</v>
      </c>
      <c r="C1191" s="2">
        <v>32853640</v>
      </c>
      <c r="D1191" s="2" t="s">
        <v>891</v>
      </c>
      <c r="E1191" s="2" t="s">
        <v>2205</v>
      </c>
      <c r="F1191" s="2" t="s">
        <v>14</v>
      </c>
      <c r="G1191" s="2" t="s">
        <v>15</v>
      </c>
      <c r="H1191" s="2">
        <v>40000000</v>
      </c>
      <c r="I1191" s="2">
        <v>5.7</v>
      </c>
      <c r="J1191" s="2">
        <f t="shared" si="8"/>
        <v>-7146360</v>
      </c>
      <c r="K1191" s="2">
        <f t="shared" si="9"/>
        <v>-1.6216043245704612E-2</v>
      </c>
      <c r="L1191" s="2" t="str">
        <f>IF(ISNUMBER(SEARCH("|",IMDB_Movies!$D1191)),LEFT(IMDB_Movies!$D1191,SEARCH("|",IMDB_Movies!$D1191)-1),IMDB_Movies!$D1191)</f>
        <v>Comedy</v>
      </c>
      <c r="V1191" s="2"/>
      <c r="W1191" s="2"/>
    </row>
    <row r="1192" spans="1:23" ht="12.5" x14ac:dyDescent="0.25">
      <c r="A1192" s="2" t="s">
        <v>1234</v>
      </c>
      <c r="B1192" s="2">
        <v>136</v>
      </c>
      <c r="C1192" s="2">
        <v>42615685</v>
      </c>
      <c r="D1192" s="2" t="s">
        <v>2206</v>
      </c>
      <c r="E1192" s="2" t="s">
        <v>2207</v>
      </c>
      <c r="F1192" s="2" t="s">
        <v>14</v>
      </c>
      <c r="G1192" s="2" t="s">
        <v>15</v>
      </c>
      <c r="H1192" s="2">
        <v>40000000</v>
      </c>
      <c r="I1192" s="2">
        <v>6.1</v>
      </c>
      <c r="J1192" s="2">
        <f t="shared" si="8"/>
        <v>2615685</v>
      </c>
      <c r="K1192" s="2">
        <f t="shared" si="9"/>
        <v>-1.6218653856959905E-2</v>
      </c>
      <c r="L1192" s="2" t="str">
        <f>IF(ISNUMBER(SEARCH("|",IMDB_Movies!$D1192)),LEFT(IMDB_Movies!$D1192,SEARCH("|",IMDB_Movies!$D1192)-1),IMDB_Movies!$D1192)</f>
        <v>Comedy</v>
      </c>
      <c r="V1192" s="2"/>
      <c r="W1192" s="2"/>
    </row>
    <row r="1193" spans="1:23" ht="12.5" x14ac:dyDescent="0.25">
      <c r="A1193" s="2" t="s">
        <v>1962</v>
      </c>
      <c r="B1193" s="2">
        <v>93</v>
      </c>
      <c r="C1193" s="2">
        <v>32055248</v>
      </c>
      <c r="D1193" s="2" t="s">
        <v>2208</v>
      </c>
      <c r="E1193" s="2" t="s">
        <v>2209</v>
      </c>
      <c r="F1193" s="2" t="s">
        <v>14</v>
      </c>
      <c r="G1193" s="2" t="s">
        <v>15</v>
      </c>
      <c r="H1193" s="2">
        <v>25000000</v>
      </c>
      <c r="I1193" s="2">
        <v>6</v>
      </c>
      <c r="J1193" s="2">
        <f t="shared" si="8"/>
        <v>7055248</v>
      </c>
      <c r="K1193" s="2">
        <f t="shared" si="9"/>
        <v>-1.6226384991135923E-2</v>
      </c>
      <c r="L1193" s="2" t="str">
        <f>IF(ISNUMBER(SEARCH("|",IMDB_Movies!$D1193)),LEFT(IMDB_Movies!$D1193,SEARCH("|",IMDB_Movies!$D1193)-1),IMDB_Movies!$D1193)</f>
        <v>Action</v>
      </c>
      <c r="V1193" s="2"/>
      <c r="W1193" s="2"/>
    </row>
    <row r="1194" spans="1:23" ht="12.5" x14ac:dyDescent="0.25">
      <c r="A1194" s="2" t="s">
        <v>2210</v>
      </c>
      <c r="B1194" s="2">
        <v>129</v>
      </c>
      <c r="C1194" s="2">
        <v>31836745</v>
      </c>
      <c r="D1194" s="2" t="s">
        <v>2211</v>
      </c>
      <c r="E1194" s="2" t="s">
        <v>2212</v>
      </c>
      <c r="F1194" s="2" t="s">
        <v>14</v>
      </c>
      <c r="G1194" s="2" t="s">
        <v>15</v>
      </c>
      <c r="H1194" s="2">
        <v>40000000</v>
      </c>
      <c r="I1194" s="2">
        <v>6.9</v>
      </c>
      <c r="J1194" s="2">
        <f t="shared" si="8"/>
        <v>-8163255</v>
      </c>
      <c r="K1194" s="2">
        <f t="shared" si="9"/>
        <v>-1.6226080952437272E-2</v>
      </c>
      <c r="L1194" s="2" t="str">
        <f>IF(ISNUMBER(SEARCH("|",IMDB_Movies!$D1194)),LEFT(IMDB_Movies!$D1194,SEARCH("|",IMDB_Movies!$D1194)-1),IMDB_Movies!$D1194)</f>
        <v>Adventure</v>
      </c>
      <c r="V1194" s="2"/>
      <c r="W1194" s="2"/>
    </row>
    <row r="1195" spans="1:23" ht="12.5" x14ac:dyDescent="0.25">
      <c r="A1195" s="2" t="s">
        <v>1941</v>
      </c>
      <c r="B1195" s="2">
        <v>107</v>
      </c>
      <c r="C1195" s="2">
        <v>30993544</v>
      </c>
      <c r="D1195" s="2" t="s">
        <v>514</v>
      </c>
      <c r="E1195" s="2" t="s">
        <v>2213</v>
      </c>
      <c r="F1195" s="2" t="s">
        <v>14</v>
      </c>
      <c r="G1195" s="2" t="s">
        <v>15</v>
      </c>
      <c r="H1195" s="2">
        <v>40000000</v>
      </c>
      <c r="I1195" s="2">
        <v>6.5</v>
      </c>
      <c r="J1195" s="2">
        <f t="shared" si="8"/>
        <v>-9006456</v>
      </c>
      <c r="K1195" s="2">
        <f t="shared" si="9"/>
        <v>-1.6228187990586524E-2</v>
      </c>
      <c r="L1195" s="2" t="str">
        <f>IF(ISNUMBER(SEARCH("|",IMDB_Movies!$D1195)),LEFT(IMDB_Movies!$D1195,SEARCH("|",IMDB_Movies!$D1195)-1),IMDB_Movies!$D1195)</f>
        <v>Comedy</v>
      </c>
      <c r="V1195" s="2"/>
      <c r="W1195" s="2"/>
    </row>
    <row r="1196" spans="1:23" ht="12.5" x14ac:dyDescent="0.25">
      <c r="A1196" s="2" t="s">
        <v>1837</v>
      </c>
      <c r="B1196" s="2">
        <v>117</v>
      </c>
      <c r="C1196" s="2">
        <v>30981850</v>
      </c>
      <c r="D1196" s="2" t="s">
        <v>2214</v>
      </c>
      <c r="E1196" s="2" t="s">
        <v>2215</v>
      </c>
      <c r="F1196" s="2" t="s">
        <v>14</v>
      </c>
      <c r="G1196" s="2" t="s">
        <v>15</v>
      </c>
      <c r="H1196" s="2">
        <v>40000000</v>
      </c>
      <c r="I1196" s="2">
        <v>5</v>
      </c>
      <c r="J1196" s="2">
        <f t="shared" si="8"/>
        <v>-9018150</v>
      </c>
      <c r="K1196" s="2">
        <f t="shared" si="9"/>
        <v>-1.6229876622459151E-2</v>
      </c>
      <c r="L1196" s="2" t="str">
        <f>IF(ISNUMBER(SEARCH("|",IMDB_Movies!$D1196)),LEFT(IMDB_Movies!$D1196,SEARCH("|",IMDB_Movies!$D1196)-1),IMDB_Movies!$D1196)</f>
        <v>Biography</v>
      </c>
      <c r="V1196" s="2"/>
      <c r="W1196" s="2"/>
    </row>
    <row r="1197" spans="1:23" ht="12.5" x14ac:dyDescent="0.25">
      <c r="A1197" s="2" t="s">
        <v>2216</v>
      </c>
      <c r="B1197" s="2">
        <v>116</v>
      </c>
      <c r="C1197" s="2">
        <v>30199105</v>
      </c>
      <c r="D1197" s="2" t="s">
        <v>1156</v>
      </c>
      <c r="E1197" s="2" t="s">
        <v>2217</v>
      </c>
      <c r="F1197" s="2" t="s">
        <v>14</v>
      </c>
      <c r="G1197" s="2" t="s">
        <v>15</v>
      </c>
      <c r="H1197" s="2">
        <v>40000000</v>
      </c>
      <c r="I1197" s="2">
        <v>5.7</v>
      </c>
      <c r="J1197" s="2">
        <f t="shared" si="8"/>
        <v>-9800895</v>
      </c>
      <c r="K1197" s="2">
        <f t="shared" si="9"/>
        <v>-1.6231560757847385E-2</v>
      </c>
      <c r="L1197" s="2" t="str">
        <f>IF(ISNUMBER(SEARCH("|",IMDB_Movies!$D1197)),LEFT(IMDB_Movies!$D1197,SEARCH("|",IMDB_Movies!$D1197)-1),IMDB_Movies!$D1197)</f>
        <v>Action</v>
      </c>
      <c r="V1197" s="2"/>
      <c r="W1197" s="2"/>
    </row>
    <row r="1198" spans="1:23" ht="12.5" x14ac:dyDescent="0.25">
      <c r="A1198" s="2" t="s">
        <v>458</v>
      </c>
      <c r="B1198" s="2">
        <v>135</v>
      </c>
      <c r="C1198" s="2">
        <v>29077547</v>
      </c>
      <c r="D1198" s="2" t="s">
        <v>993</v>
      </c>
      <c r="E1198" s="2" t="s">
        <v>2218</v>
      </c>
      <c r="F1198" s="2" t="s">
        <v>14</v>
      </c>
      <c r="G1198" s="2" t="s">
        <v>15</v>
      </c>
      <c r="H1198" s="2">
        <v>40000000</v>
      </c>
      <c r="I1198" s="2">
        <v>7</v>
      </c>
      <c r="J1198" s="2">
        <f t="shared" si="8"/>
        <v>-10922453</v>
      </c>
      <c r="K1198" s="2">
        <f t="shared" si="9"/>
        <v>-1.6232858684666087E-2</v>
      </c>
      <c r="L1198" s="2" t="str">
        <f>IF(ISNUMBER(SEARCH("|",IMDB_Movies!$D1198)),LEFT(IMDB_Movies!$D1198,SEARCH("|",IMDB_Movies!$D1198)-1),IMDB_Movies!$D1198)</f>
        <v>Drama</v>
      </c>
      <c r="V1198" s="2"/>
      <c r="W1198" s="2"/>
    </row>
    <row r="1199" spans="1:23" ht="12.5" x14ac:dyDescent="0.25">
      <c r="A1199" s="2" t="s">
        <v>625</v>
      </c>
      <c r="B1199" s="2">
        <v>107</v>
      </c>
      <c r="C1199" s="2">
        <v>29374178</v>
      </c>
      <c r="D1199" s="2" t="s">
        <v>2219</v>
      </c>
      <c r="E1199" s="2" t="s">
        <v>2220</v>
      </c>
      <c r="F1199" s="2" t="s">
        <v>14</v>
      </c>
      <c r="G1199" s="2" t="s">
        <v>15</v>
      </c>
      <c r="H1199" s="2">
        <v>40000000</v>
      </c>
      <c r="I1199" s="2">
        <v>5.0999999999999996</v>
      </c>
      <c r="J1199" s="2">
        <f t="shared" si="8"/>
        <v>-10625822</v>
      </c>
      <c r="K1199" s="2">
        <f t="shared" si="9"/>
        <v>-1.6233606642622061E-2</v>
      </c>
      <c r="L1199" s="2" t="str">
        <f>IF(ISNUMBER(SEARCH("|",IMDB_Movies!$D1199)),LEFT(IMDB_Movies!$D1199,SEARCH("|",IMDB_Movies!$D1199)-1),IMDB_Movies!$D1199)</f>
        <v>Crime</v>
      </c>
      <c r="V1199" s="2"/>
      <c r="W1199" s="2"/>
    </row>
    <row r="1200" spans="1:23" ht="12.5" x14ac:dyDescent="0.25">
      <c r="A1200" s="2" t="s">
        <v>1570</v>
      </c>
      <c r="B1200" s="2">
        <v>90</v>
      </c>
      <c r="C1200" s="2">
        <v>28535768</v>
      </c>
      <c r="D1200" s="2" t="s">
        <v>709</v>
      </c>
      <c r="E1200" s="2" t="s">
        <v>2221</v>
      </c>
      <c r="F1200" s="2" t="s">
        <v>14</v>
      </c>
      <c r="G1200" s="2" t="s">
        <v>15</v>
      </c>
      <c r="H1200" s="2">
        <v>40000000</v>
      </c>
      <c r="I1200" s="2">
        <v>5.3</v>
      </c>
      <c r="J1200" s="2">
        <f t="shared" si="8"/>
        <v>-11464232</v>
      </c>
      <c r="K1200" s="2">
        <f t="shared" si="9"/>
        <v>-1.623450044371005E-2</v>
      </c>
      <c r="L1200" s="2" t="str">
        <f>IF(ISNUMBER(SEARCH("|",IMDB_Movies!$D1200)),LEFT(IMDB_Movies!$D1200,SEARCH("|",IMDB_Movies!$D1200)-1),IMDB_Movies!$D1200)</f>
        <v>Comedy</v>
      </c>
      <c r="V1200" s="2"/>
      <c r="W1200" s="2"/>
    </row>
    <row r="1201" spans="1:23" ht="12.5" x14ac:dyDescent="0.25">
      <c r="A1201" s="2" t="s">
        <v>1604</v>
      </c>
      <c r="B1201" s="2">
        <v>99</v>
      </c>
      <c r="C1201" s="2">
        <v>27663982</v>
      </c>
      <c r="D1201" s="2" t="s">
        <v>1486</v>
      </c>
      <c r="E1201" s="2" t="s">
        <v>2222</v>
      </c>
      <c r="F1201" s="2" t="s">
        <v>14</v>
      </c>
      <c r="G1201" s="2" t="s">
        <v>15</v>
      </c>
      <c r="H1201" s="2">
        <v>40000000</v>
      </c>
      <c r="I1201" s="2">
        <v>4.4000000000000004</v>
      </c>
      <c r="J1201" s="2">
        <f t="shared" si="8"/>
        <v>-12336018</v>
      </c>
      <c r="K1201" s="2">
        <f t="shared" si="9"/>
        <v>-1.6234985153339116E-2</v>
      </c>
      <c r="L1201" s="2" t="str">
        <f>IF(ISNUMBER(SEARCH("|",IMDB_Movies!$D1201)),LEFT(IMDB_Movies!$D1201,SEARCH("|",IMDB_Movies!$D1201)-1),IMDB_Movies!$D1201)</f>
        <v>Horror</v>
      </c>
      <c r="V1201" s="2"/>
      <c r="W1201" s="2"/>
    </row>
    <row r="1202" spans="1:23" ht="12.5" x14ac:dyDescent="0.25">
      <c r="A1202" s="2" t="s">
        <v>649</v>
      </c>
      <c r="B1202" s="2">
        <v>104</v>
      </c>
      <c r="C1202" s="2">
        <v>27053815</v>
      </c>
      <c r="D1202" s="2" t="s">
        <v>40</v>
      </c>
      <c r="E1202" s="2" t="s">
        <v>2223</v>
      </c>
      <c r="F1202" s="2" t="s">
        <v>14</v>
      </c>
      <c r="G1202" s="2" t="s">
        <v>287</v>
      </c>
      <c r="H1202" s="2">
        <v>40000000</v>
      </c>
      <c r="I1202" s="2">
        <v>4.7</v>
      </c>
      <c r="J1202" s="2">
        <f t="shared" si="8"/>
        <v>-12946185</v>
      </c>
      <c r="K1202" s="2">
        <f t="shared" si="9"/>
        <v>-1.6235047113519144E-2</v>
      </c>
      <c r="L1202" s="2" t="str">
        <f>IF(ISNUMBER(SEARCH("|",IMDB_Movies!$D1202)),LEFT(IMDB_Movies!$D1202,SEARCH("|",IMDB_Movies!$D1202)-1),IMDB_Movies!$D1202)</f>
        <v>Action</v>
      </c>
      <c r="V1202" s="2"/>
      <c r="W1202" s="2"/>
    </row>
    <row r="1203" spans="1:23" ht="12.5" x14ac:dyDescent="0.25">
      <c r="A1203" s="2" t="s">
        <v>2224</v>
      </c>
      <c r="B1203" s="2">
        <v>115</v>
      </c>
      <c r="C1203" s="2">
        <v>26814957</v>
      </c>
      <c r="D1203" s="2" t="s">
        <v>2054</v>
      </c>
      <c r="E1203" s="2" t="s">
        <v>2225</v>
      </c>
      <c r="F1203" s="2" t="s">
        <v>14</v>
      </c>
      <c r="G1203" s="2" t="s">
        <v>22</v>
      </c>
      <c r="H1203" s="2">
        <v>35000000</v>
      </c>
      <c r="I1203" s="2">
        <v>6.7</v>
      </c>
      <c r="J1203" s="2">
        <f t="shared" si="8"/>
        <v>-8185043</v>
      </c>
      <c r="K1203" s="2">
        <f t="shared" si="9"/>
        <v>-1.6234814762649468E-2</v>
      </c>
      <c r="L1203" s="2" t="str">
        <f>IF(ISNUMBER(SEARCH("|",IMDB_Movies!$D1203)),LEFT(IMDB_Movies!$D1203,SEARCH("|",IMDB_Movies!$D1203)-1),IMDB_Movies!$D1203)</f>
        <v>Biography</v>
      </c>
      <c r="V1203" s="2"/>
      <c r="W1203" s="2"/>
    </row>
    <row r="1204" spans="1:23" ht="12.5" x14ac:dyDescent="0.25">
      <c r="A1204" s="2" t="s">
        <v>2226</v>
      </c>
      <c r="B1204" s="2">
        <v>119</v>
      </c>
      <c r="C1204" s="2">
        <v>25178165</v>
      </c>
      <c r="D1204" s="2" t="s">
        <v>85</v>
      </c>
      <c r="E1204" s="2" t="s">
        <v>2227</v>
      </c>
      <c r="F1204" s="2" t="s">
        <v>14</v>
      </c>
      <c r="G1204" s="2" t="s">
        <v>15</v>
      </c>
      <c r="H1204" s="2">
        <v>40000000</v>
      </c>
      <c r="I1204" s="2">
        <v>6.7</v>
      </c>
      <c r="J1204" s="2">
        <f t="shared" si="8"/>
        <v>-14821835</v>
      </c>
      <c r="K1204" s="2">
        <f t="shared" si="9"/>
        <v>-1.6234599960718299E-2</v>
      </c>
      <c r="L1204" s="2" t="str">
        <f>IF(ISNUMBER(SEARCH("|",IMDB_Movies!$D1204)),LEFT(IMDB_Movies!$D1204,SEARCH("|",IMDB_Movies!$D1204)-1),IMDB_Movies!$D1204)</f>
        <v>Drama</v>
      </c>
      <c r="V1204" s="2"/>
      <c r="W1204" s="2"/>
    </row>
    <row r="1205" spans="1:23" ht="12.5" x14ac:dyDescent="0.25">
      <c r="A1205" s="2" t="s">
        <v>957</v>
      </c>
      <c r="B1205" s="2">
        <v>99</v>
      </c>
      <c r="C1205" s="2">
        <v>25117498</v>
      </c>
      <c r="D1205" s="2" t="s">
        <v>2228</v>
      </c>
      <c r="E1205" s="2" t="s">
        <v>2229</v>
      </c>
      <c r="F1205" s="2" t="s">
        <v>14</v>
      </c>
      <c r="G1205" s="2" t="s">
        <v>15</v>
      </c>
      <c r="H1205" s="2">
        <v>40000000</v>
      </c>
      <c r="I1205" s="2">
        <v>5.7</v>
      </c>
      <c r="J1205" s="2">
        <f t="shared" si="8"/>
        <v>-14882502</v>
      </c>
      <c r="K1205" s="2">
        <f t="shared" si="9"/>
        <v>-1.6233471624533737E-2</v>
      </c>
      <c r="L1205" s="2" t="str">
        <f>IF(ISNUMBER(SEARCH("|",IMDB_Movies!$D1205)),LEFT(IMDB_Movies!$D1205,SEARCH("|",IMDB_Movies!$D1205)-1),IMDB_Movies!$D1205)</f>
        <v>Horror</v>
      </c>
      <c r="V1205" s="2"/>
      <c r="W1205" s="2"/>
    </row>
    <row r="1206" spans="1:23" ht="12.5" x14ac:dyDescent="0.25">
      <c r="A1206" s="2" t="s">
        <v>191</v>
      </c>
      <c r="B1206" s="2">
        <v>112</v>
      </c>
      <c r="C1206" s="2">
        <v>32645</v>
      </c>
      <c r="D1206" s="2" t="s">
        <v>1791</v>
      </c>
      <c r="E1206" s="2" t="s">
        <v>2230</v>
      </c>
      <c r="F1206" s="2" t="s">
        <v>14</v>
      </c>
      <c r="G1206" s="2" t="s">
        <v>15</v>
      </c>
      <c r="H1206" s="2">
        <v>500000</v>
      </c>
      <c r="I1206" s="2">
        <v>7.4</v>
      </c>
      <c r="J1206" s="2">
        <f t="shared" si="8"/>
        <v>-467355</v>
      </c>
      <c r="K1206" s="2">
        <f t="shared" si="9"/>
        <v>-1.6232313679340256E-2</v>
      </c>
      <c r="L1206" s="2" t="str">
        <f>IF(ISNUMBER(SEARCH("|",IMDB_Movies!$D1206)),LEFT(IMDB_Movies!$D1206,SEARCH("|",IMDB_Movies!$D1206)-1),IMDB_Movies!$D1206)</f>
        <v>Crime</v>
      </c>
      <c r="V1206" s="2"/>
      <c r="W1206" s="2"/>
    </row>
    <row r="1207" spans="1:23" ht="12.5" x14ac:dyDescent="0.25">
      <c r="A1207" s="2" t="s">
        <v>1896</v>
      </c>
      <c r="B1207" s="2">
        <v>128</v>
      </c>
      <c r="C1207" s="2">
        <v>24332324</v>
      </c>
      <c r="D1207" s="2" t="s">
        <v>891</v>
      </c>
      <c r="E1207" s="2" t="s">
        <v>2231</v>
      </c>
      <c r="F1207" s="2" t="s">
        <v>14</v>
      </c>
      <c r="G1207" s="2" t="s">
        <v>15</v>
      </c>
      <c r="H1207" s="2">
        <v>40000000</v>
      </c>
      <c r="I1207" s="2">
        <v>6.1</v>
      </c>
      <c r="J1207" s="2">
        <f t="shared" si="8"/>
        <v>-15667676</v>
      </c>
      <c r="K1207" s="2">
        <f t="shared" si="9"/>
        <v>-1.6261126468770714E-2</v>
      </c>
      <c r="L1207" s="2" t="str">
        <f>IF(ISNUMBER(SEARCH("|",IMDB_Movies!$D1207)),LEFT(IMDB_Movies!$D1207,SEARCH("|",IMDB_Movies!$D1207)-1),IMDB_Movies!$D1207)</f>
        <v>Comedy</v>
      </c>
      <c r="V1207" s="2"/>
      <c r="W1207" s="2"/>
    </row>
    <row r="1208" spans="1:23" ht="12.5" x14ac:dyDescent="0.25">
      <c r="A1208" s="2" t="s">
        <v>1886</v>
      </c>
      <c r="B1208" s="2">
        <v>112</v>
      </c>
      <c r="C1208" s="2">
        <v>36665854</v>
      </c>
      <c r="D1208" s="2" t="s">
        <v>177</v>
      </c>
      <c r="E1208" s="2" t="s">
        <v>2232</v>
      </c>
      <c r="F1208" s="2" t="s">
        <v>14</v>
      </c>
      <c r="G1208" s="2" t="s">
        <v>686</v>
      </c>
      <c r="H1208" s="2">
        <v>40000000</v>
      </c>
      <c r="I1208" s="2">
        <v>6.4</v>
      </c>
      <c r="J1208" s="2">
        <f t="shared" si="8"/>
        <v>-3334146</v>
      </c>
      <c r="K1208" s="2">
        <f t="shared" si="9"/>
        <v>-1.6259593120669272E-2</v>
      </c>
      <c r="L1208" s="2" t="str">
        <f>IF(ISNUMBER(SEARCH("|",IMDB_Movies!$D1208)),LEFT(IMDB_Movies!$D1208,SEARCH("|",IMDB_Movies!$D1208)-1),IMDB_Movies!$D1208)</f>
        <v>Action</v>
      </c>
      <c r="V1208" s="2"/>
      <c r="W1208" s="2"/>
    </row>
    <row r="1209" spans="1:23" ht="12.5" x14ac:dyDescent="0.25">
      <c r="A1209" s="2" t="s">
        <v>2233</v>
      </c>
      <c r="B1209" s="2">
        <v>86</v>
      </c>
      <c r="C1209" s="2">
        <v>22717758</v>
      </c>
      <c r="D1209" s="2" t="s">
        <v>2234</v>
      </c>
      <c r="E1209" s="2" t="s">
        <v>2235</v>
      </c>
      <c r="F1209" s="2" t="s">
        <v>14</v>
      </c>
      <c r="G1209" s="2" t="s">
        <v>15</v>
      </c>
      <c r="H1209" s="2">
        <v>40000000</v>
      </c>
      <c r="I1209" s="2">
        <v>6.2</v>
      </c>
      <c r="J1209" s="2">
        <f t="shared" si="8"/>
        <v>-17282242</v>
      </c>
      <c r="K1209" s="2">
        <f t="shared" si="9"/>
        <v>-1.6264177653830685E-2</v>
      </c>
      <c r="L1209" s="2" t="str">
        <f>IF(ISNUMBER(SEARCH("|",IMDB_Movies!$D1209)),LEFT(IMDB_Movies!$D1209,SEARCH("|",IMDB_Movies!$D1209)-1),IMDB_Movies!$D1209)</f>
        <v>Adventure</v>
      </c>
      <c r="V1209" s="2"/>
      <c r="W1209" s="2"/>
    </row>
    <row r="1210" spans="1:23" ht="12.5" x14ac:dyDescent="0.25">
      <c r="A1210" s="2" t="s">
        <v>1219</v>
      </c>
      <c r="B1210" s="2">
        <v>108</v>
      </c>
      <c r="C1210" s="2">
        <v>22433915</v>
      </c>
      <c r="D1210" s="2" t="s">
        <v>770</v>
      </c>
      <c r="E1210" s="2" t="s">
        <v>2236</v>
      </c>
      <c r="F1210" s="2" t="s">
        <v>14</v>
      </c>
      <c r="G1210" s="2" t="s">
        <v>15</v>
      </c>
      <c r="H1210" s="2">
        <v>60000000</v>
      </c>
      <c r="I1210" s="2">
        <v>6.2</v>
      </c>
      <c r="J1210" s="2">
        <f t="shared" si="8"/>
        <v>-37566085</v>
      </c>
      <c r="K1210" s="2">
        <f t="shared" si="9"/>
        <v>-1.6261890251915812E-2</v>
      </c>
      <c r="L1210" s="2" t="str">
        <f>IF(ISNUMBER(SEARCH("|",IMDB_Movies!$D1210)),LEFT(IMDB_Movies!$D1210,SEARCH("|",IMDB_Movies!$D1210)-1),IMDB_Movies!$D1210)</f>
        <v>Crime</v>
      </c>
      <c r="V1210" s="2"/>
      <c r="W1210" s="2"/>
    </row>
    <row r="1211" spans="1:23" ht="12.5" x14ac:dyDescent="0.25">
      <c r="A1211" s="2" t="s">
        <v>2237</v>
      </c>
      <c r="B1211" s="2">
        <v>128</v>
      </c>
      <c r="C1211" s="2">
        <v>22326247</v>
      </c>
      <c r="D1211" s="2" t="s">
        <v>85</v>
      </c>
      <c r="E1211" s="2" t="s">
        <v>2238</v>
      </c>
      <c r="F1211" s="2" t="s">
        <v>14</v>
      </c>
      <c r="G1211" s="2" t="s">
        <v>15</v>
      </c>
      <c r="H1211" s="2">
        <v>60000000</v>
      </c>
      <c r="I1211" s="2">
        <v>5.9</v>
      </c>
      <c r="J1211" s="2">
        <f t="shared" si="8"/>
        <v>-37673753</v>
      </c>
      <c r="K1211" s="2">
        <f t="shared" si="9"/>
        <v>-1.6255686670247113E-2</v>
      </c>
      <c r="L1211" s="2" t="str">
        <f>IF(ISNUMBER(SEARCH("|",IMDB_Movies!$D1211)),LEFT(IMDB_Movies!$D1211,SEARCH("|",IMDB_Movies!$D1211)-1),IMDB_Movies!$D1211)</f>
        <v>Drama</v>
      </c>
      <c r="V1211" s="2"/>
      <c r="W1211" s="2"/>
    </row>
    <row r="1212" spans="1:23" ht="12.5" x14ac:dyDescent="0.25">
      <c r="A1212" s="2" t="s">
        <v>2239</v>
      </c>
      <c r="B1212" s="2">
        <v>84</v>
      </c>
      <c r="C1212" s="2">
        <v>21176322</v>
      </c>
      <c r="D1212" s="2" t="s">
        <v>623</v>
      </c>
      <c r="E1212" s="2" t="s">
        <v>2240</v>
      </c>
      <c r="F1212" s="2" t="s">
        <v>14</v>
      </c>
      <c r="G1212" s="2" t="s">
        <v>15</v>
      </c>
      <c r="H1212" s="2">
        <v>40000000</v>
      </c>
      <c r="I1212" s="2">
        <v>4</v>
      </c>
      <c r="J1212" s="2">
        <f t="shared" si="8"/>
        <v>-18823678</v>
      </c>
      <c r="K1212" s="2">
        <f t="shared" si="9"/>
        <v>-1.6249348121893305E-2</v>
      </c>
      <c r="L1212" s="2" t="str">
        <f>IF(ISNUMBER(SEARCH("|",IMDB_Movies!$D1212)),LEFT(IMDB_Movies!$D1212,SEARCH("|",IMDB_Movies!$D1212)-1),IMDB_Movies!$D1212)</f>
        <v>Action</v>
      </c>
      <c r="V1212" s="2"/>
      <c r="W1212" s="2"/>
    </row>
    <row r="1213" spans="1:23" ht="12.5" x14ac:dyDescent="0.25">
      <c r="A1213" s="2" t="s">
        <v>1471</v>
      </c>
      <c r="B1213" s="2">
        <v>111</v>
      </c>
      <c r="C1213" s="2">
        <v>20300000</v>
      </c>
      <c r="D1213" s="2" t="s">
        <v>1400</v>
      </c>
      <c r="E1213" s="2" t="s">
        <v>2241</v>
      </c>
      <c r="F1213" s="2" t="s">
        <v>14</v>
      </c>
      <c r="G1213" s="2" t="s">
        <v>15</v>
      </c>
      <c r="H1213" s="2">
        <v>40000000</v>
      </c>
      <c r="I1213" s="2">
        <v>6.2</v>
      </c>
      <c r="J1213" s="2">
        <f t="shared" si="8"/>
        <v>-19700000</v>
      </c>
      <c r="K1213" s="2">
        <f t="shared" si="9"/>
        <v>-1.624634110978599E-2</v>
      </c>
      <c r="L1213" s="2" t="str">
        <f>IF(ISNUMBER(SEARCH("|",IMDB_Movies!$D1213)),LEFT(IMDB_Movies!$D1213,SEARCH("|",IMDB_Movies!$D1213)-1),IMDB_Movies!$D1213)</f>
        <v>Drama</v>
      </c>
      <c r="V1213" s="2"/>
      <c r="W1213" s="2"/>
    </row>
    <row r="1214" spans="1:23" ht="12.5" x14ac:dyDescent="0.25">
      <c r="A1214" s="2" t="s">
        <v>475</v>
      </c>
      <c r="B1214" s="2">
        <v>131</v>
      </c>
      <c r="C1214" s="2">
        <v>20302961</v>
      </c>
      <c r="D1214" s="2" t="s">
        <v>1180</v>
      </c>
      <c r="E1214" s="2" t="s">
        <v>2242</v>
      </c>
      <c r="F1214" s="2" t="s">
        <v>14</v>
      </c>
      <c r="G1214" s="2" t="s">
        <v>686</v>
      </c>
      <c r="H1214" s="2">
        <v>45000000</v>
      </c>
      <c r="I1214" s="2">
        <v>4.5999999999999996</v>
      </c>
      <c r="J1214" s="2">
        <f t="shared" si="8"/>
        <v>-24697039</v>
      </c>
      <c r="K1214" s="2">
        <f t="shared" si="9"/>
        <v>-1.6242931654851328E-2</v>
      </c>
      <c r="L1214" s="2" t="str">
        <f>IF(ISNUMBER(SEARCH("|",IMDB_Movies!$D1214)),LEFT(IMDB_Movies!$D1214,SEARCH("|",IMDB_Movies!$D1214)-1),IMDB_Movies!$D1214)</f>
        <v>Drama</v>
      </c>
      <c r="V1214" s="2"/>
      <c r="W1214" s="2"/>
    </row>
    <row r="1215" spans="1:23" ht="12.5" x14ac:dyDescent="0.25">
      <c r="A1215" s="2" t="s">
        <v>2243</v>
      </c>
      <c r="B1215" s="2">
        <v>123</v>
      </c>
      <c r="C1215" s="2">
        <v>15962471</v>
      </c>
      <c r="D1215" s="2" t="s">
        <v>2054</v>
      </c>
      <c r="E1215" s="2" t="s">
        <v>2244</v>
      </c>
      <c r="F1215" s="2" t="s">
        <v>14</v>
      </c>
      <c r="G1215" s="2" t="s">
        <v>15</v>
      </c>
      <c r="H1215" s="2">
        <v>40000000</v>
      </c>
      <c r="I1215" s="2">
        <v>6.4</v>
      </c>
      <c r="J1215" s="2">
        <f t="shared" si="8"/>
        <v>-24037529</v>
      </c>
      <c r="K1215" s="2">
        <f t="shared" si="9"/>
        <v>-1.6238173035152882E-2</v>
      </c>
      <c r="L1215" s="2" t="str">
        <f>IF(ISNUMBER(SEARCH("|",IMDB_Movies!$D1215)),LEFT(IMDB_Movies!$D1215,SEARCH("|",IMDB_Movies!$D1215)-1),IMDB_Movies!$D1215)</f>
        <v>Biography</v>
      </c>
      <c r="V1215" s="2"/>
      <c r="W1215" s="2"/>
    </row>
    <row r="1216" spans="1:23" ht="12.5" x14ac:dyDescent="0.25">
      <c r="A1216" s="2" t="s">
        <v>1807</v>
      </c>
      <c r="B1216" s="2">
        <v>101</v>
      </c>
      <c r="C1216" s="2">
        <v>14942422</v>
      </c>
      <c r="D1216" s="2" t="s">
        <v>125</v>
      </c>
      <c r="E1216" s="2" t="s">
        <v>2245</v>
      </c>
      <c r="F1216" s="2" t="s">
        <v>14</v>
      </c>
      <c r="G1216" s="2" t="s">
        <v>15</v>
      </c>
      <c r="H1216" s="2">
        <v>40000000</v>
      </c>
      <c r="I1216" s="2">
        <v>5.9</v>
      </c>
      <c r="J1216" s="2">
        <f t="shared" si="8"/>
        <v>-25057578</v>
      </c>
      <c r="K1216" s="2">
        <f t="shared" si="9"/>
        <v>-1.6232823033494163E-2</v>
      </c>
      <c r="L1216" s="2" t="str">
        <f>IF(ISNUMBER(SEARCH("|",IMDB_Movies!$D1216)),LEFT(IMDB_Movies!$D1216,SEARCH("|",IMDB_Movies!$D1216)-1),IMDB_Movies!$D1216)</f>
        <v>Action</v>
      </c>
      <c r="V1216" s="2"/>
      <c r="W1216" s="2"/>
    </row>
    <row r="1217" spans="1:23" ht="12.5" x14ac:dyDescent="0.25">
      <c r="A1217" s="2" t="s">
        <v>2246</v>
      </c>
      <c r="B1217" s="2">
        <v>102</v>
      </c>
      <c r="C1217" s="2">
        <v>14967182</v>
      </c>
      <c r="D1217" s="2" t="s">
        <v>177</v>
      </c>
      <c r="E1217" s="2" t="s">
        <v>2247</v>
      </c>
      <c r="F1217" s="2" t="s">
        <v>14</v>
      </c>
      <c r="G1217" s="2" t="s">
        <v>15</v>
      </c>
      <c r="H1217" s="2">
        <v>40000000</v>
      </c>
      <c r="I1217" s="2">
        <v>5.0999999999999996</v>
      </c>
      <c r="J1217" s="2">
        <f t="shared" si="8"/>
        <v>-25032818</v>
      </c>
      <c r="K1217" s="2">
        <f t="shared" si="9"/>
        <v>-1.6227025019060256E-2</v>
      </c>
      <c r="L1217" s="2" t="str">
        <f>IF(ISNUMBER(SEARCH("|",IMDB_Movies!$D1217)),LEFT(IMDB_Movies!$D1217,SEARCH("|",IMDB_Movies!$D1217)-1),IMDB_Movies!$D1217)</f>
        <v>Action</v>
      </c>
      <c r="V1217" s="2"/>
      <c r="W1217" s="2"/>
    </row>
    <row r="1218" spans="1:23" ht="12.5" x14ac:dyDescent="0.25">
      <c r="A1218" s="2" t="s">
        <v>2248</v>
      </c>
      <c r="B1218" s="2">
        <v>114</v>
      </c>
      <c r="C1218" s="2">
        <v>18996755</v>
      </c>
      <c r="D1218" s="2" t="s">
        <v>1400</v>
      </c>
      <c r="E1218" s="2" t="s">
        <v>2249</v>
      </c>
      <c r="F1218" s="2" t="s">
        <v>14</v>
      </c>
      <c r="G1218" s="2" t="s">
        <v>1239</v>
      </c>
      <c r="H1218" s="2">
        <v>45000000</v>
      </c>
      <c r="I1218" s="2">
        <v>7.6</v>
      </c>
      <c r="J1218" s="2">
        <f t="shared" si="8"/>
        <v>-26003245</v>
      </c>
      <c r="K1218" s="2">
        <f t="shared" si="9"/>
        <v>-1.6221232975810452E-2</v>
      </c>
      <c r="L1218" s="2" t="str">
        <f>IF(ISNUMBER(SEARCH("|",IMDB_Movies!$D1218)),LEFT(IMDB_Movies!$D1218,SEARCH("|",IMDB_Movies!$D1218)-1),IMDB_Movies!$D1218)</f>
        <v>Drama</v>
      </c>
      <c r="V1218" s="2"/>
      <c r="W1218" s="2"/>
    </row>
    <row r="1219" spans="1:23" ht="12.5" x14ac:dyDescent="0.25">
      <c r="A1219" s="2" t="s">
        <v>2250</v>
      </c>
      <c r="B1219" s="2">
        <v>107</v>
      </c>
      <c r="C1219" s="2">
        <v>14375181</v>
      </c>
      <c r="D1219" s="2" t="s">
        <v>2251</v>
      </c>
      <c r="E1219" s="2" t="s">
        <v>2252</v>
      </c>
      <c r="F1219" s="2" t="s">
        <v>14</v>
      </c>
      <c r="G1219" s="2" t="s">
        <v>15</v>
      </c>
      <c r="H1219" s="2">
        <v>51000000</v>
      </c>
      <c r="I1219" s="2">
        <v>4.2</v>
      </c>
      <c r="J1219" s="2">
        <f t="shared" si="8"/>
        <v>-36624819</v>
      </c>
      <c r="K1219" s="2">
        <f t="shared" si="9"/>
        <v>-1.6215621783739167E-2</v>
      </c>
      <c r="L1219" s="2" t="str">
        <f>IF(ISNUMBER(SEARCH("|",IMDB_Movies!$D1219)),LEFT(IMDB_Movies!$D1219,SEARCH("|",IMDB_Movies!$D1219)-1),IMDB_Movies!$D1219)</f>
        <v>Action</v>
      </c>
      <c r="V1219" s="2"/>
      <c r="W1219" s="2"/>
    </row>
    <row r="1220" spans="1:23" ht="12.5" x14ac:dyDescent="0.25">
      <c r="A1220" s="2" t="s">
        <v>1821</v>
      </c>
      <c r="B1220" s="2">
        <v>87</v>
      </c>
      <c r="C1220" s="2">
        <v>20999103</v>
      </c>
      <c r="D1220" s="2" t="s">
        <v>2253</v>
      </c>
      <c r="E1220" s="2" t="s">
        <v>2254</v>
      </c>
      <c r="F1220" s="2" t="s">
        <v>14</v>
      </c>
      <c r="G1220" s="2" t="s">
        <v>15</v>
      </c>
      <c r="H1220" s="2">
        <v>40000000</v>
      </c>
      <c r="I1220" s="2">
        <v>7.8</v>
      </c>
      <c r="J1220" s="2">
        <f t="shared" si="8"/>
        <v>-19000897</v>
      </c>
      <c r="K1220" s="2">
        <f t="shared" si="9"/>
        <v>-1.6204162972676489E-2</v>
      </c>
      <c r="L1220" s="2" t="str">
        <f>IF(ISNUMBER(SEARCH("|",IMDB_Movies!$D1220)),LEFT(IMDB_Movies!$D1220,SEARCH("|",IMDB_Movies!$D1220)-1),IMDB_Movies!$D1220)</f>
        <v>Adventure</v>
      </c>
      <c r="V1220" s="2"/>
      <c r="W1220" s="2"/>
    </row>
    <row r="1221" spans="1:23" ht="12.5" x14ac:dyDescent="0.25">
      <c r="A1221" s="2" t="s">
        <v>1525</v>
      </c>
      <c r="B1221" s="2">
        <v>103</v>
      </c>
      <c r="C1221" s="2">
        <v>14448589</v>
      </c>
      <c r="D1221" s="2" t="s">
        <v>600</v>
      </c>
      <c r="E1221" s="2" t="s">
        <v>2255</v>
      </c>
      <c r="F1221" s="2" t="s">
        <v>14</v>
      </c>
      <c r="G1221" s="2" t="s">
        <v>15</v>
      </c>
      <c r="H1221" s="2">
        <v>40000000</v>
      </c>
      <c r="I1221" s="2">
        <v>5.8</v>
      </c>
      <c r="J1221" s="2">
        <f t="shared" si="8"/>
        <v>-25551411</v>
      </c>
      <c r="K1221" s="2">
        <f t="shared" si="9"/>
        <v>-1.6201048103599788E-2</v>
      </c>
      <c r="L1221" s="2" t="str">
        <f>IF(ISNUMBER(SEARCH("|",IMDB_Movies!$D1221)),LEFT(IMDB_Movies!$D1221,SEARCH("|",IMDB_Movies!$D1221)-1),IMDB_Movies!$D1221)</f>
        <v>Comedy</v>
      </c>
      <c r="V1221" s="2"/>
      <c r="W1221" s="2"/>
    </row>
    <row r="1222" spans="1:23" ht="12.5" x14ac:dyDescent="0.25">
      <c r="A1222" s="2" t="s">
        <v>1818</v>
      </c>
      <c r="B1222" s="2">
        <v>99</v>
      </c>
      <c r="C1222" s="2">
        <v>14358033</v>
      </c>
      <c r="D1222" s="2" t="s">
        <v>2256</v>
      </c>
      <c r="E1222" s="2" t="s">
        <v>2257</v>
      </c>
      <c r="F1222" s="2" t="s">
        <v>14</v>
      </c>
      <c r="G1222" s="2" t="s">
        <v>15</v>
      </c>
      <c r="H1222" s="2">
        <v>40000000</v>
      </c>
      <c r="I1222" s="2">
        <v>5.9</v>
      </c>
      <c r="J1222" s="2">
        <f t="shared" si="8"/>
        <v>-25641967</v>
      </c>
      <c r="K1222" s="2">
        <f t="shared" si="9"/>
        <v>-1.6195011200626351E-2</v>
      </c>
      <c r="L1222" s="2" t="str">
        <f>IF(ISNUMBER(SEARCH("|",IMDB_Movies!$D1222)),LEFT(IMDB_Movies!$D1222,SEARCH("|",IMDB_Movies!$D1222)-1),IMDB_Movies!$D1222)</f>
        <v>Comedy</v>
      </c>
      <c r="V1222" s="2"/>
      <c r="W1222" s="2"/>
    </row>
    <row r="1223" spans="1:23" ht="12.5" x14ac:dyDescent="0.25">
      <c r="A1223" s="2" t="s">
        <v>1435</v>
      </c>
      <c r="B1223" s="2">
        <v>122</v>
      </c>
      <c r="C1223" s="2">
        <v>33201661</v>
      </c>
      <c r="D1223" s="2" t="s">
        <v>600</v>
      </c>
      <c r="E1223" s="2" t="s">
        <v>2258</v>
      </c>
      <c r="F1223" s="2" t="s">
        <v>1006</v>
      </c>
      <c r="G1223" s="2" t="s">
        <v>686</v>
      </c>
      <c r="H1223" s="2">
        <v>77000000</v>
      </c>
      <c r="I1223" s="2">
        <v>8.4</v>
      </c>
      <c r="J1223" s="2">
        <f t="shared" si="8"/>
        <v>-43798339</v>
      </c>
      <c r="K1223" s="2">
        <f t="shared" si="9"/>
        <v>-1.6188930204941585E-2</v>
      </c>
      <c r="L1223" s="2" t="str">
        <f>IF(ISNUMBER(SEARCH("|",IMDB_Movies!$D1223)),LEFT(IMDB_Movies!$D1223,SEARCH("|",IMDB_Movies!$D1223)-1),IMDB_Movies!$D1223)</f>
        <v>Comedy</v>
      </c>
      <c r="V1223" s="2"/>
      <c r="W1223" s="2"/>
    </row>
    <row r="1224" spans="1:23" ht="12.5" x14ac:dyDescent="0.25">
      <c r="A1224" s="2" t="s">
        <v>2259</v>
      </c>
      <c r="B1224" s="2">
        <v>91</v>
      </c>
      <c r="C1224" s="2">
        <v>14018364</v>
      </c>
      <c r="D1224" s="2" t="s">
        <v>2260</v>
      </c>
      <c r="E1224" s="2" t="s">
        <v>2261</v>
      </c>
      <c r="F1224" s="2" t="s">
        <v>14</v>
      </c>
      <c r="G1224" s="2" t="s">
        <v>15</v>
      </c>
      <c r="H1224" s="2">
        <v>30000000</v>
      </c>
      <c r="I1224" s="2">
        <v>4.8</v>
      </c>
      <c r="J1224" s="2">
        <f t="shared" si="8"/>
        <v>-15981636</v>
      </c>
      <c r="K1224" s="2">
        <f t="shared" si="9"/>
        <v>-1.6199539635733912E-2</v>
      </c>
      <c r="L1224" s="2" t="str">
        <f>IF(ISNUMBER(SEARCH("|",IMDB_Movies!$D1224)),LEFT(IMDB_Movies!$D1224,SEARCH("|",IMDB_Movies!$D1224)-1),IMDB_Movies!$D1224)</f>
        <v>Comedy</v>
      </c>
      <c r="V1224" s="2"/>
      <c r="W1224" s="2"/>
    </row>
    <row r="1225" spans="1:23" ht="12.5" x14ac:dyDescent="0.25">
      <c r="A1225" s="2" t="s">
        <v>2262</v>
      </c>
      <c r="B1225" s="2">
        <v>103</v>
      </c>
      <c r="C1225" s="2">
        <v>13395939</v>
      </c>
      <c r="D1225" s="2" t="s">
        <v>514</v>
      </c>
      <c r="E1225" s="2" t="s">
        <v>2263</v>
      </c>
      <c r="F1225" s="2" t="s">
        <v>14</v>
      </c>
      <c r="G1225" s="2" t="s">
        <v>22</v>
      </c>
      <c r="H1225" s="2">
        <v>60000000</v>
      </c>
      <c r="I1225" s="2">
        <v>6.2</v>
      </c>
      <c r="J1225" s="2">
        <f t="shared" si="8"/>
        <v>-46604061</v>
      </c>
      <c r="K1225" s="2">
        <f t="shared" si="9"/>
        <v>-1.6198356951905024E-2</v>
      </c>
      <c r="L1225" s="2" t="str">
        <f>IF(ISNUMBER(SEARCH("|",IMDB_Movies!$D1225)),LEFT(IMDB_Movies!$D1225,SEARCH("|",IMDB_Movies!$D1225)-1),IMDB_Movies!$D1225)</f>
        <v>Comedy</v>
      </c>
      <c r="V1225" s="2"/>
      <c r="W1225" s="2"/>
    </row>
    <row r="1226" spans="1:23" ht="12.5" x14ac:dyDescent="0.25">
      <c r="A1226" s="2" t="s">
        <v>2112</v>
      </c>
      <c r="B1226" s="2">
        <v>107</v>
      </c>
      <c r="C1226" s="2">
        <v>20113965</v>
      </c>
      <c r="D1226" s="2" t="s">
        <v>2124</v>
      </c>
      <c r="E1226" s="2" t="s">
        <v>2264</v>
      </c>
      <c r="F1226" s="2" t="s">
        <v>14</v>
      </c>
      <c r="G1226" s="2" t="s">
        <v>15</v>
      </c>
      <c r="H1226" s="2">
        <v>40000000</v>
      </c>
      <c r="I1226" s="2">
        <v>6.5</v>
      </c>
      <c r="J1226" s="2">
        <f t="shared" si="8"/>
        <v>-19886035</v>
      </c>
      <c r="K1226" s="2">
        <f t="shared" si="9"/>
        <v>-1.6181285669771311E-2</v>
      </c>
      <c r="L1226" s="2" t="str">
        <f>IF(ISNUMBER(SEARCH("|",IMDB_Movies!$D1226)),LEFT(IMDB_Movies!$D1226,SEARCH("|",IMDB_Movies!$D1226)-1),IMDB_Movies!$D1226)</f>
        <v>Biography</v>
      </c>
      <c r="V1226" s="2"/>
      <c r="W1226" s="2"/>
    </row>
    <row r="1227" spans="1:23" ht="12.5" x14ac:dyDescent="0.25">
      <c r="A1227" s="2" t="s">
        <v>2265</v>
      </c>
      <c r="B1227" s="2">
        <v>106</v>
      </c>
      <c r="C1227" s="2">
        <v>13376506</v>
      </c>
      <c r="D1227" s="2" t="s">
        <v>1180</v>
      </c>
      <c r="E1227" s="2" t="s">
        <v>2266</v>
      </c>
      <c r="F1227" s="2" t="s">
        <v>14</v>
      </c>
      <c r="G1227" s="2" t="s">
        <v>15</v>
      </c>
      <c r="H1227" s="2">
        <v>40000000</v>
      </c>
      <c r="I1227" s="2">
        <v>6.3</v>
      </c>
      <c r="J1227" s="2">
        <f t="shared" si="8"/>
        <v>-26623494</v>
      </c>
      <c r="K1227" s="2">
        <f t="shared" si="9"/>
        <v>-1.6177741908254693E-2</v>
      </c>
      <c r="L1227" s="2" t="str">
        <f>IF(ISNUMBER(SEARCH("|",IMDB_Movies!$D1227)),LEFT(IMDB_Movies!$D1227,SEARCH("|",IMDB_Movies!$D1227)-1),IMDB_Movies!$D1227)</f>
        <v>Drama</v>
      </c>
      <c r="V1227" s="2"/>
      <c r="W1227" s="2"/>
    </row>
    <row r="1228" spans="1:23" ht="12.5" x14ac:dyDescent="0.25">
      <c r="A1228" s="2" t="s">
        <v>2267</v>
      </c>
      <c r="B1228" s="2">
        <v>101</v>
      </c>
      <c r="C1228" s="2">
        <v>13208023</v>
      </c>
      <c r="D1228" s="2" t="s">
        <v>2268</v>
      </c>
      <c r="E1228" s="2" t="s">
        <v>2269</v>
      </c>
      <c r="F1228" s="2" t="s">
        <v>14</v>
      </c>
      <c r="G1228" s="2" t="s">
        <v>22</v>
      </c>
      <c r="H1228" s="2">
        <v>42000000</v>
      </c>
      <c r="I1228" s="2">
        <v>3.3</v>
      </c>
      <c r="J1228" s="2">
        <f t="shared" si="8"/>
        <v>-28791977</v>
      </c>
      <c r="K1228" s="2">
        <f t="shared" si="9"/>
        <v>-1.617120765932142E-2</v>
      </c>
      <c r="L1228" s="2" t="str">
        <f>IF(ISNUMBER(SEARCH("|",IMDB_Movies!$D1228)),LEFT(IMDB_Movies!$D1228,SEARCH("|",IMDB_Movies!$D1228)-1),IMDB_Movies!$D1228)</f>
        <v>Crime</v>
      </c>
      <c r="V1228" s="2"/>
      <c r="W1228" s="2"/>
    </row>
    <row r="1229" spans="1:23" ht="12.5" x14ac:dyDescent="0.25">
      <c r="A1229" s="2" t="s">
        <v>620</v>
      </c>
      <c r="B1229" s="2">
        <v>109</v>
      </c>
      <c r="C1229" s="2">
        <v>13838130</v>
      </c>
      <c r="D1229" s="2" t="s">
        <v>692</v>
      </c>
      <c r="E1229" s="2" t="s">
        <v>2270</v>
      </c>
      <c r="F1229" s="2" t="s">
        <v>14</v>
      </c>
      <c r="G1229" s="2" t="s">
        <v>15</v>
      </c>
      <c r="H1229" s="2">
        <v>40000000</v>
      </c>
      <c r="I1229" s="2">
        <v>5.9</v>
      </c>
      <c r="J1229" s="2">
        <f t="shared" si="8"/>
        <v>-26161870</v>
      </c>
      <c r="K1229" s="2">
        <f t="shared" si="9"/>
        <v>-1.6163523037805168E-2</v>
      </c>
      <c r="L1229" s="2" t="str">
        <f>IF(ISNUMBER(SEARCH("|",IMDB_Movies!$D1229)),LEFT(IMDB_Movies!$D1229,SEARCH("|",IMDB_Movies!$D1229)-1),IMDB_Movies!$D1229)</f>
        <v>Action</v>
      </c>
      <c r="V1229" s="2"/>
      <c r="W1229" s="2"/>
    </row>
    <row r="1230" spans="1:23" ht="12.5" x14ac:dyDescent="0.25">
      <c r="A1230" s="2" t="s">
        <v>1853</v>
      </c>
      <c r="B1230" s="2">
        <v>89</v>
      </c>
      <c r="C1230" s="2">
        <v>9652000</v>
      </c>
      <c r="D1230" s="2" t="s">
        <v>709</v>
      </c>
      <c r="E1230" s="2" t="s">
        <v>2271</v>
      </c>
      <c r="F1230" s="2" t="s">
        <v>14</v>
      </c>
      <c r="G1230" s="2" t="s">
        <v>15</v>
      </c>
      <c r="H1230" s="2">
        <v>40000000</v>
      </c>
      <c r="I1230" s="2">
        <v>5.8</v>
      </c>
      <c r="J1230" s="2">
        <f t="shared" si="8"/>
        <v>-30348000</v>
      </c>
      <c r="K1230" s="2">
        <f t="shared" si="9"/>
        <v>-1.6157176243606717E-2</v>
      </c>
      <c r="L1230" s="2" t="str">
        <f>IF(ISNUMBER(SEARCH("|",IMDB_Movies!$D1230)),LEFT(IMDB_Movies!$D1230,SEARCH("|",IMDB_Movies!$D1230)-1),IMDB_Movies!$D1230)</f>
        <v>Comedy</v>
      </c>
      <c r="V1230" s="2"/>
      <c r="W1230" s="2"/>
    </row>
    <row r="1231" spans="1:23" ht="12.5" x14ac:dyDescent="0.25">
      <c r="A1231" s="2" t="s">
        <v>2272</v>
      </c>
      <c r="B1231" s="2">
        <v>119</v>
      </c>
      <c r="C1231" s="2">
        <v>7000000</v>
      </c>
      <c r="D1231" s="2" t="s">
        <v>267</v>
      </c>
      <c r="E1231" s="2" t="s">
        <v>2273</v>
      </c>
      <c r="F1231" s="2" t="s">
        <v>14</v>
      </c>
      <c r="G1231" s="2" t="s">
        <v>22</v>
      </c>
      <c r="H1231" s="2">
        <v>36000000</v>
      </c>
      <c r="I1231" s="2">
        <v>4.7</v>
      </c>
      <c r="J1231" s="2">
        <f t="shared" si="8"/>
        <v>-29000000</v>
      </c>
      <c r="K1231" s="2">
        <f t="shared" si="9"/>
        <v>-1.6149052895599911E-2</v>
      </c>
      <c r="L1231" s="2" t="str">
        <f>IF(ISNUMBER(SEARCH("|",IMDB_Movies!$D1231)),LEFT(IMDB_Movies!$D1231,SEARCH("|",IMDB_Movies!$D1231)-1),IMDB_Movies!$D1231)</f>
        <v>Action</v>
      </c>
      <c r="V1231" s="2"/>
      <c r="W1231" s="2"/>
    </row>
    <row r="1232" spans="1:23" ht="12.5" x14ac:dyDescent="0.25">
      <c r="A1232" s="2" t="s">
        <v>2274</v>
      </c>
      <c r="B1232" s="2">
        <v>83</v>
      </c>
      <c r="C1232" s="2">
        <v>10431220</v>
      </c>
      <c r="D1232" s="2" t="s">
        <v>246</v>
      </c>
      <c r="E1232" s="2" t="s">
        <v>2275</v>
      </c>
      <c r="F1232" s="2" t="s">
        <v>14</v>
      </c>
      <c r="G1232" s="2" t="s">
        <v>15</v>
      </c>
      <c r="H1232" s="2">
        <v>24000000</v>
      </c>
      <c r="I1232" s="2">
        <v>4.0999999999999996</v>
      </c>
      <c r="J1232" s="2">
        <f t="shared" si="8"/>
        <v>-13568780</v>
      </c>
      <c r="K1232" s="2">
        <f t="shared" si="9"/>
        <v>-1.6142912747021735E-2</v>
      </c>
      <c r="L1232" s="2" t="str">
        <f>IF(ISNUMBER(SEARCH("|",IMDB_Movies!$D1232)),LEFT(IMDB_Movies!$D1232,SEARCH("|",IMDB_Movies!$D1232)-1),IMDB_Movies!$D1232)</f>
        <v>Action</v>
      </c>
      <c r="V1232" s="2"/>
      <c r="W1232" s="2"/>
    </row>
    <row r="1233" spans="1:23" ht="12.5" x14ac:dyDescent="0.25">
      <c r="A1233" s="2" t="s">
        <v>2276</v>
      </c>
      <c r="B1233" s="2">
        <v>108</v>
      </c>
      <c r="C1233" s="2">
        <v>10326062</v>
      </c>
      <c r="D1233" s="2" t="s">
        <v>2277</v>
      </c>
      <c r="E1233" s="2" t="s">
        <v>2278</v>
      </c>
      <c r="F1233" s="2" t="s">
        <v>14</v>
      </c>
      <c r="G1233" s="2" t="s">
        <v>287</v>
      </c>
      <c r="H1233" s="2">
        <v>33000000</v>
      </c>
      <c r="I1233" s="2">
        <v>6.8</v>
      </c>
      <c r="J1233" s="2">
        <f t="shared" si="8"/>
        <v>-22673938</v>
      </c>
      <c r="K1233" s="2">
        <f t="shared" si="9"/>
        <v>-1.6145367170967949E-2</v>
      </c>
      <c r="L1233" s="2" t="str">
        <f>IF(ISNUMBER(SEARCH("|",IMDB_Movies!$D1233)),LEFT(IMDB_Movies!$D1233,SEARCH("|",IMDB_Movies!$D1233)-1),IMDB_Movies!$D1233)</f>
        <v>Action</v>
      </c>
      <c r="V1233" s="2"/>
      <c r="W1233" s="2"/>
    </row>
    <row r="1234" spans="1:23" ht="12.5" x14ac:dyDescent="0.25">
      <c r="A1234" s="2" t="s">
        <v>1754</v>
      </c>
      <c r="B1234" s="2">
        <v>102</v>
      </c>
      <c r="C1234" s="2">
        <v>6114237</v>
      </c>
      <c r="D1234" s="2" t="s">
        <v>788</v>
      </c>
      <c r="E1234" s="2" t="s">
        <v>2279</v>
      </c>
      <c r="F1234" s="2" t="s">
        <v>14</v>
      </c>
      <c r="G1234" s="2" t="s">
        <v>15</v>
      </c>
      <c r="H1234" s="2">
        <v>40000000</v>
      </c>
      <c r="I1234" s="2">
        <v>6.2</v>
      </c>
      <c r="J1234" s="2">
        <f t="shared" si="8"/>
        <v>-33885763</v>
      </c>
      <c r="K1234" s="2">
        <f t="shared" si="9"/>
        <v>-1.6142026981570145E-2</v>
      </c>
      <c r="L1234" s="2" t="str">
        <f>IF(ISNUMBER(SEARCH("|",IMDB_Movies!$D1234)),LEFT(IMDB_Movies!$D1234,SEARCH("|",IMDB_Movies!$D1234)-1),IMDB_Movies!$D1234)</f>
        <v>Drama</v>
      </c>
      <c r="V1234" s="2"/>
      <c r="W1234" s="2"/>
    </row>
    <row r="1235" spans="1:23" ht="12.5" x14ac:dyDescent="0.25">
      <c r="A1235" s="2" t="s">
        <v>2216</v>
      </c>
      <c r="B1235" s="2">
        <v>93</v>
      </c>
      <c r="C1235" s="2">
        <v>4835968</v>
      </c>
      <c r="D1235" s="2" t="s">
        <v>20</v>
      </c>
      <c r="E1235" s="2" t="s">
        <v>2280</v>
      </c>
      <c r="F1235" s="2" t="s">
        <v>14</v>
      </c>
      <c r="G1235" s="2" t="s">
        <v>22</v>
      </c>
      <c r="H1235" s="2">
        <v>40000000</v>
      </c>
      <c r="I1235" s="2">
        <v>4.5</v>
      </c>
      <c r="J1235" s="2">
        <f t="shared" si="8"/>
        <v>-35164032</v>
      </c>
      <c r="K1235" s="2">
        <f t="shared" si="9"/>
        <v>-1.6132441974651565E-2</v>
      </c>
      <c r="L1235" s="2" t="str">
        <f>IF(ISNUMBER(SEARCH("|",IMDB_Movies!$D1235)),LEFT(IMDB_Movies!$D1235,SEARCH("|",IMDB_Movies!$D1235)-1),IMDB_Movies!$D1235)</f>
        <v>Action</v>
      </c>
      <c r="V1235" s="2"/>
      <c r="W1235" s="2"/>
    </row>
    <row r="1236" spans="1:23" ht="12.5" x14ac:dyDescent="0.25">
      <c r="A1236" s="2" t="s">
        <v>2281</v>
      </c>
      <c r="B1236" s="2">
        <v>84</v>
      </c>
      <c r="C1236" s="2">
        <v>4777007</v>
      </c>
      <c r="D1236" s="2" t="s">
        <v>2282</v>
      </c>
      <c r="E1236" s="2" t="s">
        <v>2283</v>
      </c>
      <c r="F1236" s="2" t="s">
        <v>14</v>
      </c>
      <c r="G1236" s="2" t="s">
        <v>686</v>
      </c>
      <c r="H1236" s="2">
        <v>40000000</v>
      </c>
      <c r="I1236" s="2">
        <v>5.8</v>
      </c>
      <c r="J1236" s="2">
        <f t="shared" si="8"/>
        <v>-35222993</v>
      </c>
      <c r="K1236" s="2">
        <f t="shared" si="9"/>
        <v>-1.6122340218451568E-2</v>
      </c>
      <c r="L1236" s="2" t="str">
        <f>IF(ISNUMBER(SEARCH("|",IMDB_Movies!$D1236)),LEFT(IMDB_Movies!$D1236,SEARCH("|",IMDB_Movies!$D1236)-1),IMDB_Movies!$D1236)</f>
        <v>Comedy</v>
      </c>
      <c r="V1236" s="2"/>
      <c r="W1236" s="2"/>
    </row>
    <row r="1237" spans="1:23" ht="12.5" x14ac:dyDescent="0.25">
      <c r="A1237" s="2" t="s">
        <v>1796</v>
      </c>
      <c r="B1237" s="2">
        <v>107</v>
      </c>
      <c r="C1237" s="2">
        <v>3675072</v>
      </c>
      <c r="D1237" s="2" t="s">
        <v>431</v>
      </c>
      <c r="E1237" s="2" t="s">
        <v>2284</v>
      </c>
      <c r="F1237" s="2" t="s">
        <v>14</v>
      </c>
      <c r="G1237" s="2" t="s">
        <v>22</v>
      </c>
      <c r="H1237" s="2">
        <v>26000000</v>
      </c>
      <c r="I1237" s="2">
        <v>7.3</v>
      </c>
      <c r="J1237" s="2">
        <f t="shared" si="8"/>
        <v>-22324928</v>
      </c>
      <c r="K1237" s="2">
        <f t="shared" si="9"/>
        <v>-1.6112205949689637E-2</v>
      </c>
      <c r="L1237" s="2" t="str">
        <f>IF(ISNUMBER(SEARCH("|",IMDB_Movies!$D1237)),LEFT(IMDB_Movies!$D1237,SEARCH("|",IMDB_Movies!$D1237)-1),IMDB_Movies!$D1237)</f>
        <v>Adventure</v>
      </c>
      <c r="V1237" s="2"/>
      <c r="W1237" s="2"/>
    </row>
    <row r="1238" spans="1:23" ht="12.5" x14ac:dyDescent="0.25">
      <c r="A1238" s="2" t="s">
        <v>1408</v>
      </c>
      <c r="B1238" s="2">
        <v>91</v>
      </c>
      <c r="C1238" s="2">
        <v>18438149</v>
      </c>
      <c r="D1238" s="2" t="s">
        <v>891</v>
      </c>
      <c r="E1238" s="2" t="s">
        <v>2285</v>
      </c>
      <c r="F1238" s="2" t="s">
        <v>14</v>
      </c>
      <c r="G1238" s="2" t="s">
        <v>15</v>
      </c>
      <c r="H1238" s="2">
        <v>40000000</v>
      </c>
      <c r="I1238" s="2">
        <v>5.9</v>
      </c>
      <c r="J1238" s="2">
        <f t="shared" si="8"/>
        <v>-21561851</v>
      </c>
      <c r="K1238" s="2">
        <f t="shared" si="9"/>
        <v>-1.6114162900610907E-2</v>
      </c>
      <c r="L1238" s="2" t="str">
        <f>IF(ISNUMBER(SEARCH("|",IMDB_Movies!$D1238)),LEFT(IMDB_Movies!$D1238,SEARCH("|",IMDB_Movies!$D1238)-1),IMDB_Movies!$D1238)</f>
        <v>Comedy</v>
      </c>
      <c r="V1238" s="2"/>
      <c r="W1238" s="2"/>
    </row>
    <row r="1239" spans="1:23" ht="12.5" x14ac:dyDescent="0.25">
      <c r="A1239" s="2" t="s">
        <v>2286</v>
      </c>
      <c r="B1239" s="2">
        <v>94</v>
      </c>
      <c r="C1239" s="2">
        <v>511920</v>
      </c>
      <c r="D1239" s="2" t="s">
        <v>2287</v>
      </c>
      <c r="E1239" s="2" t="s">
        <v>2288</v>
      </c>
      <c r="F1239" s="2" t="s">
        <v>14</v>
      </c>
      <c r="G1239" s="2" t="s">
        <v>15</v>
      </c>
      <c r="H1239" s="2">
        <v>40000000</v>
      </c>
      <c r="I1239" s="2">
        <v>4.4000000000000004</v>
      </c>
      <c r="J1239" s="2">
        <f t="shared" si="8"/>
        <v>-39488080</v>
      </c>
      <c r="K1239" s="2">
        <f t="shared" si="9"/>
        <v>-1.6109801746847934E-2</v>
      </c>
      <c r="L1239" s="2" t="str">
        <f>IF(ISNUMBER(SEARCH("|",IMDB_Movies!$D1239)),LEFT(IMDB_Movies!$D1239,SEARCH("|",IMDB_Movies!$D1239)-1),IMDB_Movies!$D1239)</f>
        <v>Adventure</v>
      </c>
      <c r="V1239" s="2"/>
      <c r="W1239" s="2"/>
    </row>
    <row r="1240" spans="1:23" ht="12.5" x14ac:dyDescent="0.25">
      <c r="A1240" s="2" t="s">
        <v>1690</v>
      </c>
      <c r="B1240" s="2">
        <v>115</v>
      </c>
      <c r="C1240" s="2">
        <v>10640645</v>
      </c>
      <c r="D1240" s="2" t="s">
        <v>845</v>
      </c>
      <c r="E1240" s="2" t="s">
        <v>2289</v>
      </c>
      <c r="F1240" s="2" t="s">
        <v>14</v>
      </c>
      <c r="G1240" s="2" t="s">
        <v>15</v>
      </c>
      <c r="H1240" s="2">
        <v>40000000</v>
      </c>
      <c r="I1240" s="2">
        <v>5.8</v>
      </c>
      <c r="J1240" s="2">
        <f t="shared" si="8"/>
        <v>-29359355</v>
      </c>
      <c r="K1240" s="2">
        <f t="shared" si="9"/>
        <v>-1.6098000250527895E-2</v>
      </c>
      <c r="L1240" s="2" t="str">
        <f>IF(ISNUMBER(SEARCH("|",IMDB_Movies!$D1240)),LEFT(IMDB_Movies!$D1240,SEARCH("|",IMDB_Movies!$D1240)-1),IMDB_Movies!$D1240)</f>
        <v>Action</v>
      </c>
      <c r="V1240" s="2"/>
      <c r="W1240" s="2"/>
    </row>
    <row r="1241" spans="1:23" ht="12.5" x14ac:dyDescent="0.25">
      <c r="A1241" s="2" t="s">
        <v>2290</v>
      </c>
      <c r="B1241" s="2">
        <v>93</v>
      </c>
      <c r="C1241" s="2">
        <v>652526</v>
      </c>
      <c r="D1241" s="2" t="s">
        <v>2291</v>
      </c>
      <c r="E1241" s="2" t="s">
        <v>2292</v>
      </c>
      <c r="F1241" s="2" t="s">
        <v>14</v>
      </c>
      <c r="G1241" s="2" t="s">
        <v>287</v>
      </c>
      <c r="H1241" s="2">
        <v>40000000</v>
      </c>
      <c r="I1241" s="2">
        <v>5.0999999999999996</v>
      </c>
      <c r="J1241" s="2">
        <f t="shared" si="8"/>
        <v>-39347474</v>
      </c>
      <c r="K1241" s="2">
        <f t="shared" si="9"/>
        <v>-1.6090226865318746E-2</v>
      </c>
      <c r="L1241" s="2" t="str">
        <f>IF(ISNUMBER(SEARCH("|",IMDB_Movies!$D1241)),LEFT(IMDB_Movies!$D1241,SEARCH("|",IMDB_Movies!$D1241)-1),IMDB_Movies!$D1241)</f>
        <v>Action</v>
      </c>
      <c r="V1241" s="2"/>
      <c r="W1241" s="2"/>
    </row>
    <row r="1242" spans="1:23" ht="12.5" x14ac:dyDescent="0.25">
      <c r="A1242" s="2" t="s">
        <v>924</v>
      </c>
      <c r="B1242" s="2">
        <v>105</v>
      </c>
      <c r="C1242" s="2">
        <v>80050171</v>
      </c>
      <c r="D1242" s="2" t="s">
        <v>690</v>
      </c>
      <c r="E1242" s="2" t="s">
        <v>2293</v>
      </c>
      <c r="F1242" s="2" t="s">
        <v>14</v>
      </c>
      <c r="G1242" s="2" t="s">
        <v>15</v>
      </c>
      <c r="H1242" s="2">
        <v>20000000</v>
      </c>
      <c r="I1242" s="2">
        <v>6.9</v>
      </c>
      <c r="J1242" s="2">
        <f t="shared" si="8"/>
        <v>60050171</v>
      </c>
      <c r="K1242" s="2">
        <f t="shared" si="9"/>
        <v>-1.607845822207166E-2</v>
      </c>
      <c r="L1242" s="2" t="str">
        <f>IF(ISNUMBER(SEARCH("|",IMDB_Movies!$D1242)),LEFT(IMDB_Movies!$D1242,SEARCH("|",IMDB_Movies!$D1242)-1),IMDB_Movies!$D1242)</f>
        <v>Drama</v>
      </c>
      <c r="V1242" s="2"/>
      <c r="W1242" s="2"/>
    </row>
    <row r="1243" spans="1:23" ht="12.5" x14ac:dyDescent="0.25">
      <c r="A1243" s="2" t="s">
        <v>1510</v>
      </c>
      <c r="B1243" s="2">
        <v>107</v>
      </c>
      <c r="C1243" s="2">
        <v>7564000</v>
      </c>
      <c r="D1243" s="2" t="s">
        <v>1802</v>
      </c>
      <c r="E1243" s="2" t="s">
        <v>2294</v>
      </c>
      <c r="F1243" s="2" t="s">
        <v>14</v>
      </c>
      <c r="G1243" s="2" t="s">
        <v>15</v>
      </c>
      <c r="H1243" s="2">
        <v>20000000</v>
      </c>
      <c r="I1243" s="2">
        <v>6.2</v>
      </c>
      <c r="J1243" s="2">
        <f t="shared" si="8"/>
        <v>-12436000</v>
      </c>
      <c r="K1243" s="2">
        <f t="shared" si="9"/>
        <v>-1.6070869291771192E-2</v>
      </c>
      <c r="L1243" s="2" t="str">
        <f>IF(ISNUMBER(SEARCH("|",IMDB_Movies!$D1243)),LEFT(IMDB_Movies!$D1243,SEARCH("|",IMDB_Movies!$D1243)-1),IMDB_Movies!$D1243)</f>
        <v>Comedy</v>
      </c>
      <c r="V1243" s="2"/>
      <c r="W1243" s="2"/>
    </row>
    <row r="1244" spans="1:23" ht="12.5" x14ac:dyDescent="0.25">
      <c r="A1244" s="2" t="s">
        <v>2295</v>
      </c>
      <c r="B1244" s="2">
        <v>101</v>
      </c>
      <c r="C1244" s="2">
        <v>876671</v>
      </c>
      <c r="D1244" s="2" t="s">
        <v>2296</v>
      </c>
      <c r="E1244" s="2" t="s">
        <v>2297</v>
      </c>
      <c r="F1244" s="2" t="s">
        <v>14</v>
      </c>
      <c r="G1244" s="2" t="s">
        <v>15</v>
      </c>
      <c r="H1244" s="2">
        <v>25000000</v>
      </c>
      <c r="I1244" s="2">
        <v>6.9</v>
      </c>
      <c r="J1244" s="2">
        <f t="shared" si="8"/>
        <v>-24123329</v>
      </c>
      <c r="K1244" s="2">
        <f t="shared" si="9"/>
        <v>-1.6076848013875791E-2</v>
      </c>
      <c r="L1244" s="2" t="str">
        <f>IF(ISNUMBER(SEARCH("|",IMDB_Movies!$D1244)),LEFT(IMDB_Movies!$D1244,SEARCH("|",IMDB_Movies!$D1244)-1),IMDB_Movies!$D1244)</f>
        <v>Adventure</v>
      </c>
      <c r="V1244" s="2"/>
      <c r="W1244" s="2"/>
    </row>
    <row r="1245" spans="1:23" ht="12.5" x14ac:dyDescent="0.25">
      <c r="A1245" s="2" t="s">
        <v>1463</v>
      </c>
      <c r="B1245" s="2">
        <v>111</v>
      </c>
      <c r="C1245" s="2">
        <v>2869369</v>
      </c>
      <c r="D1245" s="2" t="s">
        <v>975</v>
      </c>
      <c r="E1245" s="2" t="s">
        <v>2298</v>
      </c>
      <c r="F1245" s="2" t="s">
        <v>14</v>
      </c>
      <c r="G1245" s="2" t="s">
        <v>22</v>
      </c>
      <c r="H1245" s="2">
        <v>30000000</v>
      </c>
      <c r="I1245" s="2">
        <v>7.3</v>
      </c>
      <c r="J1245" s="2">
        <f t="shared" si="8"/>
        <v>-27130631</v>
      </c>
      <c r="K1245" s="2">
        <f t="shared" si="9"/>
        <v>-1.6080180550799107E-2</v>
      </c>
      <c r="L1245" s="2" t="str">
        <f>IF(ISNUMBER(SEARCH("|",IMDB_Movies!$D1245)),LEFT(IMDB_Movies!$D1245,SEARCH("|",IMDB_Movies!$D1245)-1),IMDB_Movies!$D1245)</f>
        <v>Comedy</v>
      </c>
      <c r="V1245" s="2"/>
      <c r="W1245" s="2"/>
    </row>
    <row r="1246" spans="1:23" ht="12.5" x14ac:dyDescent="0.25">
      <c r="A1246" s="2" t="s">
        <v>2299</v>
      </c>
      <c r="B1246" s="2">
        <v>113</v>
      </c>
      <c r="C1246" s="2">
        <v>128978</v>
      </c>
      <c r="D1246" s="2" t="s">
        <v>281</v>
      </c>
      <c r="E1246" s="2" t="s">
        <v>2300</v>
      </c>
      <c r="F1246" s="2" t="s">
        <v>699</v>
      </c>
      <c r="G1246" s="2" t="s">
        <v>1329</v>
      </c>
      <c r="H1246" s="2">
        <v>40000000</v>
      </c>
      <c r="I1246" s="2">
        <v>7.1</v>
      </c>
      <c r="J1246" s="2">
        <f t="shared" si="8"/>
        <v>-39871022</v>
      </c>
      <c r="K1246" s="2">
        <f t="shared" si="9"/>
        <v>-1.6078525459658717E-2</v>
      </c>
      <c r="L1246" s="2" t="str">
        <f>IF(ISNUMBER(SEARCH("|",IMDB_Movies!$D1246)),LEFT(IMDB_Movies!$D1246,SEARCH("|",IMDB_Movies!$D1246)-1),IMDB_Movies!$D1246)</f>
        <v>Action</v>
      </c>
      <c r="V1246" s="2"/>
      <c r="W1246" s="2"/>
    </row>
    <row r="1247" spans="1:23" ht="12.5" x14ac:dyDescent="0.25">
      <c r="A1247" s="2" t="s">
        <v>726</v>
      </c>
      <c r="B1247" s="2">
        <v>112</v>
      </c>
      <c r="C1247" s="2">
        <v>77231</v>
      </c>
      <c r="D1247" s="2" t="s">
        <v>706</v>
      </c>
      <c r="E1247" s="2" t="s">
        <v>2301</v>
      </c>
      <c r="F1247" s="2" t="s">
        <v>2302</v>
      </c>
      <c r="G1247" s="2" t="s">
        <v>686</v>
      </c>
      <c r="H1247" s="2">
        <v>25000000</v>
      </c>
      <c r="I1247" s="2">
        <v>6</v>
      </c>
      <c r="J1247" s="2">
        <f t="shared" si="8"/>
        <v>-24922769</v>
      </c>
      <c r="K1247" s="2">
        <f t="shared" si="9"/>
        <v>-1.6066543741485861E-2</v>
      </c>
      <c r="L1247" s="2" t="str">
        <f>IF(ISNUMBER(SEARCH("|",IMDB_Movies!$D1247)),LEFT(IMDB_Movies!$D1247,SEARCH("|",IMDB_Movies!$D1247)-1),IMDB_Movies!$D1247)</f>
        <v>Drama</v>
      </c>
      <c r="V1247" s="2"/>
      <c r="W1247" s="2"/>
    </row>
    <row r="1248" spans="1:23" ht="12.5" x14ac:dyDescent="0.25">
      <c r="A1248" s="2" t="s">
        <v>2303</v>
      </c>
      <c r="B1248" s="2">
        <v>126</v>
      </c>
      <c r="C1248" s="2">
        <v>4563029</v>
      </c>
      <c r="D1248" s="2" t="s">
        <v>504</v>
      </c>
      <c r="E1248" s="2" t="s">
        <v>2304</v>
      </c>
      <c r="F1248" s="2" t="s">
        <v>14</v>
      </c>
      <c r="G1248" s="2" t="s">
        <v>2305</v>
      </c>
      <c r="H1248" s="2">
        <v>39200000</v>
      </c>
      <c r="I1248" s="2">
        <v>7</v>
      </c>
      <c r="J1248" s="2">
        <f t="shared" si="8"/>
        <v>-34636971</v>
      </c>
      <c r="K1248" s="2">
        <f t="shared" si="9"/>
        <v>-1.6070021910348353E-2</v>
      </c>
      <c r="L1248" s="2" t="str">
        <f>IF(ISNUMBER(SEARCH("|",IMDB_Movies!$D1248)),LEFT(IMDB_Movies!$D1248,SEARCH("|",IMDB_Movies!$D1248)-1),IMDB_Movies!$D1248)</f>
        <v>Action</v>
      </c>
      <c r="V1248" s="2"/>
      <c r="W1248" s="2"/>
    </row>
    <row r="1249" spans="1:23" ht="12.5" x14ac:dyDescent="0.25">
      <c r="A1249" s="2" t="s">
        <v>386</v>
      </c>
      <c r="B1249" s="2">
        <v>98</v>
      </c>
      <c r="C1249" s="2">
        <v>50693162</v>
      </c>
      <c r="D1249" s="2" t="s">
        <v>2306</v>
      </c>
      <c r="E1249" s="2" t="s">
        <v>2307</v>
      </c>
      <c r="F1249" s="2" t="s">
        <v>14</v>
      </c>
      <c r="G1249" s="2" t="s">
        <v>15</v>
      </c>
      <c r="H1249" s="2">
        <v>23000000</v>
      </c>
      <c r="I1249" s="2">
        <v>7.6</v>
      </c>
      <c r="J1249" s="2">
        <f t="shared" si="8"/>
        <v>27693162</v>
      </c>
      <c r="K1249" s="2">
        <f t="shared" si="9"/>
        <v>-1.6060427908134892E-2</v>
      </c>
      <c r="L1249" s="2" t="str">
        <f>IF(ISNUMBER(SEARCH("|",IMDB_Movies!$D1249)),LEFT(IMDB_Movies!$D1249,SEARCH("|",IMDB_Movies!$D1249)-1),IMDB_Movies!$D1249)</f>
        <v>Action</v>
      </c>
      <c r="V1249" s="2"/>
      <c r="W1249" s="2"/>
    </row>
    <row r="1250" spans="1:23" ht="12.5" x14ac:dyDescent="0.25">
      <c r="A1250" s="2" t="s">
        <v>2308</v>
      </c>
      <c r="B1250" s="2">
        <v>159</v>
      </c>
      <c r="C1250" s="2">
        <v>6498000</v>
      </c>
      <c r="D1250" s="2" t="s">
        <v>2309</v>
      </c>
      <c r="E1250" s="2" t="s">
        <v>2310</v>
      </c>
      <c r="F1250" s="2" t="s">
        <v>2311</v>
      </c>
      <c r="G1250" s="2" t="s">
        <v>2312</v>
      </c>
      <c r="H1250" s="2">
        <v>18026148</v>
      </c>
      <c r="I1250" s="2">
        <v>8.4</v>
      </c>
      <c r="J1250" s="2">
        <f t="shared" si="8"/>
        <v>-11528148</v>
      </c>
      <c r="K1250" s="2">
        <f t="shared" si="9"/>
        <v>-1.6058263367502709E-2</v>
      </c>
      <c r="L1250" s="2" t="str">
        <f>IF(ISNUMBER(SEARCH("|",IMDB_Movies!$D1250)),LEFT(IMDB_Movies!$D1250,SEARCH("|",IMDB_Movies!$D1250)-1),IMDB_Movies!$D1250)</f>
        <v>Action</v>
      </c>
      <c r="V1250" s="2"/>
      <c r="W1250" s="2"/>
    </row>
    <row r="1251" spans="1:23" ht="12.5" x14ac:dyDescent="0.25">
      <c r="A1251" s="2" t="s">
        <v>460</v>
      </c>
      <c r="B1251" s="2">
        <v>107</v>
      </c>
      <c r="C1251" s="2">
        <v>63411478</v>
      </c>
      <c r="D1251" s="2" t="s">
        <v>2313</v>
      </c>
      <c r="E1251" s="2" t="s">
        <v>2314</v>
      </c>
      <c r="F1251" s="2" t="s">
        <v>14</v>
      </c>
      <c r="G1251" s="2" t="s">
        <v>15</v>
      </c>
      <c r="H1251" s="2">
        <v>39000000</v>
      </c>
      <c r="I1251" s="2">
        <v>7.1</v>
      </c>
      <c r="J1251" s="2">
        <f t="shared" si="8"/>
        <v>24411478</v>
      </c>
      <c r="K1251" s="2">
        <f t="shared" si="9"/>
        <v>-1.6066190364187334E-2</v>
      </c>
      <c r="L1251" s="2" t="str">
        <f>IF(ISNUMBER(SEARCH("|",IMDB_Movies!$D1251)),LEFT(IMDB_Movies!$D1251,SEARCH("|",IMDB_Movies!$D1251)-1),IMDB_Movies!$D1251)</f>
        <v>Drama</v>
      </c>
      <c r="V1251" s="2"/>
      <c r="W1251" s="2"/>
    </row>
    <row r="1252" spans="1:23" ht="12.5" x14ac:dyDescent="0.25">
      <c r="A1252" s="2" t="s">
        <v>99</v>
      </c>
      <c r="B1252" s="2">
        <v>87</v>
      </c>
      <c r="C1252" s="2">
        <v>35287788</v>
      </c>
      <c r="D1252" s="2" t="s">
        <v>2315</v>
      </c>
      <c r="E1252" s="2" t="s">
        <v>2316</v>
      </c>
      <c r="F1252" s="2" t="s">
        <v>14</v>
      </c>
      <c r="G1252" s="2" t="s">
        <v>15</v>
      </c>
      <c r="H1252" s="2">
        <v>39000000</v>
      </c>
      <c r="I1252" s="2">
        <v>7</v>
      </c>
      <c r="J1252" s="2">
        <f t="shared" si="8"/>
        <v>-3712212</v>
      </c>
      <c r="K1252" s="2">
        <f t="shared" si="9"/>
        <v>-1.6085065900617718E-2</v>
      </c>
      <c r="L1252" s="2" t="str">
        <f>IF(ISNUMBER(SEARCH("|",IMDB_Movies!$D1252)),LEFT(IMDB_Movies!$D1252,SEARCH("|",IMDB_Movies!$D1252)-1),IMDB_Movies!$D1252)</f>
        <v>Animation</v>
      </c>
      <c r="V1252" s="2"/>
      <c r="W1252" s="2"/>
    </row>
    <row r="1253" spans="1:23" ht="12.5" x14ac:dyDescent="0.25">
      <c r="A1253" s="2" t="s">
        <v>45</v>
      </c>
      <c r="B1253" s="2">
        <v>119</v>
      </c>
      <c r="C1253" s="2">
        <v>25335935</v>
      </c>
      <c r="D1253" s="2" t="s">
        <v>90</v>
      </c>
      <c r="E1253" s="2" t="s">
        <v>2317</v>
      </c>
      <c r="F1253" s="2" t="s">
        <v>14</v>
      </c>
      <c r="G1253" s="2" t="s">
        <v>15</v>
      </c>
      <c r="H1253" s="2">
        <v>40000000</v>
      </c>
      <c r="I1253" s="2">
        <v>8</v>
      </c>
      <c r="J1253" s="2">
        <f t="shared" si="8"/>
        <v>-14664065</v>
      </c>
      <c r="K1253" s="2">
        <f t="shared" si="9"/>
        <v>-1.6088617321989962E-2</v>
      </c>
      <c r="L1253" s="2" t="str">
        <f>IF(ISNUMBER(SEARCH("|",IMDB_Movies!$D1253)),LEFT(IMDB_Movies!$D1253,SEARCH("|",IMDB_Movies!$D1253)-1),IMDB_Movies!$D1253)</f>
        <v>Action</v>
      </c>
      <c r="V1253" s="2"/>
      <c r="W1253" s="2"/>
    </row>
    <row r="1254" spans="1:23" ht="12.5" x14ac:dyDescent="0.25">
      <c r="A1254" s="2" t="s">
        <v>2318</v>
      </c>
      <c r="B1254" s="2">
        <v>110</v>
      </c>
      <c r="C1254" s="2">
        <v>5881504</v>
      </c>
      <c r="D1254" s="2" t="s">
        <v>2319</v>
      </c>
      <c r="E1254" s="2" t="s">
        <v>2320</v>
      </c>
      <c r="F1254" s="2" t="s">
        <v>14</v>
      </c>
      <c r="G1254" s="2" t="s">
        <v>15</v>
      </c>
      <c r="H1254" s="2">
        <v>39000000</v>
      </c>
      <c r="I1254" s="2">
        <v>5.3</v>
      </c>
      <c r="J1254" s="2">
        <f t="shared" si="8"/>
        <v>-33118496</v>
      </c>
      <c r="K1254" s="2">
        <f t="shared" si="9"/>
        <v>-1.6087444574196565E-2</v>
      </c>
      <c r="L1254" s="2" t="str">
        <f>IF(ISNUMBER(SEARCH("|",IMDB_Movies!$D1254)),LEFT(IMDB_Movies!$D1254,SEARCH("|",IMDB_Movies!$D1254)-1),IMDB_Movies!$D1254)</f>
        <v>Biography</v>
      </c>
      <c r="V1254" s="2"/>
      <c r="W1254" s="2"/>
    </row>
    <row r="1255" spans="1:23" ht="12.5" x14ac:dyDescent="0.25">
      <c r="A1255" s="2" t="s">
        <v>1652</v>
      </c>
      <c r="B1255" s="2">
        <v>125</v>
      </c>
      <c r="C1255" s="2">
        <v>60000000</v>
      </c>
      <c r="D1255" s="2" t="s">
        <v>682</v>
      </c>
      <c r="E1255" s="2" t="s">
        <v>2321</v>
      </c>
      <c r="F1255" s="2" t="s">
        <v>14</v>
      </c>
      <c r="G1255" s="2" t="s">
        <v>22</v>
      </c>
      <c r="H1255" s="2">
        <v>39000000</v>
      </c>
      <c r="I1255" s="2">
        <v>4.9000000000000004</v>
      </c>
      <c r="J1255" s="2">
        <f t="shared" si="8"/>
        <v>21000000</v>
      </c>
      <c r="K1255" s="2">
        <f t="shared" si="9"/>
        <v>-1.6078487929306686E-2</v>
      </c>
      <c r="L1255" s="2" t="str">
        <f>IF(ISNUMBER(SEARCH("|",IMDB_Movies!$D1255)),LEFT(IMDB_Movies!$D1255,SEARCH("|",IMDB_Movies!$D1255)-1),IMDB_Movies!$D1255)</f>
        <v>Action</v>
      </c>
      <c r="V1255" s="2"/>
      <c r="W1255" s="2"/>
    </row>
    <row r="1256" spans="1:23" ht="12.5" x14ac:dyDescent="0.25">
      <c r="A1256" s="2" t="s">
        <v>874</v>
      </c>
      <c r="B1256" s="2">
        <v>113</v>
      </c>
      <c r="C1256" s="2">
        <v>29802761</v>
      </c>
      <c r="D1256" s="2" t="s">
        <v>1350</v>
      </c>
      <c r="E1256" s="2" t="s">
        <v>2322</v>
      </c>
      <c r="F1256" s="2" t="s">
        <v>14</v>
      </c>
      <c r="G1256" s="2" t="s">
        <v>15</v>
      </c>
      <c r="H1256" s="2">
        <v>40000000</v>
      </c>
      <c r="I1256" s="2">
        <v>6.4</v>
      </c>
      <c r="J1256" s="2">
        <f t="shared" si="8"/>
        <v>-10197239</v>
      </c>
      <c r="K1256" s="2">
        <f t="shared" si="9"/>
        <v>-1.6095360997295853E-2</v>
      </c>
      <c r="L1256" s="2" t="str">
        <f>IF(ISNUMBER(SEARCH("|",IMDB_Movies!$D1256)),LEFT(IMDB_Movies!$D1256,SEARCH("|",IMDB_Movies!$D1256)-1),IMDB_Movies!$D1256)</f>
        <v>Comedy</v>
      </c>
      <c r="V1256" s="2"/>
      <c r="W1256" s="2"/>
    </row>
    <row r="1257" spans="1:23" ht="12.5" x14ac:dyDescent="0.25">
      <c r="A1257" s="2" t="s">
        <v>487</v>
      </c>
      <c r="B1257" s="2">
        <v>150</v>
      </c>
      <c r="C1257" s="2">
        <v>626809</v>
      </c>
      <c r="D1257" s="2" t="s">
        <v>406</v>
      </c>
      <c r="E1257" s="2" t="s">
        <v>2323</v>
      </c>
      <c r="F1257" s="2" t="s">
        <v>699</v>
      </c>
      <c r="G1257" s="2" t="s">
        <v>331</v>
      </c>
      <c r="H1257" s="2">
        <v>553632000</v>
      </c>
      <c r="I1257" s="2">
        <v>7.4</v>
      </c>
      <c r="J1257" s="2">
        <f t="shared" si="8"/>
        <v>-553005191</v>
      </c>
      <c r="K1257" s="2">
        <f t="shared" si="9"/>
        <v>-1.6096388298262831E-2</v>
      </c>
      <c r="L1257" s="2" t="str">
        <f>IF(ISNUMBER(SEARCH("|",IMDB_Movies!$D1257)),LEFT(IMDB_Movies!$D1257,SEARCH("|",IMDB_Movies!$D1257)-1),IMDB_Movies!$D1257)</f>
        <v>Action</v>
      </c>
      <c r="V1257" s="2"/>
      <c r="W1257" s="2"/>
    </row>
    <row r="1258" spans="1:23" ht="12.5" x14ac:dyDescent="0.25">
      <c r="A1258" s="2" t="s">
        <v>1087</v>
      </c>
      <c r="B1258" s="2">
        <v>108</v>
      </c>
      <c r="C1258" s="2">
        <v>127214072</v>
      </c>
      <c r="D1258" s="2" t="s">
        <v>600</v>
      </c>
      <c r="E1258" s="2" t="s">
        <v>2324</v>
      </c>
      <c r="F1258" s="2" t="s">
        <v>14</v>
      </c>
      <c r="G1258" s="2" t="s">
        <v>15</v>
      </c>
      <c r="H1258" s="2">
        <v>38000000</v>
      </c>
      <c r="I1258" s="2">
        <v>6.1</v>
      </c>
      <c r="J1258" s="2">
        <f t="shared" si="8"/>
        <v>89214072</v>
      </c>
      <c r="K1258" s="2">
        <f t="shared" si="9"/>
        <v>-1.5575650524272141E-2</v>
      </c>
      <c r="L1258" s="2" t="str">
        <f>IF(ISNUMBER(SEARCH("|",IMDB_Movies!$D1258)),LEFT(IMDB_Movies!$D1258,SEARCH("|",IMDB_Movies!$D1258)-1),IMDB_Movies!$D1258)</f>
        <v>Comedy</v>
      </c>
      <c r="V1258" s="2"/>
      <c r="W1258" s="2"/>
    </row>
    <row r="1259" spans="1:23" ht="12.5" x14ac:dyDescent="0.25">
      <c r="A1259" s="2" t="s">
        <v>1073</v>
      </c>
      <c r="B1259" s="2">
        <v>96</v>
      </c>
      <c r="C1259" s="2">
        <v>88915214</v>
      </c>
      <c r="D1259" s="2" t="s">
        <v>600</v>
      </c>
      <c r="E1259" s="2" t="s">
        <v>2325</v>
      </c>
      <c r="F1259" s="2" t="s">
        <v>14</v>
      </c>
      <c r="G1259" s="2" t="s">
        <v>15</v>
      </c>
      <c r="H1259" s="2">
        <v>38000000</v>
      </c>
      <c r="I1259" s="2">
        <v>6.5</v>
      </c>
      <c r="J1259" s="2">
        <f t="shared" si="8"/>
        <v>50915214</v>
      </c>
      <c r="K1259" s="2">
        <f t="shared" si="9"/>
        <v>-1.5638272302533812E-2</v>
      </c>
      <c r="L1259" s="2" t="str">
        <f>IF(ISNUMBER(SEARCH("|",IMDB_Movies!$D1259)),LEFT(IMDB_Movies!$D1259,SEARCH("|",IMDB_Movies!$D1259)-1),IMDB_Movies!$D1259)</f>
        <v>Comedy</v>
      </c>
      <c r="V1259" s="2"/>
      <c r="W1259" s="2"/>
    </row>
    <row r="1260" spans="1:23" ht="12.5" x14ac:dyDescent="0.25">
      <c r="A1260" s="2" t="s">
        <v>2326</v>
      </c>
      <c r="B1260" s="2">
        <v>93</v>
      </c>
      <c r="C1260" s="2">
        <v>30400000</v>
      </c>
      <c r="D1260" s="2" t="s">
        <v>709</v>
      </c>
      <c r="E1260" s="2" t="s">
        <v>2327</v>
      </c>
      <c r="F1260" s="2" t="s">
        <v>14</v>
      </c>
      <c r="G1260" s="2" t="s">
        <v>15</v>
      </c>
      <c r="H1260" s="2">
        <v>39000000</v>
      </c>
      <c r="I1260" s="2">
        <v>5.7</v>
      </c>
      <c r="J1260" s="2">
        <f t="shared" si="8"/>
        <v>-8600000</v>
      </c>
      <c r="K1260" s="2">
        <f t="shared" si="9"/>
        <v>-1.5672110980665972E-2</v>
      </c>
      <c r="L1260" s="2" t="str">
        <f>IF(ISNUMBER(SEARCH("|",IMDB_Movies!$D1260)),LEFT(IMDB_Movies!$D1260,SEARCH("|",IMDB_Movies!$D1260)-1),IMDB_Movies!$D1260)</f>
        <v>Comedy</v>
      </c>
      <c r="V1260" s="2"/>
      <c r="W1260" s="2"/>
    </row>
    <row r="1261" spans="1:23" ht="12.5" x14ac:dyDescent="0.25">
      <c r="A1261" s="2" t="s">
        <v>1666</v>
      </c>
      <c r="B1261" s="2">
        <v>100</v>
      </c>
      <c r="C1261" s="2">
        <v>85570368</v>
      </c>
      <c r="D1261" s="2" t="s">
        <v>1053</v>
      </c>
      <c r="E1261" s="2" t="s">
        <v>2328</v>
      </c>
      <c r="F1261" s="2" t="s">
        <v>14</v>
      </c>
      <c r="G1261" s="2" t="s">
        <v>15</v>
      </c>
      <c r="H1261" s="2">
        <v>38000000</v>
      </c>
      <c r="I1261" s="2">
        <v>5.0999999999999996</v>
      </c>
      <c r="J1261" s="2">
        <f t="shared" si="8"/>
        <v>47570368</v>
      </c>
      <c r="K1261" s="2">
        <f t="shared" si="9"/>
        <v>-1.5673389333325828E-2</v>
      </c>
      <c r="L1261" s="2" t="str">
        <f>IF(ISNUMBER(SEARCH("|",IMDB_Movies!$D1261)),LEFT(IMDB_Movies!$D1261,SEARCH("|",IMDB_Movies!$D1261)-1),IMDB_Movies!$D1261)</f>
        <v>Action</v>
      </c>
      <c r="V1261" s="2"/>
      <c r="W1261" s="2"/>
    </row>
    <row r="1262" spans="1:23" ht="12.5" x14ac:dyDescent="0.25">
      <c r="A1262" s="2" t="s">
        <v>2329</v>
      </c>
      <c r="B1262" s="2">
        <v>118</v>
      </c>
      <c r="C1262" s="2">
        <v>75668868</v>
      </c>
      <c r="D1262" s="2" t="s">
        <v>569</v>
      </c>
      <c r="E1262" s="2" t="s">
        <v>2330</v>
      </c>
      <c r="F1262" s="2" t="s">
        <v>14</v>
      </c>
      <c r="G1262" s="2" t="s">
        <v>15</v>
      </c>
      <c r="H1262" s="2">
        <v>35000000</v>
      </c>
      <c r="I1262" s="2">
        <v>6.6</v>
      </c>
      <c r="J1262" s="2">
        <f t="shared" si="8"/>
        <v>40668868</v>
      </c>
      <c r="K1262" s="2">
        <f t="shared" si="9"/>
        <v>-1.5705052966933235E-2</v>
      </c>
      <c r="L1262" s="2" t="str">
        <f>IF(ISNUMBER(SEARCH("|",IMDB_Movies!$D1262)),LEFT(IMDB_Movies!$D1262,SEARCH("|",IMDB_Movies!$D1262)-1),IMDB_Movies!$D1262)</f>
        <v>Action</v>
      </c>
      <c r="V1262" s="2"/>
      <c r="W1262" s="2"/>
    </row>
    <row r="1263" spans="1:23" ht="12.5" x14ac:dyDescent="0.25">
      <c r="A1263" s="2" t="s">
        <v>2331</v>
      </c>
      <c r="B1263" s="2">
        <v>122</v>
      </c>
      <c r="C1263" s="2">
        <v>6594136</v>
      </c>
      <c r="D1263" s="2" t="s">
        <v>2332</v>
      </c>
      <c r="E1263" s="2" t="s">
        <v>2333</v>
      </c>
      <c r="F1263" s="2" t="s">
        <v>699</v>
      </c>
      <c r="G1263" s="2" t="s">
        <v>1329</v>
      </c>
      <c r="H1263" s="2">
        <v>38600000</v>
      </c>
      <c r="I1263" s="2">
        <v>6.5</v>
      </c>
      <c r="J1263" s="2">
        <f t="shared" si="8"/>
        <v>-32005864</v>
      </c>
      <c r="K1263" s="2">
        <f t="shared" si="9"/>
        <v>-1.5724969119320854E-2</v>
      </c>
      <c r="L1263" s="2" t="str">
        <f>IF(ISNUMBER(SEARCH("|",IMDB_Movies!$D1263)),LEFT(IMDB_Movies!$D1263,SEARCH("|",IMDB_Movies!$D1263)-1),IMDB_Movies!$D1263)</f>
        <v>Action</v>
      </c>
      <c r="V1263" s="2"/>
      <c r="W1263" s="2"/>
    </row>
    <row r="1264" spans="1:23" ht="12.5" x14ac:dyDescent="0.25">
      <c r="A1264" s="2" t="s">
        <v>261</v>
      </c>
      <c r="B1264" s="2">
        <v>120</v>
      </c>
      <c r="C1264" s="2">
        <v>58700247</v>
      </c>
      <c r="D1264" s="2" t="s">
        <v>85</v>
      </c>
      <c r="E1264" s="2" t="s">
        <v>2334</v>
      </c>
      <c r="F1264" s="2" t="s">
        <v>14</v>
      </c>
      <c r="G1264" s="2" t="s">
        <v>15</v>
      </c>
      <c r="H1264" s="2">
        <v>38000000</v>
      </c>
      <c r="I1264" s="2">
        <v>6.9</v>
      </c>
      <c r="J1264" s="2">
        <f t="shared" si="8"/>
        <v>20700247</v>
      </c>
      <c r="K1264" s="2">
        <f t="shared" si="9"/>
        <v>-1.5716381970511718E-2</v>
      </c>
      <c r="L1264" s="2" t="str">
        <f>IF(ISNUMBER(SEARCH("|",IMDB_Movies!$D1264)),LEFT(IMDB_Movies!$D1264,SEARCH("|",IMDB_Movies!$D1264)-1),IMDB_Movies!$D1264)</f>
        <v>Drama</v>
      </c>
      <c r="V1264" s="2"/>
      <c r="W1264" s="2"/>
    </row>
    <row r="1265" spans="1:23" ht="12.5" x14ac:dyDescent="0.25">
      <c r="A1265" s="2" t="s">
        <v>2335</v>
      </c>
      <c r="B1265" s="2">
        <v>146</v>
      </c>
      <c r="C1265" s="2">
        <v>50668906</v>
      </c>
      <c r="D1265" s="2" t="s">
        <v>585</v>
      </c>
      <c r="E1265" s="2" t="s">
        <v>2336</v>
      </c>
      <c r="F1265" s="2" t="s">
        <v>14</v>
      </c>
      <c r="G1265" s="2" t="s">
        <v>15</v>
      </c>
      <c r="H1265" s="2">
        <v>38000000</v>
      </c>
      <c r="I1265" s="2">
        <v>7.6</v>
      </c>
      <c r="J1265" s="2">
        <f t="shared" si="8"/>
        <v>12668906</v>
      </c>
      <c r="K1265" s="2">
        <f t="shared" si="9"/>
        <v>-1.5731686444151498E-2</v>
      </c>
      <c r="L1265" s="2" t="str">
        <f>IF(ISNUMBER(SEARCH("|",IMDB_Movies!$D1265)),LEFT(IMDB_Movies!$D1265,SEARCH("|",IMDB_Movies!$D1265)-1),IMDB_Movies!$D1265)</f>
        <v>Biography</v>
      </c>
      <c r="V1265" s="2"/>
      <c r="W1265" s="2"/>
    </row>
    <row r="1266" spans="1:23" ht="12.5" x14ac:dyDescent="0.25">
      <c r="A1266" s="2" t="s">
        <v>279</v>
      </c>
      <c r="B1266" s="2">
        <v>115</v>
      </c>
      <c r="C1266" s="2">
        <v>39177215</v>
      </c>
      <c r="D1266" s="2" t="s">
        <v>763</v>
      </c>
      <c r="E1266" s="2" t="s">
        <v>2337</v>
      </c>
      <c r="F1266" s="2" t="s">
        <v>14</v>
      </c>
      <c r="G1266" s="2" t="s">
        <v>15</v>
      </c>
      <c r="H1266" s="2">
        <v>38000000</v>
      </c>
      <c r="I1266" s="2">
        <v>5.6</v>
      </c>
      <c r="J1266" s="2">
        <f t="shared" si="8"/>
        <v>1177215</v>
      </c>
      <c r="K1266" s="2">
        <f t="shared" si="9"/>
        <v>-1.5742663926006976E-2</v>
      </c>
      <c r="L1266" s="2" t="str">
        <f>IF(ISNUMBER(SEARCH("|",IMDB_Movies!$D1266)),LEFT(IMDB_Movies!$D1266,SEARCH("|",IMDB_Movies!$D1266)-1),IMDB_Movies!$D1266)</f>
        <v>Crime</v>
      </c>
      <c r="V1266" s="2"/>
      <c r="W1266" s="2"/>
    </row>
    <row r="1267" spans="1:23" ht="12.5" x14ac:dyDescent="0.25">
      <c r="A1267" s="2" t="s">
        <v>2338</v>
      </c>
      <c r="B1267" s="2">
        <v>123</v>
      </c>
      <c r="C1267" s="2">
        <v>40334024</v>
      </c>
      <c r="D1267" s="2" t="s">
        <v>1464</v>
      </c>
      <c r="E1267" s="2" t="s">
        <v>2339</v>
      </c>
      <c r="F1267" s="2" t="s">
        <v>14</v>
      </c>
      <c r="G1267" s="2" t="s">
        <v>15</v>
      </c>
      <c r="H1267" s="2">
        <v>35000000</v>
      </c>
      <c r="I1267" s="2">
        <v>6.2</v>
      </c>
      <c r="J1267" s="2">
        <f t="shared" si="8"/>
        <v>5334024</v>
      </c>
      <c r="K1267" s="2">
        <f t="shared" si="9"/>
        <v>-1.5747897002081786E-2</v>
      </c>
      <c r="L1267" s="2" t="str">
        <f>IF(ISNUMBER(SEARCH("|",IMDB_Movies!$D1267)),LEFT(IMDB_Movies!$D1267,SEARCH("|",IMDB_Movies!$D1267)-1),IMDB_Movies!$D1267)</f>
        <v>Comedy</v>
      </c>
      <c r="V1267" s="2"/>
      <c r="W1267" s="2"/>
    </row>
    <row r="1268" spans="1:23" ht="12.5" x14ac:dyDescent="0.25">
      <c r="A1268" s="2" t="s">
        <v>1743</v>
      </c>
      <c r="B1268" s="2">
        <v>94</v>
      </c>
      <c r="C1268" s="2">
        <v>71038190</v>
      </c>
      <c r="D1268" s="2" t="s">
        <v>623</v>
      </c>
      <c r="E1268" s="2" t="s">
        <v>2340</v>
      </c>
      <c r="F1268" s="2" t="s">
        <v>14</v>
      </c>
      <c r="G1268" s="2" t="s">
        <v>15</v>
      </c>
      <c r="H1268" s="2">
        <v>30000000</v>
      </c>
      <c r="I1268" s="2">
        <v>4.4000000000000004</v>
      </c>
      <c r="J1268" s="2">
        <f t="shared" si="8"/>
        <v>41038190</v>
      </c>
      <c r="K1268" s="2">
        <f t="shared" si="9"/>
        <v>-1.5752258964177101E-2</v>
      </c>
      <c r="L1268" s="2" t="str">
        <f>IF(ISNUMBER(SEARCH("|",IMDB_Movies!$D1268)),LEFT(IMDB_Movies!$D1268,SEARCH("|",IMDB_Movies!$D1268)-1),IMDB_Movies!$D1268)</f>
        <v>Action</v>
      </c>
      <c r="V1268" s="2"/>
      <c r="W1268" s="2"/>
    </row>
    <row r="1269" spans="1:23" ht="12.5" x14ac:dyDescent="0.25">
      <c r="A1269" s="2" t="s">
        <v>2341</v>
      </c>
      <c r="B1269" s="2">
        <v>102</v>
      </c>
      <c r="C1269" s="2">
        <v>24044532</v>
      </c>
      <c r="D1269" s="2" t="s">
        <v>85</v>
      </c>
      <c r="E1269" s="2" t="s">
        <v>2342</v>
      </c>
      <c r="F1269" s="2" t="s">
        <v>14</v>
      </c>
      <c r="G1269" s="2" t="s">
        <v>15</v>
      </c>
      <c r="H1269" s="2">
        <v>38000000</v>
      </c>
      <c r="I1269" s="2">
        <v>5.6</v>
      </c>
      <c r="J1269" s="2">
        <f t="shared" si="8"/>
        <v>-13955468</v>
      </c>
      <c r="K1269" s="2">
        <f t="shared" si="9"/>
        <v>-1.5761785299610115E-2</v>
      </c>
      <c r="L1269" s="2" t="str">
        <f>IF(ISNUMBER(SEARCH("|",IMDB_Movies!$D1269)),LEFT(IMDB_Movies!$D1269,SEARCH("|",IMDB_Movies!$D1269)-1),IMDB_Movies!$D1269)</f>
        <v>Drama</v>
      </c>
      <c r="V1269" s="2"/>
      <c r="W1269" s="2"/>
    </row>
    <row r="1270" spans="1:23" ht="12.5" x14ac:dyDescent="0.25">
      <c r="A1270" s="2" t="s">
        <v>1444</v>
      </c>
      <c r="B1270" s="2">
        <v>98</v>
      </c>
      <c r="C1270" s="2">
        <v>22770864</v>
      </c>
      <c r="D1270" s="2" t="s">
        <v>891</v>
      </c>
      <c r="E1270" s="2" t="s">
        <v>2343</v>
      </c>
      <c r="F1270" s="2" t="s">
        <v>14</v>
      </c>
      <c r="G1270" s="2" t="s">
        <v>15</v>
      </c>
      <c r="H1270" s="2">
        <v>38000000</v>
      </c>
      <c r="I1270" s="2">
        <v>5.5</v>
      </c>
      <c r="J1270" s="2">
        <f t="shared" si="8"/>
        <v>-15229136</v>
      </c>
      <c r="K1270" s="2">
        <f t="shared" si="9"/>
        <v>-1.5760281362962762E-2</v>
      </c>
      <c r="L1270" s="2" t="str">
        <f>IF(ISNUMBER(SEARCH("|",IMDB_Movies!$D1270)),LEFT(IMDB_Movies!$D1270,SEARCH("|",IMDB_Movies!$D1270)-1),IMDB_Movies!$D1270)</f>
        <v>Comedy</v>
      </c>
      <c r="V1270" s="2"/>
      <c r="W1270" s="2"/>
    </row>
    <row r="1271" spans="1:23" ht="12.5" x14ac:dyDescent="0.25">
      <c r="A1271" s="2" t="s">
        <v>1315</v>
      </c>
      <c r="B1271" s="2">
        <v>133</v>
      </c>
      <c r="C1271" s="2">
        <v>18653746</v>
      </c>
      <c r="D1271" s="2" t="s">
        <v>315</v>
      </c>
      <c r="E1271" s="2" t="s">
        <v>2344</v>
      </c>
      <c r="F1271" s="2" t="s">
        <v>14</v>
      </c>
      <c r="G1271" s="2" t="s">
        <v>1239</v>
      </c>
      <c r="H1271" s="2">
        <v>38000000</v>
      </c>
      <c r="I1271" s="2">
        <v>6.7</v>
      </c>
      <c r="J1271" s="2">
        <f t="shared" si="8"/>
        <v>-19346254</v>
      </c>
      <c r="K1271" s="2">
        <f t="shared" si="9"/>
        <v>-1.5758250565067248E-2</v>
      </c>
      <c r="L1271" s="2" t="str">
        <f>IF(ISNUMBER(SEARCH("|",IMDB_Movies!$D1271)),LEFT(IMDB_Movies!$D1271,SEARCH("|",IMDB_Movies!$D1271)-1),IMDB_Movies!$D1271)</f>
        <v>Mystery</v>
      </c>
      <c r="V1271" s="2"/>
      <c r="W1271" s="2"/>
    </row>
    <row r="1272" spans="1:23" ht="12.5" x14ac:dyDescent="0.25">
      <c r="A1272" s="2" t="s">
        <v>279</v>
      </c>
      <c r="B1272" s="2">
        <v>118</v>
      </c>
      <c r="C1272" s="2">
        <v>17305211</v>
      </c>
      <c r="D1272" s="2" t="s">
        <v>770</v>
      </c>
      <c r="E1272" s="2" t="s">
        <v>2345</v>
      </c>
      <c r="F1272" s="2" t="s">
        <v>14</v>
      </c>
      <c r="G1272" s="2" t="s">
        <v>15</v>
      </c>
      <c r="H1272" s="2">
        <v>38000000</v>
      </c>
      <c r="I1272" s="2">
        <v>6.1</v>
      </c>
      <c r="J1272" s="2">
        <f t="shared" si="8"/>
        <v>-20694789</v>
      </c>
      <c r="K1272" s="2">
        <f t="shared" si="9"/>
        <v>-1.5754564073688648E-2</v>
      </c>
      <c r="L1272" s="2" t="str">
        <f>IF(ISNUMBER(SEARCH("|",IMDB_Movies!$D1272)),LEFT(IMDB_Movies!$D1272,SEARCH("|",IMDB_Movies!$D1272)-1),IMDB_Movies!$D1272)</f>
        <v>Crime</v>
      </c>
      <c r="V1272" s="2"/>
      <c r="W1272" s="2"/>
    </row>
    <row r="1273" spans="1:23" ht="12.5" x14ac:dyDescent="0.25">
      <c r="A1273" s="2" t="s">
        <v>1525</v>
      </c>
      <c r="B1273" s="2">
        <v>105</v>
      </c>
      <c r="C1273" s="2">
        <v>16991902</v>
      </c>
      <c r="D1273" s="2" t="s">
        <v>2082</v>
      </c>
      <c r="E1273" s="2" t="s">
        <v>2346</v>
      </c>
      <c r="F1273" s="2" t="s">
        <v>14</v>
      </c>
      <c r="G1273" s="2" t="s">
        <v>15</v>
      </c>
      <c r="H1273" s="2">
        <v>57000000</v>
      </c>
      <c r="I1273" s="2">
        <v>6.2</v>
      </c>
      <c r="J1273" s="2">
        <f t="shared" si="8"/>
        <v>-40008098</v>
      </c>
      <c r="K1273" s="2">
        <f t="shared" si="9"/>
        <v>-1.5750347776430224E-2</v>
      </c>
      <c r="L1273" s="2" t="str">
        <f>IF(ISNUMBER(SEARCH("|",IMDB_Movies!$D1273)),LEFT(IMDB_Movies!$D1273,SEARCH("|",IMDB_Movies!$D1273)-1),IMDB_Movies!$D1273)</f>
        <v>Drama</v>
      </c>
      <c r="V1273" s="2"/>
      <c r="W1273" s="2"/>
    </row>
    <row r="1274" spans="1:23" ht="12.5" x14ac:dyDescent="0.25">
      <c r="A1274" s="2" t="s">
        <v>2347</v>
      </c>
      <c r="B1274" s="2">
        <v>109</v>
      </c>
      <c r="C1274" s="2">
        <v>47536959</v>
      </c>
      <c r="D1274" s="2" t="s">
        <v>1180</v>
      </c>
      <c r="E1274" s="2" t="s">
        <v>2348</v>
      </c>
      <c r="F1274" s="2" t="s">
        <v>14</v>
      </c>
      <c r="G1274" s="2" t="s">
        <v>15</v>
      </c>
      <c r="H1274" s="2">
        <v>10000000</v>
      </c>
      <c r="I1274" s="2">
        <v>7.3</v>
      </c>
      <c r="J1274" s="2">
        <f t="shared" si="8"/>
        <v>37536959</v>
      </c>
      <c r="K1274" s="2">
        <f t="shared" si="9"/>
        <v>-1.5738461999922865E-2</v>
      </c>
      <c r="L1274" s="2" t="str">
        <f>IF(ISNUMBER(SEARCH("|",IMDB_Movies!$D1274)),LEFT(IMDB_Movies!$D1274,SEARCH("|",IMDB_Movies!$D1274)-1),IMDB_Movies!$D1274)</f>
        <v>Drama</v>
      </c>
      <c r="V1274" s="2"/>
      <c r="W1274" s="2"/>
    </row>
    <row r="1275" spans="1:23" ht="12.5" x14ac:dyDescent="0.25">
      <c r="A1275" s="2" t="s">
        <v>76</v>
      </c>
      <c r="B1275" s="2">
        <v>129</v>
      </c>
      <c r="C1275" s="2">
        <v>10300000</v>
      </c>
      <c r="D1275" s="2" t="s">
        <v>2349</v>
      </c>
      <c r="E1275" s="2" t="s">
        <v>2350</v>
      </c>
      <c r="F1275" s="2" t="s">
        <v>14</v>
      </c>
      <c r="G1275" s="2" t="s">
        <v>15</v>
      </c>
      <c r="H1275" s="2">
        <v>38000000</v>
      </c>
      <c r="I1275" s="2">
        <v>6.6</v>
      </c>
      <c r="J1275" s="2">
        <f t="shared" si="8"/>
        <v>-27700000</v>
      </c>
      <c r="K1275" s="2">
        <f t="shared" si="9"/>
        <v>-1.5726970243565529E-2</v>
      </c>
      <c r="L1275" s="2" t="str">
        <f>IF(ISNUMBER(SEARCH("|",IMDB_Movies!$D1275)),LEFT(IMDB_Movies!$D1275,SEARCH("|",IMDB_Movies!$D1275)-1),IMDB_Movies!$D1275)</f>
        <v>Adventure</v>
      </c>
      <c r="V1275" s="2"/>
      <c r="W1275" s="2"/>
    </row>
    <row r="1276" spans="1:23" ht="12.5" x14ac:dyDescent="0.25">
      <c r="A1276" s="2" t="s">
        <v>1818</v>
      </c>
      <c r="B1276" s="2">
        <v>109</v>
      </c>
      <c r="C1276" s="2">
        <v>13782838</v>
      </c>
      <c r="D1276" s="2" t="s">
        <v>2351</v>
      </c>
      <c r="E1276" s="2" t="s">
        <v>2352</v>
      </c>
      <c r="F1276" s="2" t="s">
        <v>14</v>
      </c>
      <c r="G1276" s="2" t="s">
        <v>15</v>
      </c>
      <c r="H1276" s="2">
        <v>15000000</v>
      </c>
      <c r="I1276" s="2">
        <v>8.1999999999999993</v>
      </c>
      <c r="J1276" s="2">
        <f t="shared" si="8"/>
        <v>-1217162</v>
      </c>
      <c r="K1276" s="2">
        <f t="shared" si="9"/>
        <v>-1.5720129786246623E-2</v>
      </c>
      <c r="L1276" s="2" t="str">
        <f>IF(ISNUMBER(SEARCH("|",IMDB_Movies!$D1276)),LEFT(IMDB_Movies!$D1276,SEARCH("|",IMDB_Movies!$D1276)-1),IMDB_Movies!$D1276)</f>
        <v>Horror</v>
      </c>
      <c r="V1276" s="2"/>
      <c r="W1276" s="2"/>
    </row>
    <row r="1277" spans="1:23" ht="12.5" x14ac:dyDescent="0.25">
      <c r="A1277" s="2" t="s">
        <v>506</v>
      </c>
      <c r="B1277" s="2">
        <v>127</v>
      </c>
      <c r="C1277" s="2">
        <v>41997790</v>
      </c>
      <c r="D1277" s="2" t="s">
        <v>981</v>
      </c>
      <c r="E1277" s="2" t="s">
        <v>2353</v>
      </c>
      <c r="F1277" s="2" t="s">
        <v>14</v>
      </c>
      <c r="G1277" s="2" t="s">
        <v>15</v>
      </c>
      <c r="H1277" s="2">
        <v>38000000</v>
      </c>
      <c r="I1277" s="2">
        <v>6.4</v>
      </c>
      <c r="J1277" s="2">
        <f t="shared" ref="J1277:J1531" si="10">(C1277-H1277)</f>
        <v>3997790</v>
      </c>
      <c r="K1277" s="2">
        <f t="shared" si="9"/>
        <v>-1.572650685712167E-2</v>
      </c>
      <c r="L1277" s="2" t="str">
        <f>IF(ISNUMBER(SEARCH("|",IMDB_Movies!$D1277)),LEFT(IMDB_Movies!$D1277,SEARCH("|",IMDB_Movies!$D1277)-1),IMDB_Movies!$D1277)</f>
        <v>Action</v>
      </c>
      <c r="V1277" s="2"/>
      <c r="W1277" s="2"/>
    </row>
    <row r="1278" spans="1:23" ht="12.5" x14ac:dyDescent="0.25">
      <c r="A1278" s="2" t="s">
        <v>2354</v>
      </c>
      <c r="B1278" s="2">
        <v>118</v>
      </c>
      <c r="C1278" s="2">
        <v>6482195</v>
      </c>
      <c r="D1278" s="2" t="s">
        <v>793</v>
      </c>
      <c r="E1278" s="2" t="s">
        <v>2355</v>
      </c>
      <c r="F1278" s="2" t="s">
        <v>14</v>
      </c>
      <c r="G1278" s="2" t="s">
        <v>15</v>
      </c>
      <c r="H1278" s="2">
        <v>37000000</v>
      </c>
      <c r="I1278" s="2">
        <v>6.4</v>
      </c>
      <c r="J1278" s="2">
        <f t="shared" si="10"/>
        <v>-30517805</v>
      </c>
      <c r="K1278" s="2">
        <f t="shared" ref="K1278:K1532" si="11">CORREL(H1278:H5063,C1278:C5063)</f>
        <v>-1.5733125940626116E-2</v>
      </c>
      <c r="L1278" s="2" t="str">
        <f>IF(ISNUMBER(SEARCH("|",IMDB_Movies!$D1278)),LEFT(IMDB_Movies!$D1278,SEARCH("|",IMDB_Movies!$D1278)-1),IMDB_Movies!$D1278)</f>
        <v>Crime</v>
      </c>
      <c r="V1278" s="2"/>
      <c r="W1278" s="2"/>
    </row>
    <row r="1279" spans="1:23" ht="12.5" x14ac:dyDescent="0.25">
      <c r="A1279" s="2" t="s">
        <v>2356</v>
      </c>
      <c r="B1279" s="2">
        <v>110</v>
      </c>
      <c r="C1279" s="2">
        <v>623374</v>
      </c>
      <c r="D1279" s="2" t="s">
        <v>2357</v>
      </c>
      <c r="E1279" s="2" t="s">
        <v>2358</v>
      </c>
      <c r="F1279" s="2" t="s">
        <v>14</v>
      </c>
      <c r="G1279" s="2" t="s">
        <v>15</v>
      </c>
      <c r="H1279" s="2">
        <v>38000000</v>
      </c>
      <c r="I1279" s="2">
        <v>5.2</v>
      </c>
      <c r="J1279" s="2">
        <f t="shared" si="10"/>
        <v>-37376626</v>
      </c>
      <c r="K1279" s="2">
        <f t="shared" si="11"/>
        <v>-1.5725729127365588E-2</v>
      </c>
      <c r="L1279" s="2" t="str">
        <f>IF(ISNUMBER(SEARCH("|",IMDB_Movies!$D1279)),LEFT(IMDB_Movies!$D1279,SEARCH("|",IMDB_Movies!$D1279)-1),IMDB_Movies!$D1279)</f>
        <v>Action</v>
      </c>
      <c r="V1279" s="2"/>
      <c r="W1279" s="2"/>
    </row>
    <row r="1280" spans="1:23" ht="12.5" x14ac:dyDescent="0.25">
      <c r="A1280" s="2" t="s">
        <v>1078</v>
      </c>
      <c r="B1280" s="2">
        <v>90</v>
      </c>
      <c r="C1280" s="2">
        <v>7871693</v>
      </c>
      <c r="D1280" s="2" t="s">
        <v>2359</v>
      </c>
      <c r="E1280" s="2" t="s">
        <v>2360</v>
      </c>
      <c r="F1280" s="2" t="s">
        <v>14</v>
      </c>
      <c r="G1280" s="2" t="s">
        <v>15</v>
      </c>
      <c r="H1280" s="2">
        <v>55000000</v>
      </c>
      <c r="I1280" s="2">
        <v>6.5</v>
      </c>
      <c r="J1280" s="2">
        <f t="shared" si="10"/>
        <v>-47128307</v>
      </c>
      <c r="K1280" s="2">
        <f t="shared" si="11"/>
        <v>-1.5715587672862553E-2</v>
      </c>
      <c r="L1280" s="2" t="str">
        <f>IF(ISNUMBER(SEARCH("|",IMDB_Movies!$D1280)),LEFT(IMDB_Movies!$D1280,SEARCH("|",IMDB_Movies!$D1280)-1),IMDB_Movies!$D1280)</f>
        <v>Adventure</v>
      </c>
      <c r="V1280" s="2"/>
      <c r="W1280" s="2"/>
    </row>
    <row r="1281" spans="1:23" ht="12.5" x14ac:dyDescent="0.25">
      <c r="A1281" s="2" t="s">
        <v>2361</v>
      </c>
      <c r="B1281" s="2">
        <v>144</v>
      </c>
      <c r="C1281" s="2">
        <v>16377274</v>
      </c>
      <c r="D1281" s="2" t="s">
        <v>1180</v>
      </c>
      <c r="E1281" s="2" t="s">
        <v>2362</v>
      </c>
      <c r="F1281" s="2" t="s">
        <v>14</v>
      </c>
      <c r="G1281" s="2" t="s">
        <v>15</v>
      </c>
      <c r="H1281" s="2">
        <v>32000000</v>
      </c>
      <c r="I1281" s="2">
        <v>7.1</v>
      </c>
      <c r="J1281" s="2">
        <f t="shared" si="10"/>
        <v>-15622726</v>
      </c>
      <c r="K1281" s="2">
        <f t="shared" si="11"/>
        <v>-1.5695280314953885E-2</v>
      </c>
      <c r="L1281" s="2" t="str">
        <f>IF(ISNUMBER(SEARCH("|",IMDB_Movies!$D1281)),LEFT(IMDB_Movies!$D1281,SEARCH("|",IMDB_Movies!$D1281)-1),IMDB_Movies!$D1281)</f>
        <v>Drama</v>
      </c>
      <c r="V1281" s="2"/>
      <c r="W1281" s="2"/>
    </row>
    <row r="1282" spans="1:23" ht="12.5" x14ac:dyDescent="0.25">
      <c r="A1282" s="2" t="s">
        <v>1754</v>
      </c>
      <c r="B1282" s="2">
        <v>130</v>
      </c>
      <c r="C1282" s="2">
        <v>9589875</v>
      </c>
      <c r="D1282" s="2" t="s">
        <v>585</v>
      </c>
      <c r="E1282" s="2" t="s">
        <v>2363</v>
      </c>
      <c r="F1282" s="2" t="s">
        <v>14</v>
      </c>
      <c r="G1282" s="2" t="s">
        <v>15</v>
      </c>
      <c r="H1282" s="2">
        <v>40000000</v>
      </c>
      <c r="I1282" s="2">
        <v>7.3</v>
      </c>
      <c r="J1282" s="2">
        <f t="shared" si="10"/>
        <v>-30410125</v>
      </c>
      <c r="K1282" s="2">
        <f t="shared" si="11"/>
        <v>-1.569321022281921E-2</v>
      </c>
      <c r="L1282" s="2" t="str">
        <f>IF(ISNUMBER(SEARCH("|",IMDB_Movies!$D1282)),LEFT(IMDB_Movies!$D1282,SEARCH("|",IMDB_Movies!$D1282)-1),IMDB_Movies!$D1282)</f>
        <v>Biography</v>
      </c>
      <c r="V1282" s="2"/>
      <c r="W1282" s="2"/>
    </row>
    <row r="1283" spans="1:23" ht="12.5" x14ac:dyDescent="0.25">
      <c r="A1283" s="2" t="s">
        <v>2364</v>
      </c>
      <c r="B1283" s="2">
        <v>112</v>
      </c>
      <c r="C1283" s="2">
        <v>34912982</v>
      </c>
      <c r="D1283" s="2" t="s">
        <v>90</v>
      </c>
      <c r="E1283" s="2" t="s">
        <v>2365</v>
      </c>
      <c r="F1283" s="2" t="s">
        <v>14</v>
      </c>
      <c r="G1283" s="2" t="s">
        <v>15</v>
      </c>
      <c r="H1283" s="2">
        <v>38000000</v>
      </c>
      <c r="I1283" s="2">
        <v>5.2</v>
      </c>
      <c r="J1283" s="2">
        <f t="shared" si="10"/>
        <v>-3087018</v>
      </c>
      <c r="K1283" s="2">
        <f t="shared" si="11"/>
        <v>-1.5684726205110033E-2</v>
      </c>
      <c r="L1283" s="2" t="str">
        <f>IF(ISNUMBER(SEARCH("|",IMDB_Movies!$D1283)),LEFT(IMDB_Movies!$D1283,SEARCH("|",IMDB_Movies!$D1283)-1),IMDB_Movies!$D1283)</f>
        <v>Action</v>
      </c>
      <c r="V1283" s="2"/>
      <c r="W1283" s="2"/>
    </row>
    <row r="1284" spans="1:23" ht="12.5" x14ac:dyDescent="0.25">
      <c r="A1284" s="2" t="s">
        <v>2366</v>
      </c>
      <c r="B1284" s="2">
        <v>133</v>
      </c>
      <c r="C1284" s="2">
        <v>109712885</v>
      </c>
      <c r="D1284" s="2" t="s">
        <v>1307</v>
      </c>
      <c r="E1284" s="2" t="s">
        <v>2367</v>
      </c>
      <c r="F1284" s="2" t="s">
        <v>14</v>
      </c>
      <c r="G1284" s="2" t="s">
        <v>15</v>
      </c>
      <c r="H1284" s="2">
        <v>35000000</v>
      </c>
      <c r="I1284" s="2">
        <v>7.7</v>
      </c>
      <c r="J1284" s="2">
        <f t="shared" si="10"/>
        <v>74712885</v>
      </c>
      <c r="K1284" s="2">
        <f t="shared" si="11"/>
        <v>-1.5687970555129719E-2</v>
      </c>
      <c r="L1284" s="2" t="str">
        <f>IF(ISNUMBER(SEARCH("|",IMDB_Movies!$D1284)),LEFT(IMDB_Movies!$D1284,SEARCH("|",IMDB_Movies!$D1284)-1),IMDB_Movies!$D1284)</f>
        <v>Drama</v>
      </c>
      <c r="V1284" s="2"/>
      <c r="W1284" s="2"/>
    </row>
    <row r="1285" spans="1:23" ht="12.5" x14ac:dyDescent="0.25">
      <c r="A1285" s="2" t="s">
        <v>2016</v>
      </c>
      <c r="B1285" s="2">
        <v>150</v>
      </c>
      <c r="C1285" s="2">
        <v>92173235</v>
      </c>
      <c r="D1285" s="2" t="s">
        <v>763</v>
      </c>
      <c r="E1285" s="2" t="s">
        <v>2368</v>
      </c>
      <c r="F1285" s="2" t="s">
        <v>14</v>
      </c>
      <c r="G1285" s="2" t="s">
        <v>15</v>
      </c>
      <c r="H1285" s="2">
        <v>37000000</v>
      </c>
      <c r="I1285" s="2">
        <v>7.6</v>
      </c>
      <c r="J1285" s="2">
        <f t="shared" si="10"/>
        <v>55173235</v>
      </c>
      <c r="K1285" s="2">
        <f t="shared" si="11"/>
        <v>-1.5728109617103244E-2</v>
      </c>
      <c r="L1285" s="2" t="str">
        <f>IF(ISNUMBER(SEARCH("|",IMDB_Movies!$D1285)),LEFT(IMDB_Movies!$D1285,SEARCH("|",IMDB_Movies!$D1285)-1),IMDB_Movies!$D1285)</f>
        <v>Crime</v>
      </c>
      <c r="V1285" s="2"/>
      <c r="W1285" s="2"/>
    </row>
    <row r="1286" spans="1:23" ht="12.5" x14ac:dyDescent="0.25">
      <c r="A1286" s="2" t="s">
        <v>2369</v>
      </c>
      <c r="B1286" s="2">
        <v>110</v>
      </c>
      <c r="C1286" s="2">
        <v>41102171</v>
      </c>
      <c r="D1286" s="2" t="s">
        <v>514</v>
      </c>
      <c r="E1286" s="2" t="s">
        <v>2370</v>
      </c>
      <c r="F1286" s="2" t="s">
        <v>14</v>
      </c>
      <c r="G1286" s="2" t="s">
        <v>15</v>
      </c>
      <c r="H1286" s="2">
        <v>40000000</v>
      </c>
      <c r="I1286" s="2">
        <v>5.7</v>
      </c>
      <c r="J1286" s="2">
        <f t="shared" si="10"/>
        <v>1102171</v>
      </c>
      <c r="K1286" s="2">
        <f t="shared" si="11"/>
        <v>-1.5762260140237894E-2</v>
      </c>
      <c r="L1286" s="2" t="str">
        <f>IF(ISNUMBER(SEARCH("|",IMDB_Movies!$D1286)),LEFT(IMDB_Movies!$D1286,SEARCH("|",IMDB_Movies!$D1286)-1),IMDB_Movies!$D1286)</f>
        <v>Comedy</v>
      </c>
      <c r="V1286" s="2"/>
      <c r="W1286" s="2"/>
    </row>
    <row r="1287" spans="1:23" ht="12.5" x14ac:dyDescent="0.25">
      <c r="A1287" s="2" t="s">
        <v>2371</v>
      </c>
      <c r="B1287" s="2">
        <v>96</v>
      </c>
      <c r="C1287" s="2">
        <v>60338891</v>
      </c>
      <c r="D1287" s="2" t="s">
        <v>891</v>
      </c>
      <c r="E1287" s="2" t="s">
        <v>2372</v>
      </c>
      <c r="F1287" s="2" t="s">
        <v>14</v>
      </c>
      <c r="G1287" s="2" t="s">
        <v>15</v>
      </c>
      <c r="H1287" s="2">
        <v>37000000</v>
      </c>
      <c r="I1287" s="2">
        <v>7</v>
      </c>
      <c r="J1287" s="2">
        <f t="shared" si="10"/>
        <v>23338891</v>
      </c>
      <c r="K1287" s="2">
        <f t="shared" si="11"/>
        <v>-1.5769506696746094E-2</v>
      </c>
      <c r="L1287" s="2" t="str">
        <f>IF(ISNUMBER(SEARCH("|",IMDB_Movies!$D1287)),LEFT(IMDB_Movies!$D1287,SEARCH("|",IMDB_Movies!$D1287)-1),IMDB_Movies!$D1287)</f>
        <v>Comedy</v>
      </c>
      <c r="V1287" s="2"/>
      <c r="W1287" s="2"/>
    </row>
    <row r="1288" spans="1:23" ht="12.5" x14ac:dyDescent="0.25">
      <c r="A1288" s="2" t="s">
        <v>2373</v>
      </c>
      <c r="B1288" s="2">
        <v>96</v>
      </c>
      <c r="C1288" s="2">
        <v>48006503</v>
      </c>
      <c r="D1288" s="2" t="s">
        <v>294</v>
      </c>
      <c r="E1288" s="2" t="s">
        <v>2374</v>
      </c>
      <c r="F1288" s="2" t="s">
        <v>14</v>
      </c>
      <c r="G1288" s="2" t="s">
        <v>15</v>
      </c>
      <c r="H1288" s="2">
        <v>37000000</v>
      </c>
      <c r="I1288" s="2">
        <v>6</v>
      </c>
      <c r="J1288" s="2">
        <f t="shared" si="10"/>
        <v>11006503</v>
      </c>
      <c r="K1288" s="2">
        <f t="shared" si="11"/>
        <v>-1.5784698828825397E-2</v>
      </c>
      <c r="L1288" s="2" t="str">
        <f>IF(ISNUMBER(SEARCH("|",IMDB_Movies!$D1288)),LEFT(IMDB_Movies!$D1288,SEARCH("|",IMDB_Movies!$D1288)-1),IMDB_Movies!$D1288)</f>
        <v>Adventure</v>
      </c>
      <c r="V1288" s="2"/>
      <c r="W1288" s="2"/>
    </row>
    <row r="1289" spans="1:23" ht="12.5" x14ac:dyDescent="0.25">
      <c r="A1289" s="2" t="s">
        <v>314</v>
      </c>
      <c r="B1289" s="2">
        <v>123</v>
      </c>
      <c r="C1289" s="2">
        <v>26903709</v>
      </c>
      <c r="D1289" s="2" t="s">
        <v>2375</v>
      </c>
      <c r="E1289" s="2" t="s">
        <v>2376</v>
      </c>
      <c r="F1289" s="2" t="s">
        <v>14</v>
      </c>
      <c r="G1289" s="2" t="s">
        <v>22</v>
      </c>
      <c r="H1289" s="2">
        <v>38000000</v>
      </c>
      <c r="I1289" s="2">
        <v>8.1</v>
      </c>
      <c r="J1289" s="2">
        <f t="shared" si="10"/>
        <v>-11096291</v>
      </c>
      <c r="K1289" s="2">
        <f t="shared" si="11"/>
        <v>-1.5793658401152783E-2</v>
      </c>
      <c r="L1289" s="2" t="str">
        <f>IF(ISNUMBER(SEARCH("|",IMDB_Movies!$D1289)),LEFT(IMDB_Movies!$D1289,SEARCH("|",IMDB_Movies!$D1289)-1),IMDB_Movies!$D1289)</f>
        <v>Action</v>
      </c>
      <c r="V1289" s="2"/>
      <c r="W1289" s="2"/>
    </row>
    <row r="1290" spans="1:23" ht="12.5" x14ac:dyDescent="0.25">
      <c r="A1290" s="2" t="s">
        <v>2361</v>
      </c>
      <c r="B1290" s="2">
        <v>188</v>
      </c>
      <c r="C1290" s="2">
        <v>22450975</v>
      </c>
      <c r="D1290" s="2" t="s">
        <v>1180</v>
      </c>
      <c r="E1290" s="2" t="s">
        <v>2377</v>
      </c>
      <c r="F1290" s="2" t="s">
        <v>14</v>
      </c>
      <c r="G1290" s="2" t="s">
        <v>15</v>
      </c>
      <c r="H1290" s="2">
        <v>37000000</v>
      </c>
      <c r="I1290" s="2">
        <v>8</v>
      </c>
      <c r="J1290" s="2">
        <f t="shared" si="10"/>
        <v>-14549025</v>
      </c>
      <c r="K1290" s="2">
        <f t="shared" si="11"/>
        <v>-1.5793370871528212E-2</v>
      </c>
      <c r="L1290" s="2" t="str">
        <f>IF(ISNUMBER(SEARCH("|",IMDB_Movies!$D1290)),LEFT(IMDB_Movies!$D1290,SEARCH("|",IMDB_Movies!$D1290)-1),IMDB_Movies!$D1290)</f>
        <v>Drama</v>
      </c>
      <c r="V1290" s="2"/>
      <c r="W1290" s="2"/>
    </row>
    <row r="1291" spans="1:23" ht="12.5" x14ac:dyDescent="0.25">
      <c r="A1291" s="2" t="s">
        <v>2378</v>
      </c>
      <c r="B1291" s="2">
        <v>107</v>
      </c>
      <c r="C1291" s="2">
        <v>44867349</v>
      </c>
      <c r="D1291" s="2" t="s">
        <v>623</v>
      </c>
      <c r="E1291" s="2" t="s">
        <v>2379</v>
      </c>
      <c r="F1291" s="2" t="s">
        <v>14</v>
      </c>
      <c r="G1291" s="2" t="s">
        <v>15</v>
      </c>
      <c r="H1291" s="2">
        <v>37000000</v>
      </c>
      <c r="I1291" s="2">
        <v>5.6</v>
      </c>
      <c r="J1291" s="2">
        <f t="shared" si="10"/>
        <v>7867349</v>
      </c>
      <c r="K1291" s="2">
        <f t="shared" si="11"/>
        <v>-1.5791395776684935E-2</v>
      </c>
      <c r="L1291" s="2" t="str">
        <f>IF(ISNUMBER(SEARCH("|",IMDB_Movies!$D1291)),LEFT(IMDB_Movies!$D1291,SEARCH("|",IMDB_Movies!$D1291)-1),IMDB_Movies!$D1291)</f>
        <v>Action</v>
      </c>
      <c r="V1291" s="2"/>
      <c r="W1291" s="2"/>
    </row>
    <row r="1292" spans="1:23" ht="12.5" x14ac:dyDescent="0.25">
      <c r="A1292" s="2" t="s">
        <v>2380</v>
      </c>
      <c r="B1292" s="2">
        <v>110</v>
      </c>
      <c r="C1292" s="2">
        <v>46813366</v>
      </c>
      <c r="D1292" s="2" t="s">
        <v>600</v>
      </c>
      <c r="E1292" s="2" t="s">
        <v>2381</v>
      </c>
      <c r="F1292" s="2" t="s">
        <v>14</v>
      </c>
      <c r="G1292" s="2" t="s">
        <v>15</v>
      </c>
      <c r="H1292" s="2">
        <v>38000000</v>
      </c>
      <c r="I1292" s="2">
        <v>6.1</v>
      </c>
      <c r="J1292" s="2">
        <f t="shared" si="10"/>
        <v>8813366</v>
      </c>
      <c r="K1292" s="2">
        <f t="shared" si="11"/>
        <v>-1.5798877710010824E-2</v>
      </c>
      <c r="L1292" s="2" t="str">
        <f>IF(ISNUMBER(SEARCH("|",IMDB_Movies!$D1292)),LEFT(IMDB_Movies!$D1292,SEARCH("|",IMDB_Movies!$D1292)-1),IMDB_Movies!$D1292)</f>
        <v>Comedy</v>
      </c>
      <c r="V1292" s="2"/>
      <c r="W1292" s="2"/>
    </row>
    <row r="1293" spans="1:23" ht="12.5" x14ac:dyDescent="0.25">
      <c r="A1293" s="2" t="s">
        <v>2382</v>
      </c>
      <c r="B1293" s="2">
        <v>113</v>
      </c>
      <c r="C1293" s="2">
        <v>72279690</v>
      </c>
      <c r="D1293" s="2" t="s">
        <v>2383</v>
      </c>
      <c r="E1293" s="2" t="s">
        <v>2384</v>
      </c>
      <c r="F1293" s="2" t="s">
        <v>14</v>
      </c>
      <c r="G1293" s="2" t="s">
        <v>15</v>
      </c>
      <c r="H1293" s="2">
        <v>37000000</v>
      </c>
      <c r="I1293" s="2">
        <v>6.9</v>
      </c>
      <c r="J1293" s="2">
        <f t="shared" si="10"/>
        <v>35279690</v>
      </c>
      <c r="K1293" s="2">
        <f t="shared" si="11"/>
        <v>-1.5808010365587502E-2</v>
      </c>
      <c r="L1293" s="2" t="str">
        <f>IF(ISNUMBER(SEARCH("|",IMDB_Movies!$D1293)),LEFT(IMDB_Movies!$D1293,SEARCH("|",IMDB_Movies!$D1293)-1),IMDB_Movies!$D1293)</f>
        <v>Drama</v>
      </c>
      <c r="V1293" s="2"/>
      <c r="W1293" s="2"/>
    </row>
    <row r="1294" spans="1:23" ht="12.5" x14ac:dyDescent="0.25">
      <c r="A1294" s="2" t="s">
        <v>2066</v>
      </c>
      <c r="B1294" s="2">
        <v>122</v>
      </c>
      <c r="C1294" s="2">
        <v>191449475</v>
      </c>
      <c r="D1294" s="2" t="s">
        <v>256</v>
      </c>
      <c r="E1294" s="2" t="s">
        <v>2385</v>
      </c>
      <c r="F1294" s="2" t="s">
        <v>14</v>
      </c>
      <c r="G1294" s="2" t="s">
        <v>15</v>
      </c>
      <c r="H1294" s="2">
        <v>37000000</v>
      </c>
      <c r="I1294" s="2">
        <v>5.2</v>
      </c>
      <c r="J1294" s="2">
        <f t="shared" si="10"/>
        <v>154449475</v>
      </c>
      <c r="K1294" s="2">
        <f t="shared" si="11"/>
        <v>-1.5829933212253438E-2</v>
      </c>
      <c r="L1294" s="2" t="str">
        <f>IF(ISNUMBER(SEARCH("|",IMDB_Movies!$D1294)),LEFT(IMDB_Movies!$D1294,SEARCH("|",IMDB_Movies!$D1294)-1),IMDB_Movies!$D1294)</f>
        <v>Drama</v>
      </c>
      <c r="V1294" s="2"/>
      <c r="W1294" s="2"/>
    </row>
    <row r="1295" spans="1:23" ht="12.5" x14ac:dyDescent="0.25">
      <c r="A1295" s="2" t="s">
        <v>2146</v>
      </c>
      <c r="B1295" s="2">
        <v>116</v>
      </c>
      <c r="C1295" s="2">
        <v>71026631</v>
      </c>
      <c r="D1295" s="2" t="s">
        <v>763</v>
      </c>
      <c r="E1295" s="2" t="s">
        <v>2386</v>
      </c>
      <c r="F1295" s="2" t="s">
        <v>14</v>
      </c>
      <c r="G1295" s="2" t="s">
        <v>15</v>
      </c>
      <c r="H1295" s="2">
        <v>36000000</v>
      </c>
      <c r="I1295" s="2">
        <v>7</v>
      </c>
      <c r="J1295" s="2">
        <f t="shared" si="10"/>
        <v>35026631</v>
      </c>
      <c r="K1295" s="2">
        <f t="shared" si="11"/>
        <v>-1.5951586691611841E-2</v>
      </c>
      <c r="L1295" s="2" t="str">
        <f>IF(ISNUMBER(SEARCH("|",IMDB_Movies!$D1295)),LEFT(IMDB_Movies!$D1295,SEARCH("|",IMDB_Movies!$D1295)-1),IMDB_Movies!$D1295)</f>
        <v>Crime</v>
      </c>
      <c r="V1295" s="2"/>
      <c r="W1295" s="2"/>
    </row>
    <row r="1296" spans="1:23" ht="12.5" x14ac:dyDescent="0.25">
      <c r="A1296" s="2" t="s">
        <v>931</v>
      </c>
      <c r="B1296" s="2">
        <v>93</v>
      </c>
      <c r="C1296" s="2">
        <v>68208190</v>
      </c>
      <c r="D1296" s="2" t="s">
        <v>150</v>
      </c>
      <c r="E1296" s="2" t="s">
        <v>2387</v>
      </c>
      <c r="F1296" s="2" t="s">
        <v>14</v>
      </c>
      <c r="G1296" s="2" t="s">
        <v>15</v>
      </c>
      <c r="H1296" s="2">
        <v>65000000</v>
      </c>
      <c r="I1296" s="2">
        <v>6.3</v>
      </c>
      <c r="J1296" s="2">
        <f t="shared" si="10"/>
        <v>3208190</v>
      </c>
      <c r="K1296" s="2">
        <f t="shared" si="11"/>
        <v>-1.5971332499916075E-2</v>
      </c>
      <c r="L1296" s="2" t="str">
        <f>IF(ISNUMBER(SEARCH("|",IMDB_Movies!$D1296)),LEFT(IMDB_Movies!$D1296,SEARCH("|",IMDB_Movies!$D1296)-1),IMDB_Movies!$D1296)</f>
        <v>Action</v>
      </c>
      <c r="V1296" s="2"/>
      <c r="W1296" s="2"/>
    </row>
    <row r="1297" spans="1:23" ht="12.5" x14ac:dyDescent="0.25">
      <c r="A1297" s="2" t="s">
        <v>1719</v>
      </c>
      <c r="B1297" s="2">
        <v>118</v>
      </c>
      <c r="C1297" s="2">
        <v>150368971</v>
      </c>
      <c r="D1297" s="2" t="s">
        <v>375</v>
      </c>
      <c r="E1297" s="2" t="s">
        <v>2388</v>
      </c>
      <c r="F1297" s="2" t="s">
        <v>14</v>
      </c>
      <c r="G1297" s="2" t="s">
        <v>15</v>
      </c>
      <c r="H1297" s="2">
        <v>37000000</v>
      </c>
      <c r="I1297" s="2">
        <v>7</v>
      </c>
      <c r="J1297" s="2">
        <f t="shared" si="10"/>
        <v>113368971</v>
      </c>
      <c r="K1297" s="2">
        <f t="shared" si="11"/>
        <v>-1.603423499194152E-2</v>
      </c>
      <c r="L1297" s="2" t="str">
        <f>IF(ISNUMBER(SEARCH("|",IMDB_Movies!$D1297)),LEFT(IMDB_Movies!$D1297,SEARCH("|",IMDB_Movies!$D1297)-1),IMDB_Movies!$D1297)</f>
        <v>Comedy</v>
      </c>
      <c r="V1297" s="2"/>
      <c r="W1297" s="2"/>
    </row>
    <row r="1298" spans="1:23" ht="12.5" x14ac:dyDescent="0.25">
      <c r="A1298" s="2" t="s">
        <v>245</v>
      </c>
      <c r="B1298" s="2">
        <v>93</v>
      </c>
      <c r="C1298" s="2">
        <v>50129186</v>
      </c>
      <c r="D1298" s="2" t="s">
        <v>845</v>
      </c>
      <c r="E1298" s="2" t="s">
        <v>2389</v>
      </c>
      <c r="F1298" s="2" t="s">
        <v>14</v>
      </c>
      <c r="G1298" s="2" t="s">
        <v>15</v>
      </c>
      <c r="H1298" s="2">
        <v>36000000</v>
      </c>
      <c r="I1298" s="2">
        <v>6.9</v>
      </c>
      <c r="J1298" s="2">
        <f t="shared" si="10"/>
        <v>14129186</v>
      </c>
      <c r="K1298" s="2">
        <f t="shared" si="11"/>
        <v>-1.6115739512701073E-2</v>
      </c>
      <c r="L1298" s="2" t="str">
        <f>IF(ISNUMBER(SEARCH("|",IMDB_Movies!$D1298)),LEFT(IMDB_Movies!$D1298,SEARCH("|",IMDB_Movies!$D1298)-1),IMDB_Movies!$D1298)</f>
        <v>Action</v>
      </c>
      <c r="V1298" s="2"/>
      <c r="W1298" s="2"/>
    </row>
    <row r="1299" spans="1:23" ht="12.5" x14ac:dyDescent="0.25">
      <c r="A1299" s="2" t="s">
        <v>2390</v>
      </c>
      <c r="B1299" s="2">
        <v>121</v>
      </c>
      <c r="C1299" s="2">
        <v>55500000</v>
      </c>
      <c r="D1299" s="2" t="s">
        <v>20</v>
      </c>
      <c r="E1299" s="2" t="s">
        <v>2391</v>
      </c>
      <c r="F1299" s="2" t="s">
        <v>14</v>
      </c>
      <c r="G1299" s="2" t="s">
        <v>22</v>
      </c>
      <c r="H1299" s="2">
        <v>36000000</v>
      </c>
      <c r="I1299" s="2">
        <v>6.2</v>
      </c>
      <c r="J1299" s="2">
        <f t="shared" si="10"/>
        <v>19500000</v>
      </c>
      <c r="K1299" s="2">
        <f t="shared" si="11"/>
        <v>-1.6125102525901172E-2</v>
      </c>
      <c r="L1299" s="2" t="str">
        <f>IF(ISNUMBER(SEARCH("|",IMDB_Movies!$D1299)),LEFT(IMDB_Movies!$D1299,SEARCH("|",IMDB_Movies!$D1299)-1),IMDB_Movies!$D1299)</f>
        <v>Action</v>
      </c>
      <c r="V1299" s="2"/>
      <c r="W1299" s="2"/>
    </row>
    <row r="1300" spans="1:23" ht="12.5" x14ac:dyDescent="0.25">
      <c r="A1300" s="2" t="s">
        <v>2392</v>
      </c>
      <c r="B1300" s="2">
        <v>101</v>
      </c>
      <c r="C1300" s="2">
        <v>50213619</v>
      </c>
      <c r="D1300" s="2" t="s">
        <v>1858</v>
      </c>
      <c r="E1300" s="2" t="s">
        <v>2393</v>
      </c>
      <c r="F1300" s="2" t="s">
        <v>14</v>
      </c>
      <c r="G1300" s="2" t="s">
        <v>15</v>
      </c>
      <c r="H1300" s="2">
        <v>36000000</v>
      </c>
      <c r="I1300" s="2">
        <v>6.4</v>
      </c>
      <c r="J1300" s="2">
        <f t="shared" si="10"/>
        <v>14213619</v>
      </c>
      <c r="K1300" s="2">
        <f t="shared" si="11"/>
        <v>-1.6137012367833114E-2</v>
      </c>
      <c r="L1300" s="2" t="str">
        <f>IF(ISNUMBER(SEARCH("|",IMDB_Movies!$D1300)),LEFT(IMDB_Movies!$D1300,SEARCH("|",IMDB_Movies!$D1300)-1),IMDB_Movies!$D1300)</f>
        <v>Comedy</v>
      </c>
      <c r="V1300" s="2"/>
      <c r="W1300" s="2"/>
    </row>
    <row r="1301" spans="1:23" ht="12.5" x14ac:dyDescent="0.25">
      <c r="A1301" s="2" t="s">
        <v>2382</v>
      </c>
      <c r="B1301" s="2">
        <v>107</v>
      </c>
      <c r="C1301" s="2">
        <v>42019483</v>
      </c>
      <c r="D1301" s="2" t="s">
        <v>2383</v>
      </c>
      <c r="E1301" s="2" t="s">
        <v>2394</v>
      </c>
      <c r="F1301" s="2" t="s">
        <v>14</v>
      </c>
      <c r="G1301" s="2" t="s">
        <v>15</v>
      </c>
      <c r="H1301" s="2">
        <v>36000000</v>
      </c>
      <c r="I1301" s="2">
        <v>6.4</v>
      </c>
      <c r="J1301" s="2">
        <f t="shared" si="10"/>
        <v>6019483</v>
      </c>
      <c r="K1301" s="2">
        <f t="shared" si="11"/>
        <v>-1.6146433707486883E-2</v>
      </c>
      <c r="L1301" s="2" t="str">
        <f>IF(ISNUMBER(SEARCH("|",IMDB_Movies!$D1301)),LEFT(IMDB_Movies!$D1301,SEARCH("|",IMDB_Movies!$D1301)-1),IMDB_Movies!$D1301)</f>
        <v>Drama</v>
      </c>
      <c r="V1301" s="2"/>
      <c r="W1301" s="2"/>
    </row>
    <row r="1302" spans="1:23" ht="12.5" x14ac:dyDescent="0.25">
      <c r="A1302" s="2" t="s">
        <v>1604</v>
      </c>
      <c r="B1302" s="2">
        <v>124</v>
      </c>
      <c r="C1302" s="2">
        <v>23360779</v>
      </c>
      <c r="D1302" s="2" t="s">
        <v>2395</v>
      </c>
      <c r="E1302" s="2" t="s">
        <v>2396</v>
      </c>
      <c r="F1302" s="2" t="s">
        <v>14</v>
      </c>
      <c r="G1302" s="2" t="s">
        <v>15</v>
      </c>
      <c r="H1302" s="2">
        <v>34000000</v>
      </c>
      <c r="I1302" s="2">
        <v>5.7</v>
      </c>
      <c r="J1302" s="2">
        <f t="shared" si="10"/>
        <v>-10639221</v>
      </c>
      <c r="K1302" s="2">
        <f t="shared" si="11"/>
        <v>-1.6152223650243193E-2</v>
      </c>
      <c r="L1302" s="2" t="str">
        <f>IF(ISNUMBER(SEARCH("|",IMDB_Movies!$D1302)),LEFT(IMDB_Movies!$D1302,SEARCH("|",IMDB_Movies!$D1302)-1),IMDB_Movies!$D1302)</f>
        <v>Action</v>
      </c>
      <c r="V1302" s="2"/>
      <c r="W1302" s="2"/>
    </row>
    <row r="1303" spans="1:23" ht="12.5" x14ac:dyDescent="0.25">
      <c r="A1303" s="2" t="s">
        <v>1067</v>
      </c>
      <c r="B1303" s="2">
        <v>109</v>
      </c>
      <c r="C1303" s="2">
        <v>26183197</v>
      </c>
      <c r="D1303" s="2" t="s">
        <v>177</v>
      </c>
      <c r="E1303" s="2" t="s">
        <v>2397</v>
      </c>
      <c r="F1303" s="2" t="s">
        <v>14</v>
      </c>
      <c r="G1303" s="2" t="s">
        <v>15</v>
      </c>
      <c r="H1303" s="2">
        <v>36000000</v>
      </c>
      <c r="I1303" s="2">
        <v>6.1</v>
      </c>
      <c r="J1303" s="2">
        <f t="shared" si="10"/>
        <v>-9816803</v>
      </c>
      <c r="K1303" s="2">
        <f t="shared" si="11"/>
        <v>-1.6151107049444773E-2</v>
      </c>
      <c r="L1303" s="2" t="str">
        <f>IF(ISNUMBER(SEARCH("|",IMDB_Movies!$D1303)),LEFT(IMDB_Movies!$D1303,SEARCH("|",IMDB_Movies!$D1303)-1),IMDB_Movies!$D1303)</f>
        <v>Action</v>
      </c>
      <c r="V1303" s="2"/>
      <c r="W1303" s="2"/>
    </row>
    <row r="1304" spans="1:23" ht="12.5" x14ac:dyDescent="0.25">
      <c r="A1304" s="2" t="s">
        <v>1158</v>
      </c>
      <c r="B1304" s="2">
        <v>105</v>
      </c>
      <c r="C1304" s="2">
        <v>20991497</v>
      </c>
      <c r="D1304" s="2" t="s">
        <v>514</v>
      </c>
      <c r="E1304" s="2" t="s">
        <v>2398</v>
      </c>
      <c r="F1304" s="2" t="s">
        <v>14</v>
      </c>
      <c r="G1304" s="2" t="s">
        <v>15</v>
      </c>
      <c r="H1304" s="2">
        <v>37000000</v>
      </c>
      <c r="I1304" s="2">
        <v>5.4</v>
      </c>
      <c r="J1304" s="2">
        <f t="shared" si="10"/>
        <v>-16008503</v>
      </c>
      <c r="K1304" s="2">
        <f t="shared" si="11"/>
        <v>-1.6150682922990555E-2</v>
      </c>
      <c r="L1304" s="2" t="str">
        <f>IF(ISNUMBER(SEARCH("|",IMDB_Movies!$D1304)),LEFT(IMDB_Movies!$D1304,SEARCH("|",IMDB_Movies!$D1304)-1),IMDB_Movies!$D1304)</f>
        <v>Comedy</v>
      </c>
      <c r="V1304" s="2"/>
      <c r="W1304" s="2"/>
    </row>
    <row r="1305" spans="1:23" ht="12.5" x14ac:dyDescent="0.25">
      <c r="A1305" s="2" t="s">
        <v>1340</v>
      </c>
      <c r="B1305" s="2">
        <v>130</v>
      </c>
      <c r="C1305" s="2">
        <v>13052741</v>
      </c>
      <c r="D1305" s="2" t="s">
        <v>2182</v>
      </c>
      <c r="E1305" s="2" t="s">
        <v>2399</v>
      </c>
      <c r="F1305" s="2" t="s">
        <v>14</v>
      </c>
      <c r="G1305" s="2" t="s">
        <v>15</v>
      </c>
      <c r="H1305" s="2">
        <v>36000000</v>
      </c>
      <c r="I1305" s="2">
        <v>6.7</v>
      </c>
      <c r="J1305" s="2">
        <f t="shared" si="10"/>
        <v>-22947259</v>
      </c>
      <c r="K1305" s="2">
        <f t="shared" si="11"/>
        <v>-1.6148213342001158E-2</v>
      </c>
      <c r="L1305" s="2" t="str">
        <f>IF(ISNUMBER(SEARCH("|",IMDB_Movies!$D1305)),LEFT(IMDB_Movies!$D1305,SEARCH("|",IMDB_Movies!$D1305)-1),IMDB_Movies!$D1305)</f>
        <v>Drama</v>
      </c>
      <c r="V1305" s="2"/>
      <c r="W1305" s="2"/>
    </row>
    <row r="1306" spans="1:23" ht="12.5" x14ac:dyDescent="0.25">
      <c r="A1306" s="2" t="s">
        <v>2400</v>
      </c>
      <c r="B1306" s="2">
        <v>127</v>
      </c>
      <c r="C1306" s="2">
        <v>14378353</v>
      </c>
      <c r="D1306" s="2" t="s">
        <v>1137</v>
      </c>
      <c r="E1306" s="2" t="s">
        <v>2401</v>
      </c>
      <c r="F1306" s="2" t="s">
        <v>14</v>
      </c>
      <c r="G1306" s="2" t="s">
        <v>15</v>
      </c>
      <c r="H1306" s="2">
        <v>36000000</v>
      </c>
      <c r="I1306" s="2">
        <v>6.8</v>
      </c>
      <c r="J1306" s="2">
        <f t="shared" si="10"/>
        <v>-21621647</v>
      </c>
      <c r="K1306" s="2">
        <f t="shared" si="11"/>
        <v>-1.6143445736164313E-2</v>
      </c>
      <c r="L1306" s="2" t="str">
        <f>IF(ISNUMBER(SEARCH("|",IMDB_Movies!$D1306)),LEFT(IMDB_Movies!$D1306,SEARCH("|",IMDB_Movies!$D1306)-1),IMDB_Movies!$D1306)</f>
        <v>Drama</v>
      </c>
      <c r="V1306" s="2"/>
      <c r="W1306" s="2"/>
    </row>
    <row r="1307" spans="1:23" ht="12.5" x14ac:dyDescent="0.25">
      <c r="A1307" s="2" t="s">
        <v>1221</v>
      </c>
      <c r="B1307" s="2">
        <v>114</v>
      </c>
      <c r="C1307" s="2">
        <v>33037754</v>
      </c>
      <c r="D1307" s="2" t="s">
        <v>2061</v>
      </c>
      <c r="E1307" s="2" t="s">
        <v>2402</v>
      </c>
      <c r="F1307" s="2" t="s">
        <v>14</v>
      </c>
      <c r="G1307" s="2" t="s">
        <v>15</v>
      </c>
      <c r="H1307" s="2">
        <v>37000000</v>
      </c>
      <c r="I1307" s="2">
        <v>6</v>
      </c>
      <c r="J1307" s="2">
        <f t="shared" si="10"/>
        <v>-3962246</v>
      </c>
      <c r="K1307" s="2">
        <f t="shared" si="11"/>
        <v>-1.6139078904602297E-2</v>
      </c>
      <c r="L1307" s="2" t="str">
        <f>IF(ISNUMBER(SEARCH("|",IMDB_Movies!$D1307)),LEFT(IMDB_Movies!$D1307,SEARCH("|",IMDB_Movies!$D1307)-1),IMDB_Movies!$D1307)</f>
        <v>Drama</v>
      </c>
      <c r="V1307" s="2"/>
      <c r="W1307" s="2"/>
    </row>
    <row r="1308" spans="1:23" ht="12.5" x14ac:dyDescent="0.25">
      <c r="A1308" s="2" t="s">
        <v>1813</v>
      </c>
      <c r="B1308" s="2">
        <v>106</v>
      </c>
      <c r="C1308" s="2">
        <v>12339633</v>
      </c>
      <c r="D1308" s="2" t="s">
        <v>942</v>
      </c>
      <c r="E1308" s="2" t="s">
        <v>2403</v>
      </c>
      <c r="F1308" s="2" t="s">
        <v>14</v>
      </c>
      <c r="G1308" s="2" t="s">
        <v>15</v>
      </c>
      <c r="H1308" s="2">
        <v>36000000</v>
      </c>
      <c r="I1308" s="2">
        <v>7.8</v>
      </c>
      <c r="J1308" s="2">
        <f t="shared" si="10"/>
        <v>-23660367</v>
      </c>
      <c r="K1308" s="2">
        <f t="shared" si="11"/>
        <v>-1.6141427255661728E-2</v>
      </c>
      <c r="L1308" s="2" t="str">
        <f>IF(ISNUMBER(SEARCH("|",IMDB_Movies!$D1308)),LEFT(IMDB_Movies!$D1308,SEARCH("|",IMDB_Movies!$D1308)-1),IMDB_Movies!$D1308)</f>
        <v>Drama</v>
      </c>
      <c r="V1308" s="2"/>
      <c r="W1308" s="2"/>
    </row>
    <row r="1309" spans="1:23" ht="12.5" x14ac:dyDescent="0.25">
      <c r="A1309" s="2" t="s">
        <v>1801</v>
      </c>
      <c r="B1309" s="2">
        <v>95</v>
      </c>
      <c r="C1309" s="2">
        <v>2954405</v>
      </c>
      <c r="D1309" s="2" t="s">
        <v>2404</v>
      </c>
      <c r="E1309" s="2" t="s">
        <v>2405</v>
      </c>
      <c r="F1309" s="2" t="s">
        <v>14</v>
      </c>
      <c r="G1309" s="2" t="s">
        <v>15</v>
      </c>
      <c r="H1309" s="2">
        <v>36000000</v>
      </c>
      <c r="I1309" s="2">
        <v>5.3</v>
      </c>
      <c r="J1309" s="2">
        <f t="shared" si="10"/>
        <v>-33045595</v>
      </c>
      <c r="K1309" s="2">
        <f t="shared" si="11"/>
        <v>-1.6136435171241574E-2</v>
      </c>
      <c r="L1309" s="2" t="str">
        <f>IF(ISNUMBER(SEARCH("|",IMDB_Movies!$D1309)),LEFT(IMDB_Movies!$D1309,SEARCH("|",IMDB_Movies!$D1309)-1),IMDB_Movies!$D1309)</f>
        <v>Biography</v>
      </c>
      <c r="V1309" s="2"/>
      <c r="W1309" s="2"/>
    </row>
    <row r="1310" spans="1:23" ht="12.5" x14ac:dyDescent="0.25">
      <c r="A1310" s="2" t="s">
        <v>527</v>
      </c>
      <c r="B1310" s="2">
        <v>81</v>
      </c>
      <c r="C1310" s="2">
        <v>30105968</v>
      </c>
      <c r="D1310" s="2" t="s">
        <v>238</v>
      </c>
      <c r="E1310" s="2" t="s">
        <v>2406</v>
      </c>
      <c r="F1310" s="2" t="s">
        <v>14</v>
      </c>
      <c r="G1310" s="2" t="s">
        <v>15</v>
      </c>
      <c r="H1310" s="2">
        <v>37000000</v>
      </c>
      <c r="I1310" s="2">
        <v>4.5</v>
      </c>
      <c r="J1310" s="2">
        <f t="shared" si="10"/>
        <v>-6894032</v>
      </c>
      <c r="K1310" s="2">
        <f t="shared" si="11"/>
        <v>-1.6128813008032723E-2</v>
      </c>
      <c r="L1310" s="2" t="str">
        <f>IF(ISNUMBER(SEARCH("|",IMDB_Movies!$D1310)),LEFT(IMDB_Movies!$D1310,SEARCH("|",IMDB_Movies!$D1310)-1),IMDB_Movies!$D1310)</f>
        <v>Adventure</v>
      </c>
      <c r="V1310" s="2"/>
      <c r="W1310" s="2"/>
    </row>
    <row r="1311" spans="1:23" ht="12.5" x14ac:dyDescent="0.25">
      <c r="A1311" s="2" t="s">
        <v>2407</v>
      </c>
      <c r="B1311" s="2">
        <v>95</v>
      </c>
      <c r="C1311" s="2">
        <v>37788228</v>
      </c>
      <c r="D1311" s="2" t="s">
        <v>709</v>
      </c>
      <c r="E1311" s="2" t="s">
        <v>2408</v>
      </c>
      <c r="F1311" s="2" t="s">
        <v>14</v>
      </c>
      <c r="G1311" s="2" t="s">
        <v>15</v>
      </c>
      <c r="H1311" s="2">
        <v>35200000</v>
      </c>
      <c r="I1311" s="2">
        <v>5.4</v>
      </c>
      <c r="J1311" s="2">
        <f t="shared" si="10"/>
        <v>2588228</v>
      </c>
      <c r="K1311" s="2">
        <f t="shared" si="11"/>
        <v>-1.6129924985157775E-2</v>
      </c>
      <c r="L1311" s="2" t="str">
        <f>IF(ISNUMBER(SEARCH("|",IMDB_Movies!$D1311)),LEFT(IMDB_Movies!$D1311,SEARCH("|",IMDB_Movies!$D1311)-1),IMDB_Movies!$D1311)</f>
        <v>Comedy</v>
      </c>
      <c r="V1311" s="2"/>
      <c r="W1311" s="2"/>
    </row>
    <row r="1312" spans="1:23" ht="12.5" x14ac:dyDescent="0.25">
      <c r="A1312" s="2" t="s">
        <v>897</v>
      </c>
      <c r="B1312" s="2">
        <v>108</v>
      </c>
      <c r="C1312" s="2">
        <v>277313371</v>
      </c>
      <c r="D1312" s="2" t="s">
        <v>709</v>
      </c>
      <c r="E1312" s="2" t="s">
        <v>2409</v>
      </c>
      <c r="F1312" s="2" t="s">
        <v>14</v>
      </c>
      <c r="G1312" s="2" t="s">
        <v>15</v>
      </c>
      <c r="H1312" s="2">
        <v>35000000</v>
      </c>
      <c r="I1312" s="2">
        <v>7.8</v>
      </c>
      <c r="J1312" s="2">
        <f t="shared" si="10"/>
        <v>242313371</v>
      </c>
      <c r="K1312" s="2">
        <f t="shared" si="11"/>
        <v>-1.6133640204799789E-2</v>
      </c>
      <c r="L1312" s="2" t="str">
        <f>IF(ISNUMBER(SEARCH("|",IMDB_Movies!$D1312)),LEFT(IMDB_Movies!$D1312,SEARCH("|",IMDB_Movies!$D1312)-1),IMDB_Movies!$D1312)</f>
        <v>Comedy</v>
      </c>
      <c r="V1312" s="2"/>
      <c r="W1312" s="2"/>
    </row>
    <row r="1313" spans="1:23" ht="12.5" x14ac:dyDescent="0.25">
      <c r="A1313" s="2" t="s">
        <v>2410</v>
      </c>
      <c r="B1313" s="2">
        <v>105</v>
      </c>
      <c r="C1313" s="2">
        <v>2126511</v>
      </c>
      <c r="D1313" s="2" t="s">
        <v>2411</v>
      </c>
      <c r="E1313" s="2" t="s">
        <v>2412</v>
      </c>
      <c r="F1313" s="2" t="s">
        <v>2413</v>
      </c>
      <c r="G1313" s="2" t="s">
        <v>1329</v>
      </c>
      <c r="H1313" s="2">
        <v>36000000</v>
      </c>
      <c r="I1313" s="2">
        <v>7.2</v>
      </c>
      <c r="J1313" s="2">
        <f t="shared" si="10"/>
        <v>-33873489</v>
      </c>
      <c r="K1313" s="2">
        <f t="shared" si="11"/>
        <v>-1.6352289140578135E-2</v>
      </c>
      <c r="L1313" s="2" t="str">
        <f>IF(ISNUMBER(SEARCH("|",IMDB_Movies!$D1313)),LEFT(IMDB_Movies!$D1313,SEARCH("|",IMDB_Movies!$D1313)-1),IMDB_Movies!$D1313)</f>
        <v>Action</v>
      </c>
      <c r="V1313" s="2"/>
      <c r="W1313" s="2"/>
    </row>
    <row r="1314" spans="1:23" ht="12.5" x14ac:dyDescent="0.25">
      <c r="A1314" s="2" t="s">
        <v>708</v>
      </c>
      <c r="B1314" s="2">
        <v>95</v>
      </c>
      <c r="C1314" s="2">
        <v>205399422</v>
      </c>
      <c r="D1314" s="2" t="s">
        <v>498</v>
      </c>
      <c r="E1314" s="2" t="s">
        <v>2414</v>
      </c>
      <c r="F1314" s="2" t="s">
        <v>14</v>
      </c>
      <c r="G1314" s="2" t="s">
        <v>15</v>
      </c>
      <c r="H1314" s="2">
        <v>33000000</v>
      </c>
      <c r="I1314" s="2">
        <v>6.6</v>
      </c>
      <c r="J1314" s="2">
        <f t="shared" si="10"/>
        <v>172399422</v>
      </c>
      <c r="K1314" s="2">
        <f t="shared" si="11"/>
        <v>-1.6344427214538767E-2</v>
      </c>
      <c r="L1314" s="2" t="str">
        <f>IF(ISNUMBER(SEARCH("|",IMDB_Movies!$D1314)),LEFT(IMDB_Movies!$D1314,SEARCH("|",IMDB_Movies!$D1314)-1),IMDB_Movies!$D1314)</f>
        <v>Action</v>
      </c>
      <c r="V1314" s="2"/>
      <c r="W1314" s="2"/>
    </row>
    <row r="1315" spans="1:23" ht="12.5" x14ac:dyDescent="0.25">
      <c r="A1315" s="2" t="s">
        <v>99</v>
      </c>
      <c r="B1315" s="2">
        <v>126</v>
      </c>
      <c r="C1315" s="2">
        <v>251188924</v>
      </c>
      <c r="D1315" s="2" t="s">
        <v>55</v>
      </c>
      <c r="E1315" s="2" t="s">
        <v>2415</v>
      </c>
      <c r="F1315" s="2" t="s">
        <v>14</v>
      </c>
      <c r="G1315" s="2" t="s">
        <v>15</v>
      </c>
      <c r="H1315" s="2">
        <v>35000000</v>
      </c>
      <c r="I1315" s="2">
        <v>7.6</v>
      </c>
      <c r="J1315" s="2">
        <f t="shared" si="10"/>
        <v>216188924</v>
      </c>
      <c r="K1315" s="2">
        <f t="shared" si="11"/>
        <v>-1.6460685826283447E-2</v>
      </c>
      <c r="L1315" s="2" t="str">
        <f>IF(ISNUMBER(SEARCH("|",IMDB_Movies!$D1315)),LEFT(IMDB_Movies!$D1315,SEARCH("|",IMDB_Movies!$D1315)-1),IMDB_Movies!$D1315)</f>
        <v>Action</v>
      </c>
      <c r="V1315" s="2"/>
      <c r="W1315" s="2"/>
    </row>
    <row r="1316" spans="1:23" ht="12.5" x14ac:dyDescent="0.25">
      <c r="A1316" s="2" t="s">
        <v>1844</v>
      </c>
      <c r="B1316" s="2">
        <v>102</v>
      </c>
      <c r="C1316" s="2">
        <v>1068392</v>
      </c>
      <c r="D1316" s="2" t="s">
        <v>2416</v>
      </c>
      <c r="E1316" s="2" t="s">
        <v>2417</v>
      </c>
      <c r="F1316" s="2" t="s">
        <v>14</v>
      </c>
      <c r="G1316" s="2" t="s">
        <v>1239</v>
      </c>
      <c r="H1316" s="2">
        <v>36000000</v>
      </c>
      <c r="I1316" s="2">
        <v>5.9</v>
      </c>
      <c r="J1316" s="2">
        <f t="shared" si="10"/>
        <v>-34931608</v>
      </c>
      <c r="K1316" s="2">
        <f t="shared" si="11"/>
        <v>-1.6649734034313954E-2</v>
      </c>
      <c r="L1316" s="2" t="str">
        <f>IF(ISNUMBER(SEARCH("|",IMDB_Movies!$D1316)),LEFT(IMDB_Movies!$D1316,SEARCH("|",IMDB_Movies!$D1316)-1),IMDB_Movies!$D1316)</f>
        <v>Biography</v>
      </c>
      <c r="V1316" s="2"/>
      <c r="W1316" s="2"/>
    </row>
    <row r="1317" spans="1:23" ht="12.5" x14ac:dyDescent="0.25">
      <c r="A1317" s="2" t="s">
        <v>391</v>
      </c>
      <c r="B1317" s="2">
        <v>121</v>
      </c>
      <c r="C1317" s="2">
        <v>144731527</v>
      </c>
      <c r="D1317" s="2" t="s">
        <v>125</v>
      </c>
      <c r="E1317" s="2" t="s">
        <v>2418</v>
      </c>
      <c r="F1317" s="2" t="s">
        <v>14</v>
      </c>
      <c r="G1317" s="2" t="s">
        <v>15</v>
      </c>
      <c r="H1317" s="2">
        <v>35000000</v>
      </c>
      <c r="I1317" s="2">
        <v>6.7</v>
      </c>
      <c r="J1317" s="2">
        <f t="shared" si="10"/>
        <v>109731527</v>
      </c>
      <c r="K1317" s="2">
        <f t="shared" si="11"/>
        <v>-1.664158446637078E-2</v>
      </c>
      <c r="L1317" s="2" t="str">
        <f>IF(ISNUMBER(SEARCH("|",IMDB_Movies!$D1317)),LEFT(IMDB_Movies!$D1317,SEARCH("|",IMDB_Movies!$D1317)-1),IMDB_Movies!$D1317)</f>
        <v>Action</v>
      </c>
      <c r="V1317" s="2"/>
      <c r="W1317" s="2"/>
    </row>
    <row r="1318" spans="1:23" ht="12.5" x14ac:dyDescent="0.25">
      <c r="A1318" s="2" t="s">
        <v>739</v>
      </c>
      <c r="B1318" s="2">
        <v>129</v>
      </c>
      <c r="C1318" s="2">
        <v>255950375</v>
      </c>
      <c r="D1318" s="2" t="s">
        <v>585</v>
      </c>
      <c r="E1318" s="2" t="s">
        <v>2419</v>
      </c>
      <c r="F1318" s="2" t="s">
        <v>14</v>
      </c>
      <c r="G1318" s="2" t="s">
        <v>15</v>
      </c>
      <c r="H1318" s="2">
        <v>29000000</v>
      </c>
      <c r="I1318" s="2">
        <v>7.7</v>
      </c>
      <c r="J1318" s="2">
        <f t="shared" si="10"/>
        <v>226950375</v>
      </c>
      <c r="K1318" s="2">
        <f t="shared" si="11"/>
        <v>-1.6713032778566728E-2</v>
      </c>
      <c r="L1318" s="2" t="str">
        <f>IF(ISNUMBER(SEARCH("|",IMDB_Movies!$D1318)),LEFT(IMDB_Movies!$D1318,SEARCH("|",IMDB_Movies!$D1318)-1),IMDB_Movies!$D1318)</f>
        <v>Biography</v>
      </c>
      <c r="V1318" s="2"/>
      <c r="W1318" s="2"/>
    </row>
    <row r="1319" spans="1:23" ht="12.5" x14ac:dyDescent="0.25">
      <c r="A1319" s="2" t="s">
        <v>1666</v>
      </c>
      <c r="B1319" s="2">
        <v>88</v>
      </c>
      <c r="C1319" s="2">
        <v>112692062</v>
      </c>
      <c r="D1319" s="2" t="s">
        <v>1053</v>
      </c>
      <c r="E1319" s="2" t="s">
        <v>2420</v>
      </c>
      <c r="F1319" s="2" t="s">
        <v>14</v>
      </c>
      <c r="G1319" s="2" t="s">
        <v>15</v>
      </c>
      <c r="H1319" s="2">
        <v>35000000</v>
      </c>
      <c r="I1319" s="2">
        <v>5.4</v>
      </c>
      <c r="J1319" s="2">
        <f t="shared" si="10"/>
        <v>77692062</v>
      </c>
      <c r="K1319" s="2">
        <f t="shared" si="11"/>
        <v>-1.6860170977915936E-2</v>
      </c>
      <c r="L1319" s="2" t="str">
        <f>IF(ISNUMBER(SEARCH("|",IMDB_Movies!$D1319)),LEFT(IMDB_Movies!$D1319,SEARCH("|",IMDB_Movies!$D1319)-1),IMDB_Movies!$D1319)</f>
        <v>Action</v>
      </c>
      <c r="V1319" s="2"/>
      <c r="W1319" s="2"/>
    </row>
    <row r="1320" spans="1:23" ht="12.5" x14ac:dyDescent="0.25">
      <c r="A1320" s="2" t="s">
        <v>914</v>
      </c>
      <c r="B1320" s="2">
        <v>106</v>
      </c>
      <c r="C1320" s="2">
        <v>117528646</v>
      </c>
      <c r="D1320" s="2" t="s">
        <v>375</v>
      </c>
      <c r="E1320" s="2" t="s">
        <v>2421</v>
      </c>
      <c r="F1320" s="2" t="s">
        <v>14</v>
      </c>
      <c r="G1320" s="2" t="s">
        <v>15</v>
      </c>
      <c r="H1320" s="2">
        <v>35000000</v>
      </c>
      <c r="I1320" s="2">
        <v>6.9</v>
      </c>
      <c r="J1320" s="2">
        <f t="shared" si="10"/>
        <v>82528646</v>
      </c>
      <c r="K1320" s="2">
        <f t="shared" si="11"/>
        <v>-1.6906685370278327E-2</v>
      </c>
      <c r="L1320" s="2" t="str">
        <f>IF(ISNUMBER(SEARCH("|",IMDB_Movies!$D1320)),LEFT(IMDB_Movies!$D1320,SEARCH("|",IMDB_Movies!$D1320)-1),IMDB_Movies!$D1320)</f>
        <v>Comedy</v>
      </c>
      <c r="V1320" s="2"/>
      <c r="W1320" s="2"/>
    </row>
    <row r="1321" spans="1:23" ht="12.5" x14ac:dyDescent="0.25">
      <c r="A1321" s="2" t="s">
        <v>2371</v>
      </c>
      <c r="B1321" s="2">
        <v>110</v>
      </c>
      <c r="C1321" s="2">
        <v>171031347</v>
      </c>
      <c r="D1321" s="2" t="s">
        <v>2030</v>
      </c>
      <c r="E1321" s="2" t="s">
        <v>2422</v>
      </c>
      <c r="F1321" s="2" t="s">
        <v>14</v>
      </c>
      <c r="G1321" s="2" t="s">
        <v>15</v>
      </c>
      <c r="H1321" s="2">
        <v>38000000</v>
      </c>
      <c r="I1321" s="2">
        <v>7.7</v>
      </c>
      <c r="J1321" s="2">
        <f t="shared" si="10"/>
        <v>133031347</v>
      </c>
      <c r="K1321" s="2">
        <f t="shared" si="11"/>
        <v>-1.695704393665395E-2</v>
      </c>
      <c r="L1321" s="2" t="str">
        <f>IF(ISNUMBER(SEARCH("|",IMDB_Movies!$D1321)),LEFT(IMDB_Movies!$D1321,SEARCH("|",IMDB_Movies!$D1321)-1),IMDB_Movies!$D1321)</f>
        <v>Adventure</v>
      </c>
      <c r="V1321" s="2"/>
      <c r="W1321" s="2"/>
    </row>
    <row r="1322" spans="1:23" ht="12.5" x14ac:dyDescent="0.25">
      <c r="A1322" s="2" t="s">
        <v>1356</v>
      </c>
      <c r="B1322" s="2">
        <v>109</v>
      </c>
      <c r="C1322" s="2">
        <v>124732962</v>
      </c>
      <c r="D1322" s="2" t="s">
        <v>514</v>
      </c>
      <c r="E1322" s="2" t="s">
        <v>2423</v>
      </c>
      <c r="F1322" s="2" t="s">
        <v>14</v>
      </c>
      <c r="G1322" s="2" t="s">
        <v>15</v>
      </c>
      <c r="H1322" s="2">
        <v>35000000</v>
      </c>
      <c r="I1322" s="2">
        <v>6.8</v>
      </c>
      <c r="J1322" s="2">
        <f t="shared" si="10"/>
        <v>89732962</v>
      </c>
      <c r="K1322" s="2">
        <f t="shared" si="11"/>
        <v>-1.7073181696882336E-2</v>
      </c>
      <c r="L1322" s="2" t="str">
        <f>IF(ISNUMBER(SEARCH("|",IMDB_Movies!$D1322)),LEFT(IMDB_Movies!$D1322,SEARCH("|",IMDB_Movies!$D1322)-1),IMDB_Movies!$D1322)</f>
        <v>Comedy</v>
      </c>
      <c r="V1322" s="2"/>
      <c r="W1322" s="2"/>
    </row>
    <row r="1323" spans="1:23" ht="12.5" x14ac:dyDescent="0.25">
      <c r="A1323" s="2" t="s">
        <v>2424</v>
      </c>
      <c r="B1323" s="2">
        <v>143</v>
      </c>
      <c r="C1323" s="2">
        <v>82300000</v>
      </c>
      <c r="D1323" s="2" t="s">
        <v>500</v>
      </c>
      <c r="E1323" s="2" t="s">
        <v>2425</v>
      </c>
      <c r="F1323" s="2" t="s">
        <v>14</v>
      </c>
      <c r="G1323" s="2" t="s">
        <v>15</v>
      </c>
      <c r="H1323" s="2">
        <v>35000000</v>
      </c>
      <c r="I1323" s="2">
        <v>6.4</v>
      </c>
      <c r="J1323" s="2">
        <f t="shared" si="10"/>
        <v>47300000</v>
      </c>
      <c r="K1323" s="2">
        <f t="shared" si="11"/>
        <v>-1.7129914532195721E-2</v>
      </c>
      <c r="L1323" s="2" t="str">
        <f>IF(ISNUMBER(SEARCH("|",IMDB_Movies!$D1323)),LEFT(IMDB_Movies!$D1323,SEARCH("|",IMDB_Movies!$D1323)-1),IMDB_Movies!$D1323)</f>
        <v>Adventure</v>
      </c>
      <c r="V1323" s="2"/>
      <c r="W1323" s="2"/>
    </row>
    <row r="1324" spans="1:23" ht="12.5" x14ac:dyDescent="0.25">
      <c r="A1324" s="2" t="s">
        <v>914</v>
      </c>
      <c r="B1324" s="2">
        <v>120</v>
      </c>
      <c r="C1324" s="2">
        <v>134455175</v>
      </c>
      <c r="D1324" s="2" t="s">
        <v>375</v>
      </c>
      <c r="E1324" s="2" t="s">
        <v>2426</v>
      </c>
      <c r="F1324" s="2" t="s">
        <v>14</v>
      </c>
      <c r="G1324" s="2" t="s">
        <v>15</v>
      </c>
      <c r="H1324" s="2">
        <v>35000000</v>
      </c>
      <c r="I1324" s="2">
        <v>5.7</v>
      </c>
      <c r="J1324" s="2">
        <f t="shared" si="10"/>
        <v>99455175</v>
      </c>
      <c r="K1324" s="2">
        <f t="shared" si="11"/>
        <v>-1.7156375013003461E-2</v>
      </c>
      <c r="L1324" s="2" t="str">
        <f>IF(ISNUMBER(SEARCH("|",IMDB_Movies!$D1324)),LEFT(IMDB_Movies!$D1324,SEARCH("|",IMDB_Movies!$D1324)-1),IMDB_Movies!$D1324)</f>
        <v>Comedy</v>
      </c>
      <c r="V1324" s="2"/>
      <c r="W1324" s="2"/>
    </row>
    <row r="1325" spans="1:23" ht="12.5" x14ac:dyDescent="0.25">
      <c r="A1325" s="2" t="s">
        <v>191</v>
      </c>
      <c r="B1325" s="2">
        <v>128</v>
      </c>
      <c r="C1325" s="2">
        <v>79100000</v>
      </c>
      <c r="D1325" s="2" t="s">
        <v>550</v>
      </c>
      <c r="E1325" s="2" t="s">
        <v>2427</v>
      </c>
      <c r="F1325" s="2" t="s">
        <v>14</v>
      </c>
      <c r="G1325" s="2" t="s">
        <v>15</v>
      </c>
      <c r="H1325" s="2">
        <v>35000000</v>
      </c>
      <c r="I1325" s="2">
        <v>7.3</v>
      </c>
      <c r="J1325" s="2">
        <f t="shared" si="10"/>
        <v>44100000</v>
      </c>
      <c r="K1325" s="2">
        <f t="shared" si="11"/>
        <v>-1.7221715376099227E-2</v>
      </c>
      <c r="L1325" s="2" t="str">
        <f>IF(ISNUMBER(SEARCH("|",IMDB_Movies!$D1325)),LEFT(IMDB_Movies!$D1325,SEARCH("|",IMDB_Movies!$D1325)-1),IMDB_Movies!$D1325)</f>
        <v>Crime</v>
      </c>
      <c r="V1325" s="2"/>
      <c r="W1325" s="2"/>
    </row>
    <row r="1326" spans="1:23" ht="12.5" x14ac:dyDescent="0.25">
      <c r="A1326" s="2" t="s">
        <v>1073</v>
      </c>
      <c r="B1326" s="2">
        <v>123</v>
      </c>
      <c r="C1326" s="2">
        <v>81159365</v>
      </c>
      <c r="D1326" s="2" t="s">
        <v>763</v>
      </c>
      <c r="E1326" s="2" t="s">
        <v>2428</v>
      </c>
      <c r="F1326" s="2" t="s">
        <v>14</v>
      </c>
      <c r="G1326" s="2" t="s">
        <v>15</v>
      </c>
      <c r="H1326" s="2">
        <v>35000000</v>
      </c>
      <c r="I1326" s="2">
        <v>6.8</v>
      </c>
      <c r="J1326" s="2">
        <f t="shared" si="10"/>
        <v>46159365</v>
      </c>
      <c r="K1326" s="2">
        <f t="shared" si="11"/>
        <v>-1.7246393625887608E-2</v>
      </c>
      <c r="L1326" s="2" t="str">
        <f>IF(ISNUMBER(SEARCH("|",IMDB_Movies!$D1326)),LEFT(IMDB_Movies!$D1326,SEARCH("|",IMDB_Movies!$D1326)-1),IMDB_Movies!$D1326)</f>
        <v>Crime</v>
      </c>
      <c r="V1326" s="2"/>
      <c r="W1326" s="2"/>
    </row>
    <row r="1327" spans="1:23" ht="12.5" x14ac:dyDescent="0.25">
      <c r="A1327" s="2" t="s">
        <v>1117</v>
      </c>
      <c r="B1327" s="2">
        <v>129</v>
      </c>
      <c r="C1327" s="2">
        <v>110008260</v>
      </c>
      <c r="D1327" s="2" t="s">
        <v>600</v>
      </c>
      <c r="E1327" s="2" t="s">
        <v>2429</v>
      </c>
      <c r="F1327" s="2" t="s">
        <v>14</v>
      </c>
      <c r="G1327" s="2" t="s">
        <v>1032</v>
      </c>
      <c r="H1327" s="2">
        <v>35000000</v>
      </c>
      <c r="I1327" s="2">
        <v>6.3</v>
      </c>
      <c r="J1327" s="2">
        <f t="shared" si="10"/>
        <v>75008260</v>
      </c>
      <c r="K1327" s="2">
        <f t="shared" si="11"/>
        <v>-1.7272365783972052E-2</v>
      </c>
      <c r="L1327" s="2" t="str">
        <f>IF(ISNUMBER(SEARCH("|",IMDB_Movies!$D1327)),LEFT(IMDB_Movies!$D1327,SEARCH("|",IMDB_Movies!$D1327)-1),IMDB_Movies!$D1327)</f>
        <v>Comedy</v>
      </c>
      <c r="V1327" s="2"/>
      <c r="W1327" s="2"/>
    </row>
    <row r="1328" spans="1:23" ht="12.5" x14ac:dyDescent="0.25">
      <c r="A1328" s="2" t="s">
        <v>2430</v>
      </c>
      <c r="B1328" s="2">
        <v>105</v>
      </c>
      <c r="C1328" s="2">
        <v>67962333</v>
      </c>
      <c r="D1328" s="2" t="s">
        <v>600</v>
      </c>
      <c r="E1328" s="2" t="s">
        <v>2431</v>
      </c>
      <c r="F1328" s="2" t="s">
        <v>14</v>
      </c>
      <c r="G1328" s="2" t="s">
        <v>15</v>
      </c>
      <c r="H1328" s="2">
        <v>35000000</v>
      </c>
      <c r="I1328" s="2">
        <v>5.9</v>
      </c>
      <c r="J1328" s="2">
        <f t="shared" si="10"/>
        <v>32962333</v>
      </c>
      <c r="K1328" s="2">
        <f t="shared" si="11"/>
        <v>-1.7318187588700396E-2</v>
      </c>
      <c r="L1328" s="2" t="str">
        <f>IF(ISNUMBER(SEARCH("|",IMDB_Movies!$D1328)),LEFT(IMDB_Movies!$D1328,SEARCH("|",IMDB_Movies!$D1328)-1),IMDB_Movies!$D1328)</f>
        <v>Comedy</v>
      </c>
      <c r="V1328" s="2"/>
      <c r="W1328" s="2"/>
    </row>
    <row r="1329" spans="1:23" ht="12.5" x14ac:dyDescent="0.25">
      <c r="A1329" s="2" t="s">
        <v>926</v>
      </c>
      <c r="B1329" s="2">
        <v>162</v>
      </c>
      <c r="C1329" s="2">
        <v>78651430</v>
      </c>
      <c r="D1329" s="2" t="s">
        <v>2432</v>
      </c>
      <c r="E1329" s="2" t="s">
        <v>2433</v>
      </c>
      <c r="F1329" s="2" t="s">
        <v>14</v>
      </c>
      <c r="G1329" s="2" t="s">
        <v>15</v>
      </c>
      <c r="H1329" s="2">
        <v>27000000</v>
      </c>
      <c r="I1329" s="2">
        <v>7.4</v>
      </c>
      <c r="J1329" s="2">
        <f t="shared" si="10"/>
        <v>51651430</v>
      </c>
      <c r="K1329" s="2">
        <f t="shared" si="11"/>
        <v>-1.7336597935338895E-2</v>
      </c>
      <c r="L1329" s="2" t="str">
        <f>IF(ISNUMBER(SEARCH("|",IMDB_Movies!$D1329)),LEFT(IMDB_Movies!$D1329,SEARCH("|",IMDB_Movies!$D1329)-1),IMDB_Movies!$D1329)</f>
        <v>Drama</v>
      </c>
      <c r="V1329" s="2"/>
      <c r="W1329" s="2"/>
    </row>
    <row r="1330" spans="1:23" ht="12.5" x14ac:dyDescent="0.25">
      <c r="A1330" s="2" t="s">
        <v>1671</v>
      </c>
      <c r="B1330" s="2">
        <v>138</v>
      </c>
      <c r="C1330" s="2">
        <v>64604977</v>
      </c>
      <c r="D1330" s="2" t="s">
        <v>770</v>
      </c>
      <c r="E1330" s="2" t="s">
        <v>2434</v>
      </c>
      <c r="F1330" s="2" t="s">
        <v>14</v>
      </c>
      <c r="G1330" s="2" t="s">
        <v>15</v>
      </c>
      <c r="H1330" s="2">
        <v>35000000</v>
      </c>
      <c r="I1330" s="2">
        <v>8.3000000000000007</v>
      </c>
      <c r="J1330" s="2">
        <f t="shared" si="10"/>
        <v>29604977</v>
      </c>
      <c r="K1330" s="2">
        <f t="shared" si="11"/>
        <v>-1.7344820482427081E-2</v>
      </c>
      <c r="L1330" s="2" t="str">
        <f>IF(ISNUMBER(SEARCH("|",IMDB_Movies!$D1330)),LEFT(IMDB_Movies!$D1330,SEARCH("|",IMDB_Movies!$D1330)-1),IMDB_Movies!$D1330)</f>
        <v>Crime</v>
      </c>
      <c r="V1330" s="2"/>
      <c r="W1330" s="2"/>
    </row>
    <row r="1331" spans="1:23" ht="12.5" x14ac:dyDescent="0.25">
      <c r="A1331" s="2" t="s">
        <v>229</v>
      </c>
      <c r="B1331" s="2">
        <v>100</v>
      </c>
      <c r="C1331" s="2">
        <v>63939454</v>
      </c>
      <c r="D1331" s="2" t="s">
        <v>2435</v>
      </c>
      <c r="E1331" s="2" t="s">
        <v>2436</v>
      </c>
      <c r="F1331" s="2" t="s">
        <v>14</v>
      </c>
      <c r="G1331" s="2" t="s">
        <v>15</v>
      </c>
      <c r="H1331" s="2">
        <v>35000000</v>
      </c>
      <c r="I1331" s="2">
        <v>6.2</v>
      </c>
      <c r="J1331" s="2">
        <f t="shared" si="10"/>
        <v>28939454</v>
      </c>
      <c r="K1331" s="2">
        <f t="shared" si="11"/>
        <v>-1.7361458600962425E-2</v>
      </c>
      <c r="L1331" s="2" t="str">
        <f>IF(ISNUMBER(SEARCH("|",IMDB_Movies!$D1331)),LEFT(IMDB_Movies!$D1331,SEARCH("|",IMDB_Movies!$D1331)-1),IMDB_Movies!$D1331)</f>
        <v>Adventure</v>
      </c>
      <c r="V1331" s="2"/>
      <c r="W1331" s="2"/>
    </row>
    <row r="1332" spans="1:23" ht="12.5" x14ac:dyDescent="0.25">
      <c r="A1332" s="2" t="s">
        <v>703</v>
      </c>
      <c r="B1332" s="2">
        <v>90</v>
      </c>
      <c r="C1332" s="2">
        <v>63826569</v>
      </c>
      <c r="D1332" s="2" t="s">
        <v>709</v>
      </c>
      <c r="E1332" s="2" t="s">
        <v>2437</v>
      </c>
      <c r="F1332" s="2" t="s">
        <v>14</v>
      </c>
      <c r="G1332" s="2" t="s">
        <v>15</v>
      </c>
      <c r="H1332" s="2">
        <v>35000000</v>
      </c>
      <c r="I1332" s="2">
        <v>6.3</v>
      </c>
      <c r="J1332" s="2">
        <f t="shared" si="10"/>
        <v>28826569</v>
      </c>
      <c r="K1332" s="2">
        <f t="shared" si="11"/>
        <v>-1.7377763500935794E-2</v>
      </c>
      <c r="L1332" s="2" t="str">
        <f>IF(ISNUMBER(SEARCH("|",IMDB_Movies!$D1332)),LEFT(IMDB_Movies!$D1332,SEARCH("|",IMDB_Movies!$D1332)-1),IMDB_Movies!$D1332)</f>
        <v>Comedy</v>
      </c>
      <c r="V1332" s="2"/>
      <c r="W1332" s="2"/>
    </row>
    <row r="1333" spans="1:23" ht="12.5" x14ac:dyDescent="0.25">
      <c r="A1333" s="2" t="s">
        <v>536</v>
      </c>
      <c r="B1333" s="2">
        <v>108</v>
      </c>
      <c r="C1333" s="2">
        <v>60054449</v>
      </c>
      <c r="D1333" s="2" t="s">
        <v>790</v>
      </c>
      <c r="E1333" s="2" t="s">
        <v>2438</v>
      </c>
      <c r="F1333" s="2" t="s">
        <v>14</v>
      </c>
      <c r="G1333" s="2" t="s">
        <v>15</v>
      </c>
      <c r="H1333" s="2">
        <v>35000000</v>
      </c>
      <c r="I1333" s="2">
        <v>5.8</v>
      </c>
      <c r="J1333" s="2">
        <f t="shared" si="10"/>
        <v>25054449</v>
      </c>
      <c r="K1333" s="2">
        <f t="shared" si="11"/>
        <v>-1.7394029004208982E-2</v>
      </c>
      <c r="L1333" s="2" t="str">
        <f>IF(ISNUMBER(SEARCH("|",IMDB_Movies!$D1333)),LEFT(IMDB_Movies!$D1333,SEARCH("|",IMDB_Movies!$D1333)-1),IMDB_Movies!$D1333)</f>
        <v>Action</v>
      </c>
      <c r="V1333" s="2"/>
      <c r="W1333" s="2"/>
    </row>
    <row r="1334" spans="1:23" ht="12.5" x14ac:dyDescent="0.25">
      <c r="A1334" s="2" t="s">
        <v>2115</v>
      </c>
      <c r="B1334" s="2">
        <v>101</v>
      </c>
      <c r="C1334" s="2">
        <v>26505000</v>
      </c>
      <c r="D1334" s="2" t="s">
        <v>2148</v>
      </c>
      <c r="E1334" s="2" t="s">
        <v>2439</v>
      </c>
      <c r="F1334" s="2" t="s">
        <v>14</v>
      </c>
      <c r="G1334" s="2" t="s">
        <v>15</v>
      </c>
      <c r="H1334" s="2">
        <v>1800000</v>
      </c>
      <c r="I1334" s="2">
        <v>7.5</v>
      </c>
      <c r="J1334" s="2">
        <f t="shared" si="10"/>
        <v>24705000</v>
      </c>
      <c r="K1334" s="2">
        <f t="shared" si="11"/>
        <v>-1.7408346296284884E-2</v>
      </c>
      <c r="L1334" s="2" t="str">
        <f>IF(ISNUMBER(SEARCH("|",IMDB_Movies!$D1334)),LEFT(IMDB_Movies!$D1334,SEARCH("|",IMDB_Movies!$D1334)-1),IMDB_Movies!$D1334)</f>
        <v>Horror</v>
      </c>
      <c r="V1334" s="2"/>
      <c r="W1334" s="2"/>
    </row>
    <row r="1335" spans="1:23" ht="12.5" x14ac:dyDescent="0.25">
      <c r="A1335" s="2" t="s">
        <v>866</v>
      </c>
      <c r="B1335" s="2">
        <v>109</v>
      </c>
      <c r="C1335" s="2">
        <v>61280963</v>
      </c>
      <c r="D1335" s="2" t="s">
        <v>1486</v>
      </c>
      <c r="E1335" s="2" t="s">
        <v>2440</v>
      </c>
      <c r="F1335" s="2" t="s">
        <v>14</v>
      </c>
      <c r="G1335" s="2" t="s">
        <v>15</v>
      </c>
      <c r="H1335" s="2">
        <v>33000000</v>
      </c>
      <c r="I1335" s="2">
        <v>6.3</v>
      </c>
      <c r="J1335" s="2">
        <f t="shared" si="10"/>
        <v>28280963</v>
      </c>
      <c r="K1335" s="2">
        <f t="shared" si="11"/>
        <v>-1.7408463449589188E-2</v>
      </c>
      <c r="L1335" s="2" t="str">
        <f>IF(ISNUMBER(SEARCH("|",IMDB_Movies!$D1335)),LEFT(IMDB_Movies!$D1335,SEARCH("|",IMDB_Movies!$D1335)-1),IMDB_Movies!$D1335)</f>
        <v>Horror</v>
      </c>
      <c r="V1335" s="2"/>
      <c r="W1335" s="2"/>
    </row>
    <row r="1336" spans="1:23" ht="12.5" x14ac:dyDescent="0.25">
      <c r="A1336" s="2" t="s">
        <v>1166</v>
      </c>
      <c r="B1336" s="2">
        <v>132</v>
      </c>
      <c r="C1336" s="2">
        <v>56876365</v>
      </c>
      <c r="D1336" s="2" t="s">
        <v>55</v>
      </c>
      <c r="E1336" s="2" t="s">
        <v>2441</v>
      </c>
      <c r="F1336" s="2" t="s">
        <v>14</v>
      </c>
      <c r="G1336" s="2" t="s">
        <v>15</v>
      </c>
      <c r="H1336" s="2">
        <v>35000000</v>
      </c>
      <c r="I1336" s="2">
        <v>6.4</v>
      </c>
      <c r="J1336" s="2">
        <f t="shared" si="10"/>
        <v>21876365</v>
      </c>
      <c r="K1336" s="2">
        <f t="shared" si="11"/>
        <v>-1.7420680337461133E-2</v>
      </c>
      <c r="L1336" s="2" t="str">
        <f>IF(ISNUMBER(SEARCH("|",IMDB_Movies!$D1336)),LEFT(IMDB_Movies!$D1336,SEARCH("|",IMDB_Movies!$D1336)-1),IMDB_Movies!$D1336)</f>
        <v>Action</v>
      </c>
      <c r="V1336" s="2"/>
      <c r="W1336" s="2"/>
    </row>
    <row r="1337" spans="1:23" ht="12.5" x14ac:dyDescent="0.25">
      <c r="A1337" s="2" t="s">
        <v>1166</v>
      </c>
      <c r="B1337" s="2">
        <v>123</v>
      </c>
      <c r="C1337" s="2">
        <v>59699513</v>
      </c>
      <c r="D1337" s="2" t="s">
        <v>2442</v>
      </c>
      <c r="E1337" s="2" t="s">
        <v>2443</v>
      </c>
      <c r="F1337" s="2" t="s">
        <v>14</v>
      </c>
      <c r="G1337" s="2" t="s">
        <v>15</v>
      </c>
      <c r="H1337" s="2">
        <v>35000000</v>
      </c>
      <c r="I1337" s="2">
        <v>7.2</v>
      </c>
      <c r="J1337" s="2">
        <f t="shared" si="10"/>
        <v>24699513</v>
      </c>
      <c r="K1337" s="2">
        <f t="shared" si="11"/>
        <v>-1.743341276476584E-2</v>
      </c>
      <c r="L1337" s="2" t="str">
        <f>IF(ISNUMBER(SEARCH("|",IMDB_Movies!$D1337)),LEFT(IMDB_Movies!$D1337,SEARCH("|",IMDB_Movies!$D1337)-1),IMDB_Movies!$D1337)</f>
        <v>Biography</v>
      </c>
      <c r="V1337" s="2"/>
      <c r="W1337" s="2"/>
    </row>
    <row r="1338" spans="1:23" ht="12.5" x14ac:dyDescent="0.25">
      <c r="A1338" s="2" t="s">
        <v>2444</v>
      </c>
      <c r="B1338" s="2">
        <v>87</v>
      </c>
      <c r="C1338" s="2">
        <v>54132596</v>
      </c>
      <c r="D1338" s="2" t="s">
        <v>323</v>
      </c>
      <c r="E1338" s="2" t="s">
        <v>2445</v>
      </c>
      <c r="F1338" s="2" t="s">
        <v>14</v>
      </c>
      <c r="G1338" s="2" t="s">
        <v>1329</v>
      </c>
      <c r="H1338" s="2">
        <v>34000000</v>
      </c>
      <c r="I1338" s="2">
        <v>6.3</v>
      </c>
      <c r="J1338" s="2">
        <f t="shared" si="10"/>
        <v>20132596</v>
      </c>
      <c r="K1338" s="2">
        <f t="shared" si="11"/>
        <v>-1.7447583067511218E-2</v>
      </c>
      <c r="L1338" s="2" t="str">
        <f>IF(ISNUMBER(SEARCH("|",IMDB_Movies!$D1338)),LEFT(IMDB_Movies!$D1338,SEARCH("|",IMDB_Movies!$D1338)-1),IMDB_Movies!$D1338)</f>
        <v>Action</v>
      </c>
      <c r="V1338" s="2"/>
      <c r="W1338" s="2"/>
    </row>
    <row r="1339" spans="1:23" ht="12.5" x14ac:dyDescent="0.25">
      <c r="A1339" s="2" t="s">
        <v>2446</v>
      </c>
      <c r="B1339" s="2">
        <v>109</v>
      </c>
      <c r="C1339" s="2">
        <v>52277485</v>
      </c>
      <c r="D1339" s="2" t="s">
        <v>585</v>
      </c>
      <c r="E1339" s="2" t="s">
        <v>2447</v>
      </c>
      <c r="F1339" s="2" t="s">
        <v>14</v>
      </c>
      <c r="G1339" s="2" t="s">
        <v>15</v>
      </c>
      <c r="H1339" s="2">
        <v>35000000</v>
      </c>
      <c r="I1339" s="2">
        <v>6.9</v>
      </c>
      <c r="J1339" s="2">
        <f t="shared" si="10"/>
        <v>17277485</v>
      </c>
      <c r="K1339" s="2">
        <f t="shared" si="11"/>
        <v>-1.7457910233325991E-2</v>
      </c>
      <c r="L1339" s="2" t="str">
        <f>IF(ISNUMBER(SEARCH("|",IMDB_Movies!$D1339)),LEFT(IMDB_Movies!$D1339,SEARCH("|",IMDB_Movies!$D1339)-1),IMDB_Movies!$D1339)</f>
        <v>Biography</v>
      </c>
      <c r="V1339" s="2"/>
      <c r="W1339" s="2"/>
    </row>
    <row r="1340" spans="1:23" ht="12.5" x14ac:dyDescent="0.25">
      <c r="A1340" s="2" t="s">
        <v>1290</v>
      </c>
      <c r="B1340" s="2">
        <v>109</v>
      </c>
      <c r="C1340" s="2">
        <v>55802754</v>
      </c>
      <c r="D1340" s="2" t="s">
        <v>600</v>
      </c>
      <c r="E1340" s="2" t="s">
        <v>2448</v>
      </c>
      <c r="F1340" s="2" t="s">
        <v>14</v>
      </c>
      <c r="G1340" s="2" t="s">
        <v>15</v>
      </c>
      <c r="H1340" s="2">
        <v>35000000</v>
      </c>
      <c r="I1340" s="2">
        <v>6.6</v>
      </c>
      <c r="J1340" s="2">
        <f t="shared" si="10"/>
        <v>20802754</v>
      </c>
      <c r="K1340" s="2">
        <f t="shared" si="11"/>
        <v>-1.7468448116558788E-2</v>
      </c>
      <c r="L1340" s="2" t="str">
        <f>IF(ISNUMBER(SEARCH("|",IMDB_Movies!$D1340)),LEFT(IMDB_Movies!$D1340,SEARCH("|",IMDB_Movies!$D1340)-1),IMDB_Movies!$D1340)</f>
        <v>Comedy</v>
      </c>
      <c r="V1340" s="2"/>
      <c r="W1340" s="2"/>
    </row>
    <row r="1341" spans="1:23" ht="12.5" x14ac:dyDescent="0.25">
      <c r="A1341" s="2" t="s">
        <v>2449</v>
      </c>
      <c r="B1341" s="2">
        <v>92</v>
      </c>
      <c r="C1341" s="2">
        <v>55291815</v>
      </c>
      <c r="D1341" s="2" t="s">
        <v>709</v>
      </c>
      <c r="E1341" s="2" t="s">
        <v>2450</v>
      </c>
      <c r="F1341" s="2" t="s">
        <v>14</v>
      </c>
      <c r="G1341" s="2" t="s">
        <v>15</v>
      </c>
      <c r="H1341" s="2">
        <v>35000000</v>
      </c>
      <c r="I1341" s="2">
        <v>6</v>
      </c>
      <c r="J1341" s="2">
        <f t="shared" si="10"/>
        <v>20291815</v>
      </c>
      <c r="K1341" s="2">
        <f t="shared" si="11"/>
        <v>-1.7480702658792698E-2</v>
      </c>
      <c r="L1341" s="2" t="str">
        <f>IF(ISNUMBER(SEARCH("|",IMDB_Movies!$D1341)),LEFT(IMDB_Movies!$D1341,SEARCH("|",IMDB_Movies!$D1341)-1),IMDB_Movies!$D1341)</f>
        <v>Comedy</v>
      </c>
      <c r="V1341" s="2"/>
      <c r="W1341" s="2"/>
    </row>
    <row r="1342" spans="1:23" ht="12.5" x14ac:dyDescent="0.25">
      <c r="A1342" s="2" t="s">
        <v>739</v>
      </c>
      <c r="B1342" s="2">
        <v>125</v>
      </c>
      <c r="C1342" s="2">
        <v>83299761</v>
      </c>
      <c r="D1342" s="2" t="s">
        <v>2451</v>
      </c>
      <c r="E1342" s="2" t="s">
        <v>2452</v>
      </c>
      <c r="F1342" s="2" t="s">
        <v>14</v>
      </c>
      <c r="G1342" s="2" t="s">
        <v>15</v>
      </c>
      <c r="H1342" s="2">
        <v>35000000</v>
      </c>
      <c r="I1342" s="2">
        <v>7.5</v>
      </c>
      <c r="J1342" s="2">
        <f t="shared" si="10"/>
        <v>48299761</v>
      </c>
      <c r="K1342" s="2">
        <f t="shared" si="11"/>
        <v>-1.7492719196359915E-2</v>
      </c>
      <c r="L1342" s="2" t="str">
        <f>IF(ISNUMBER(SEARCH("|",IMDB_Movies!$D1342)),LEFT(IMDB_Movies!$D1342,SEARCH("|",IMDB_Movies!$D1342)-1),IMDB_Movies!$D1342)</f>
        <v>Biography</v>
      </c>
      <c r="V1342" s="2"/>
      <c r="W1342" s="2"/>
    </row>
    <row r="1343" spans="1:23" ht="12.5" x14ac:dyDescent="0.25">
      <c r="A1343" s="2" t="s">
        <v>1725</v>
      </c>
      <c r="B1343" s="2">
        <v>202</v>
      </c>
      <c r="C1343" s="2">
        <v>48169908</v>
      </c>
      <c r="D1343" s="2" t="s">
        <v>2054</v>
      </c>
      <c r="E1343" s="2" t="s">
        <v>2453</v>
      </c>
      <c r="F1343" s="2" t="s">
        <v>14</v>
      </c>
      <c r="G1343" s="2" t="s">
        <v>15</v>
      </c>
      <c r="H1343" s="2">
        <v>33000000</v>
      </c>
      <c r="I1343" s="2">
        <v>7.7</v>
      </c>
      <c r="J1343" s="2">
        <f t="shared" si="10"/>
        <v>15169908</v>
      </c>
      <c r="K1343" s="2">
        <f t="shared" si="11"/>
        <v>-1.7520499903969065E-2</v>
      </c>
      <c r="L1343" s="2" t="str">
        <f>IF(ISNUMBER(SEARCH("|",IMDB_Movies!$D1343)),LEFT(IMDB_Movies!$D1343,SEARCH("|",IMDB_Movies!$D1343)-1),IMDB_Movies!$D1343)</f>
        <v>Biography</v>
      </c>
      <c r="V1343" s="2"/>
      <c r="W1343" s="2"/>
    </row>
    <row r="1344" spans="1:23" ht="12.5" x14ac:dyDescent="0.25">
      <c r="A1344" s="2" t="s">
        <v>1117</v>
      </c>
      <c r="B1344" s="2">
        <v>134</v>
      </c>
      <c r="C1344" s="2">
        <v>67523385</v>
      </c>
      <c r="D1344" s="2" t="s">
        <v>709</v>
      </c>
      <c r="E1344" s="2" t="s">
        <v>2454</v>
      </c>
      <c r="F1344" s="2" t="s">
        <v>14</v>
      </c>
      <c r="G1344" s="2" t="s">
        <v>15</v>
      </c>
      <c r="H1344" s="2">
        <v>35000000</v>
      </c>
      <c r="I1344" s="2">
        <v>6.2</v>
      </c>
      <c r="J1344" s="2">
        <f t="shared" si="10"/>
        <v>32523385</v>
      </c>
      <c r="K1344" s="2">
        <f t="shared" si="11"/>
        <v>-1.7527468366049088E-2</v>
      </c>
      <c r="L1344" s="2" t="str">
        <f>IF(ISNUMBER(SEARCH("|",IMDB_Movies!$D1344)),LEFT(IMDB_Movies!$D1344,SEARCH("|",IMDB_Movies!$D1344)-1),IMDB_Movies!$D1344)</f>
        <v>Comedy</v>
      </c>
      <c r="V1344" s="2"/>
      <c r="W1344" s="2"/>
    </row>
    <row r="1345" spans="1:23" ht="12.5" x14ac:dyDescent="0.25">
      <c r="A1345" s="2" t="s">
        <v>776</v>
      </c>
      <c r="B1345" s="2">
        <v>88</v>
      </c>
      <c r="C1345" s="2">
        <v>49474048</v>
      </c>
      <c r="D1345" s="2" t="s">
        <v>1058</v>
      </c>
      <c r="E1345" s="2" t="s">
        <v>2455</v>
      </c>
      <c r="F1345" s="2" t="s">
        <v>14</v>
      </c>
      <c r="G1345" s="2" t="s">
        <v>15</v>
      </c>
      <c r="H1345" s="2">
        <v>35000000</v>
      </c>
      <c r="I1345" s="2">
        <v>5.4</v>
      </c>
      <c r="J1345" s="2">
        <f t="shared" si="10"/>
        <v>14474048</v>
      </c>
      <c r="K1345" s="2">
        <f t="shared" si="11"/>
        <v>-1.7545933389868325E-2</v>
      </c>
      <c r="L1345" s="2" t="str">
        <f>IF(ISNUMBER(SEARCH("|",IMDB_Movies!$D1345)),LEFT(IMDB_Movies!$D1345,SEARCH("|",IMDB_Movies!$D1345)-1),IMDB_Movies!$D1345)</f>
        <v>Comedy</v>
      </c>
      <c r="V1345" s="2"/>
      <c r="W1345" s="2"/>
    </row>
    <row r="1346" spans="1:23" ht="12.5" x14ac:dyDescent="0.25">
      <c r="A1346" s="2" t="s">
        <v>2456</v>
      </c>
      <c r="B1346" s="2">
        <v>92</v>
      </c>
      <c r="C1346" s="2">
        <v>45802315</v>
      </c>
      <c r="D1346" s="2" t="s">
        <v>102</v>
      </c>
      <c r="E1346" s="2" t="s">
        <v>2457</v>
      </c>
      <c r="F1346" s="2" t="s">
        <v>14</v>
      </c>
      <c r="G1346" s="2" t="s">
        <v>15</v>
      </c>
      <c r="H1346" s="2">
        <v>35000000</v>
      </c>
      <c r="I1346" s="2">
        <v>6.6</v>
      </c>
      <c r="J1346" s="2">
        <f t="shared" si="10"/>
        <v>10802315</v>
      </c>
      <c r="K1346" s="2">
        <f t="shared" si="11"/>
        <v>-1.755523641304748E-2</v>
      </c>
      <c r="L1346" s="2" t="str">
        <f>IF(ISNUMBER(SEARCH("|",IMDB_Movies!$D1346)),LEFT(IMDB_Movies!$D1346,SEARCH("|",IMDB_Movies!$D1346)-1),IMDB_Movies!$D1346)</f>
        <v>Action</v>
      </c>
      <c r="V1346" s="2"/>
      <c r="W1346" s="2"/>
    </row>
    <row r="1347" spans="1:23" ht="12.5" x14ac:dyDescent="0.25">
      <c r="A1347" s="2" t="s">
        <v>2112</v>
      </c>
      <c r="B1347" s="2">
        <v>91</v>
      </c>
      <c r="C1347" s="2">
        <v>43792641</v>
      </c>
      <c r="D1347" s="2" t="s">
        <v>600</v>
      </c>
      <c r="E1347" s="2" t="s">
        <v>2458</v>
      </c>
      <c r="F1347" s="2" t="s">
        <v>14</v>
      </c>
      <c r="G1347" s="2" t="s">
        <v>15</v>
      </c>
      <c r="H1347" s="2">
        <v>35000000</v>
      </c>
      <c r="I1347" s="2">
        <v>5.3</v>
      </c>
      <c r="J1347" s="2">
        <f t="shared" si="10"/>
        <v>8792641</v>
      </c>
      <c r="K1347" s="2">
        <f t="shared" si="11"/>
        <v>-1.7562882456076172E-2</v>
      </c>
      <c r="L1347" s="2" t="str">
        <f>IF(ISNUMBER(SEARCH("|",IMDB_Movies!$D1347)),LEFT(IMDB_Movies!$D1347,SEARCH("|",IMDB_Movies!$D1347)-1),IMDB_Movies!$D1347)</f>
        <v>Comedy</v>
      </c>
      <c r="V1347" s="2"/>
      <c r="W1347" s="2"/>
    </row>
    <row r="1348" spans="1:23" ht="12.5" x14ac:dyDescent="0.25">
      <c r="A1348" s="2" t="s">
        <v>781</v>
      </c>
      <c r="B1348" s="2">
        <v>75</v>
      </c>
      <c r="C1348" s="2">
        <v>57651794</v>
      </c>
      <c r="D1348" s="2" t="s">
        <v>1343</v>
      </c>
      <c r="E1348" s="2" t="s">
        <v>2459</v>
      </c>
      <c r="F1348" s="2" t="s">
        <v>14</v>
      </c>
      <c r="G1348" s="2" t="s">
        <v>15</v>
      </c>
      <c r="H1348" s="2">
        <v>33000000</v>
      </c>
      <c r="I1348" s="2">
        <v>5.6</v>
      </c>
      <c r="J1348" s="2">
        <f t="shared" si="10"/>
        <v>24651794</v>
      </c>
      <c r="K1348" s="2">
        <f t="shared" si="11"/>
        <v>-1.756965238261568E-2</v>
      </c>
      <c r="L1348" s="2" t="str">
        <f>IF(ISNUMBER(SEARCH("|",IMDB_Movies!$D1348)),LEFT(IMDB_Movies!$D1348,SEARCH("|",IMDB_Movies!$D1348)-1),IMDB_Movies!$D1348)</f>
        <v>Comedy</v>
      </c>
      <c r="V1348" s="2"/>
      <c r="W1348" s="2"/>
    </row>
    <row r="1349" spans="1:23" ht="12.5" x14ac:dyDescent="0.25">
      <c r="A1349" s="2" t="s">
        <v>2460</v>
      </c>
      <c r="B1349" s="2">
        <v>98</v>
      </c>
      <c r="C1349" s="2">
        <v>43894863</v>
      </c>
      <c r="D1349" s="2" t="s">
        <v>600</v>
      </c>
      <c r="E1349" s="2" t="s">
        <v>2461</v>
      </c>
      <c r="F1349" s="2" t="s">
        <v>14</v>
      </c>
      <c r="G1349" s="2" t="s">
        <v>15</v>
      </c>
      <c r="H1349" s="2">
        <v>30000000</v>
      </c>
      <c r="I1349" s="2">
        <v>5.9</v>
      </c>
      <c r="J1349" s="2">
        <f t="shared" si="10"/>
        <v>13894863</v>
      </c>
      <c r="K1349" s="2">
        <f t="shared" si="11"/>
        <v>-1.7580475950068408E-2</v>
      </c>
      <c r="L1349" s="2" t="str">
        <f>IF(ISNUMBER(SEARCH("|",IMDB_Movies!$D1349)),LEFT(IMDB_Movies!$D1349,SEARCH("|",IMDB_Movies!$D1349)-1),IMDB_Movies!$D1349)</f>
        <v>Comedy</v>
      </c>
      <c r="V1349" s="2"/>
      <c r="W1349" s="2"/>
    </row>
    <row r="1350" spans="1:23" ht="12.5" x14ac:dyDescent="0.25">
      <c r="A1350" s="2" t="s">
        <v>136</v>
      </c>
      <c r="B1350" s="2">
        <v>147</v>
      </c>
      <c r="C1350" s="2">
        <v>41954997</v>
      </c>
      <c r="D1350" s="2" t="s">
        <v>614</v>
      </c>
      <c r="E1350" s="2" t="s">
        <v>2462</v>
      </c>
      <c r="F1350" s="2" t="s">
        <v>14</v>
      </c>
      <c r="G1350" s="2" t="s">
        <v>15</v>
      </c>
      <c r="H1350" s="2">
        <v>35000000</v>
      </c>
      <c r="I1350" s="2">
        <v>7.8</v>
      </c>
      <c r="J1350" s="2">
        <f t="shared" si="10"/>
        <v>6954997</v>
      </c>
      <c r="K1350" s="2">
        <f t="shared" si="11"/>
        <v>-1.7583852343389599E-2</v>
      </c>
      <c r="L1350" s="2" t="str">
        <f>IF(ISNUMBER(SEARCH("|",IMDB_Movies!$D1350)),LEFT(IMDB_Movies!$D1350,SEARCH("|",IMDB_Movies!$D1350)-1),IMDB_Movies!$D1350)</f>
        <v>Biography</v>
      </c>
      <c r="V1350" s="2"/>
      <c r="W1350" s="2"/>
    </row>
    <row r="1351" spans="1:23" ht="12.5" x14ac:dyDescent="0.25">
      <c r="A1351" s="2" t="s">
        <v>831</v>
      </c>
      <c r="B1351" s="2">
        <v>100</v>
      </c>
      <c r="C1351" s="2">
        <v>39532308</v>
      </c>
      <c r="D1351" s="2" t="s">
        <v>1436</v>
      </c>
      <c r="E1351" s="2" t="s">
        <v>2463</v>
      </c>
      <c r="F1351" s="2" t="s">
        <v>14</v>
      </c>
      <c r="G1351" s="2" t="s">
        <v>22</v>
      </c>
      <c r="H1351" s="2">
        <v>33000000</v>
      </c>
      <c r="I1351" s="2">
        <v>6.7</v>
      </c>
      <c r="J1351" s="2">
        <f t="shared" si="10"/>
        <v>6532308</v>
      </c>
      <c r="K1351" s="2">
        <f t="shared" si="11"/>
        <v>-1.7589851304557317E-2</v>
      </c>
      <c r="L1351" s="2" t="str">
        <f>IF(ISNUMBER(SEARCH("|",IMDB_Movies!$D1351)),LEFT(IMDB_Movies!$D1351,SEARCH("|",IMDB_Movies!$D1351)-1),IMDB_Movies!$D1351)</f>
        <v>Action</v>
      </c>
      <c r="V1351" s="2"/>
      <c r="W1351" s="2"/>
    </row>
    <row r="1352" spans="1:23" ht="12.5" x14ac:dyDescent="0.25">
      <c r="A1352" s="2" t="s">
        <v>2464</v>
      </c>
      <c r="B1352" s="2">
        <v>120</v>
      </c>
      <c r="C1352" s="2">
        <v>76600000</v>
      </c>
      <c r="D1352" s="2" t="s">
        <v>2465</v>
      </c>
      <c r="E1352" s="2" t="s">
        <v>2466</v>
      </c>
      <c r="F1352" s="2" t="s">
        <v>14</v>
      </c>
      <c r="G1352" s="2" t="s">
        <v>15</v>
      </c>
      <c r="H1352" s="2">
        <v>10700000</v>
      </c>
      <c r="I1352" s="2">
        <v>7.4</v>
      </c>
      <c r="J1352" s="2">
        <f t="shared" si="10"/>
        <v>65900000</v>
      </c>
      <c r="K1352" s="2">
        <f t="shared" si="11"/>
        <v>-1.7593800888385764E-2</v>
      </c>
      <c r="L1352" s="2" t="str">
        <f>IF(ISNUMBER(SEARCH("|",IMDB_Movies!$D1352)),LEFT(IMDB_Movies!$D1352,SEARCH("|",IMDB_Movies!$D1352)-1),IMDB_Movies!$D1352)</f>
        <v>Fantasy</v>
      </c>
      <c r="V1352" s="2"/>
      <c r="W1352" s="2"/>
    </row>
    <row r="1353" spans="1:23" ht="12.5" x14ac:dyDescent="0.25">
      <c r="A1353" s="2" t="s">
        <v>2371</v>
      </c>
      <c r="B1353" s="2">
        <v>104</v>
      </c>
      <c r="C1353" s="2">
        <v>39692139</v>
      </c>
      <c r="D1353" s="2" t="s">
        <v>2009</v>
      </c>
      <c r="E1353" s="2" t="s">
        <v>2467</v>
      </c>
      <c r="F1353" s="2" t="s">
        <v>14</v>
      </c>
      <c r="G1353" s="2" t="s">
        <v>15</v>
      </c>
      <c r="H1353" s="2">
        <v>35000000</v>
      </c>
      <c r="I1353" s="2">
        <v>6.2</v>
      </c>
      <c r="J1353" s="2">
        <f t="shared" si="10"/>
        <v>4692139</v>
      </c>
      <c r="K1353" s="2">
        <f t="shared" si="11"/>
        <v>-1.7569455878628314E-2</v>
      </c>
      <c r="L1353" s="2" t="str">
        <f>IF(ISNUMBER(SEARCH("|",IMDB_Movies!$D1353)),LEFT(IMDB_Movies!$D1353,SEARCH("|",IMDB_Movies!$D1353)-1),IMDB_Movies!$D1353)</f>
        <v>Comedy</v>
      </c>
      <c r="V1353" s="2"/>
      <c r="W1353" s="2"/>
    </row>
    <row r="1354" spans="1:23" ht="12.5" x14ac:dyDescent="0.25">
      <c r="A1354" s="2" t="s">
        <v>737</v>
      </c>
      <c r="B1354" s="2">
        <v>103</v>
      </c>
      <c r="C1354" s="2">
        <v>40687294</v>
      </c>
      <c r="D1354" s="2" t="s">
        <v>845</v>
      </c>
      <c r="E1354" s="2" t="s">
        <v>2468</v>
      </c>
      <c r="F1354" s="2" t="s">
        <v>14</v>
      </c>
      <c r="G1354" s="2" t="s">
        <v>104</v>
      </c>
      <c r="H1354" s="2">
        <v>35000000</v>
      </c>
      <c r="I1354" s="2">
        <v>5.4</v>
      </c>
      <c r="J1354" s="2">
        <f t="shared" si="10"/>
        <v>5687294</v>
      </c>
      <c r="K1354" s="2">
        <f t="shared" si="11"/>
        <v>-1.7574520171052072E-2</v>
      </c>
      <c r="L1354" s="2" t="str">
        <f>IF(ISNUMBER(SEARCH("|",IMDB_Movies!$D1354)),LEFT(IMDB_Movies!$D1354,SEARCH("|",IMDB_Movies!$D1354)-1),IMDB_Movies!$D1354)</f>
        <v>Action</v>
      </c>
      <c r="V1354" s="2"/>
      <c r="W1354" s="2"/>
    </row>
    <row r="1355" spans="1:23" ht="12.5" x14ac:dyDescent="0.25">
      <c r="A1355" s="2" t="s">
        <v>1813</v>
      </c>
      <c r="B1355" s="2">
        <v>109</v>
      </c>
      <c r="C1355" s="2">
        <v>37553932</v>
      </c>
      <c r="D1355" s="2" t="s">
        <v>981</v>
      </c>
      <c r="E1355" s="2" t="s">
        <v>2469</v>
      </c>
      <c r="F1355" s="2" t="s">
        <v>14</v>
      </c>
      <c r="G1355" s="2" t="s">
        <v>15</v>
      </c>
      <c r="H1355" s="2">
        <v>40000000</v>
      </c>
      <c r="I1355" s="2">
        <v>6.7</v>
      </c>
      <c r="J1355" s="2">
        <f t="shared" si="10"/>
        <v>-2446068</v>
      </c>
      <c r="K1355" s="2">
        <f t="shared" si="11"/>
        <v>-1.7580004004482695E-2</v>
      </c>
      <c r="L1355" s="2" t="str">
        <f>IF(ISNUMBER(SEARCH("|",IMDB_Movies!$D1355)),LEFT(IMDB_Movies!$D1355,SEARCH("|",IMDB_Movies!$D1355)-1),IMDB_Movies!$D1355)</f>
        <v>Action</v>
      </c>
      <c r="V1355" s="2"/>
      <c r="W1355" s="2"/>
    </row>
    <row r="1356" spans="1:23" ht="12.5" x14ac:dyDescent="0.25">
      <c r="A1356" s="2" t="s">
        <v>2470</v>
      </c>
      <c r="B1356" s="2">
        <v>104</v>
      </c>
      <c r="C1356" s="2">
        <v>37481242</v>
      </c>
      <c r="D1356" s="2" t="s">
        <v>600</v>
      </c>
      <c r="E1356" s="2" t="s">
        <v>2471</v>
      </c>
      <c r="F1356" s="2" t="s">
        <v>14</v>
      </c>
      <c r="G1356" s="2" t="s">
        <v>15</v>
      </c>
      <c r="H1356" s="2">
        <v>35000000</v>
      </c>
      <c r="I1356" s="2">
        <v>5.3</v>
      </c>
      <c r="J1356" s="2">
        <f t="shared" si="10"/>
        <v>2481242</v>
      </c>
      <c r="K1356" s="2">
        <f t="shared" si="11"/>
        <v>-1.7586416556289567E-2</v>
      </c>
      <c r="L1356" s="2" t="str">
        <f>IF(ISNUMBER(SEARCH("|",IMDB_Movies!$D1356)),LEFT(IMDB_Movies!$D1356,SEARCH("|",IMDB_Movies!$D1356)-1),IMDB_Movies!$D1356)</f>
        <v>Comedy</v>
      </c>
      <c r="V1356" s="2"/>
      <c r="W1356" s="2"/>
    </row>
    <row r="1357" spans="1:23" ht="12.5" x14ac:dyDescent="0.25">
      <c r="A1357" s="2" t="s">
        <v>2472</v>
      </c>
      <c r="B1357" s="2">
        <v>112</v>
      </c>
      <c r="C1357" s="2">
        <v>39026186</v>
      </c>
      <c r="D1357" s="2" t="s">
        <v>514</v>
      </c>
      <c r="E1357" s="2" t="s">
        <v>2473</v>
      </c>
      <c r="F1357" s="2" t="s">
        <v>14</v>
      </c>
      <c r="G1357" s="2" t="s">
        <v>15</v>
      </c>
      <c r="H1357" s="2">
        <v>35000000</v>
      </c>
      <c r="I1357" s="2">
        <v>5.9</v>
      </c>
      <c r="J1357" s="2">
        <f t="shared" si="10"/>
        <v>4026186</v>
      </c>
      <c r="K1357" s="2">
        <f t="shared" si="11"/>
        <v>-1.7590589951590418E-2</v>
      </c>
      <c r="L1357" s="2" t="str">
        <f>IF(ISNUMBER(SEARCH("|",IMDB_Movies!$D1357)),LEFT(IMDB_Movies!$D1357,SEARCH("|",IMDB_Movies!$D1357)-1),IMDB_Movies!$D1357)</f>
        <v>Comedy</v>
      </c>
      <c r="V1357" s="2"/>
      <c r="W1357" s="2"/>
    </row>
    <row r="1358" spans="1:23" ht="12.5" x14ac:dyDescent="0.25">
      <c r="A1358" s="2" t="s">
        <v>2474</v>
      </c>
      <c r="B1358" s="2">
        <v>95</v>
      </c>
      <c r="C1358" s="2">
        <v>33422806</v>
      </c>
      <c r="D1358" s="2" t="s">
        <v>1835</v>
      </c>
      <c r="E1358" s="2" t="s">
        <v>2475</v>
      </c>
      <c r="F1358" s="2" t="s">
        <v>14</v>
      </c>
      <c r="G1358" s="2" t="s">
        <v>15</v>
      </c>
      <c r="H1358" s="2">
        <v>50000000</v>
      </c>
      <c r="I1358" s="2">
        <v>4.8</v>
      </c>
      <c r="J1358" s="2">
        <f t="shared" si="10"/>
        <v>-16577194</v>
      </c>
      <c r="K1358" s="2">
        <f t="shared" si="11"/>
        <v>-1.7595397097868556E-2</v>
      </c>
      <c r="L1358" s="2" t="str">
        <f>IF(ISNUMBER(SEARCH("|",IMDB_Movies!$D1358)),LEFT(IMDB_Movies!$D1358,SEARCH("|",IMDB_Movies!$D1358)-1),IMDB_Movies!$D1358)</f>
        <v>Adventure</v>
      </c>
      <c r="V1358" s="2"/>
      <c r="W1358" s="2"/>
    </row>
    <row r="1359" spans="1:23" ht="12.5" x14ac:dyDescent="0.25">
      <c r="A1359" s="2" t="s">
        <v>2476</v>
      </c>
      <c r="B1359" s="2">
        <v>102</v>
      </c>
      <c r="C1359" s="2">
        <v>33423521</v>
      </c>
      <c r="D1359" s="2" t="s">
        <v>398</v>
      </c>
      <c r="E1359" s="2" t="s">
        <v>2477</v>
      </c>
      <c r="F1359" s="2" t="s">
        <v>14</v>
      </c>
      <c r="G1359" s="2" t="s">
        <v>1032</v>
      </c>
      <c r="H1359" s="2">
        <v>35000000</v>
      </c>
      <c r="I1359" s="2">
        <v>3.8</v>
      </c>
      <c r="J1359" s="2">
        <f t="shared" si="10"/>
        <v>-1576479</v>
      </c>
      <c r="K1359" s="2">
        <f t="shared" si="11"/>
        <v>-1.7602190018760244E-2</v>
      </c>
      <c r="L1359" s="2" t="str">
        <f>IF(ISNUMBER(SEARCH("|",IMDB_Movies!$D1359)),LEFT(IMDB_Movies!$D1359,SEARCH("|",IMDB_Movies!$D1359)-1),IMDB_Movies!$D1359)</f>
        <v>Action</v>
      </c>
      <c r="V1359" s="2"/>
      <c r="W1359" s="2"/>
    </row>
    <row r="1360" spans="1:23" ht="12.5" x14ac:dyDescent="0.25">
      <c r="A1360" s="2" t="s">
        <v>1315</v>
      </c>
      <c r="B1360" s="2">
        <v>150</v>
      </c>
      <c r="C1360" s="2">
        <v>32519322</v>
      </c>
      <c r="D1360" s="2" t="s">
        <v>2416</v>
      </c>
      <c r="E1360" s="2" t="s">
        <v>2478</v>
      </c>
      <c r="F1360" s="2" t="s">
        <v>14</v>
      </c>
      <c r="G1360" s="2" t="s">
        <v>686</v>
      </c>
      <c r="H1360" s="2">
        <v>35000000</v>
      </c>
      <c r="I1360" s="2">
        <v>8.5</v>
      </c>
      <c r="J1360" s="2">
        <f t="shared" si="10"/>
        <v>-2480678</v>
      </c>
      <c r="K1360" s="2">
        <f t="shared" si="11"/>
        <v>-1.7604777213074997E-2</v>
      </c>
      <c r="L1360" s="2" t="str">
        <f>IF(ISNUMBER(SEARCH("|",IMDB_Movies!$D1360)),LEFT(IMDB_Movies!$D1360,SEARCH("|",IMDB_Movies!$D1360)-1),IMDB_Movies!$D1360)</f>
        <v>Biography</v>
      </c>
      <c r="V1360" s="2"/>
      <c r="W1360" s="2"/>
    </row>
    <row r="1361" spans="1:23" ht="12.5" x14ac:dyDescent="0.25">
      <c r="A1361" s="2" t="s">
        <v>2066</v>
      </c>
      <c r="B1361" s="2">
        <v>101</v>
      </c>
      <c r="C1361" s="2">
        <v>37617947</v>
      </c>
      <c r="D1361" s="2" t="s">
        <v>1967</v>
      </c>
      <c r="E1361" s="2" t="s">
        <v>2479</v>
      </c>
      <c r="F1361" s="2" t="s">
        <v>14</v>
      </c>
      <c r="G1361" s="2" t="s">
        <v>15</v>
      </c>
      <c r="H1361" s="2">
        <v>30000000</v>
      </c>
      <c r="I1361" s="2">
        <v>6.8</v>
      </c>
      <c r="J1361" s="2">
        <f t="shared" si="10"/>
        <v>7617947</v>
      </c>
      <c r="K1361" s="2">
        <f t="shared" si="11"/>
        <v>-1.7607021544064082E-2</v>
      </c>
      <c r="L1361" s="2" t="str">
        <f>IF(ISNUMBER(SEARCH("|",IMDB_Movies!$D1361)),LEFT(IMDB_Movies!$D1361,SEARCH("|",IMDB_Movies!$D1361)-1),IMDB_Movies!$D1361)</f>
        <v>Drama</v>
      </c>
      <c r="V1361" s="2"/>
      <c r="W1361" s="2"/>
    </row>
    <row r="1362" spans="1:23" ht="12.5" x14ac:dyDescent="0.25">
      <c r="A1362" s="2" t="s">
        <v>1741</v>
      </c>
      <c r="B1362" s="2">
        <v>108</v>
      </c>
      <c r="C1362" s="2">
        <v>32048809</v>
      </c>
      <c r="D1362" s="2" t="s">
        <v>2148</v>
      </c>
      <c r="E1362" s="2" t="s">
        <v>2480</v>
      </c>
      <c r="F1362" s="2" t="s">
        <v>14</v>
      </c>
      <c r="G1362" s="2" t="s">
        <v>135</v>
      </c>
      <c r="H1362" s="2">
        <v>30000000</v>
      </c>
      <c r="I1362" s="2">
        <v>5.3</v>
      </c>
      <c r="J1362" s="2">
        <f t="shared" si="10"/>
        <v>2048809</v>
      </c>
      <c r="K1362" s="2">
        <f t="shared" si="11"/>
        <v>-1.7609039667577195E-2</v>
      </c>
      <c r="L1362" s="2" t="str">
        <f>IF(ISNUMBER(SEARCH("|",IMDB_Movies!$D1362)),LEFT(IMDB_Movies!$D1362,SEARCH("|",IMDB_Movies!$D1362)-1),IMDB_Movies!$D1362)</f>
        <v>Horror</v>
      </c>
      <c r="V1362" s="2"/>
      <c r="W1362" s="2"/>
    </row>
    <row r="1363" spans="1:23" ht="12.5" x14ac:dyDescent="0.25">
      <c r="A1363" s="2" t="s">
        <v>1061</v>
      </c>
      <c r="B1363" s="2">
        <v>98</v>
      </c>
      <c r="C1363" s="2">
        <v>33987757</v>
      </c>
      <c r="D1363" s="2" t="s">
        <v>85</v>
      </c>
      <c r="E1363" s="2" t="s">
        <v>2481</v>
      </c>
      <c r="F1363" s="2" t="s">
        <v>14</v>
      </c>
      <c r="G1363" s="2" t="s">
        <v>15</v>
      </c>
      <c r="H1363" s="2">
        <v>27000000</v>
      </c>
      <c r="I1363" s="2">
        <v>7.3</v>
      </c>
      <c r="J1363" s="2">
        <f t="shared" si="10"/>
        <v>6987757</v>
      </c>
      <c r="K1363" s="2">
        <f t="shared" si="11"/>
        <v>-1.7609980380216141E-2</v>
      </c>
      <c r="L1363" s="2" t="str">
        <f>IF(ISNUMBER(SEARCH("|",IMDB_Movies!$D1363)),LEFT(IMDB_Movies!$D1363,SEARCH("|",IMDB_Movies!$D1363)-1),IMDB_Movies!$D1363)</f>
        <v>Drama</v>
      </c>
      <c r="V1363" s="2"/>
      <c r="W1363" s="2"/>
    </row>
    <row r="1364" spans="1:23" ht="12.5" x14ac:dyDescent="0.25">
      <c r="A1364" s="2" t="s">
        <v>1279</v>
      </c>
      <c r="B1364" s="2">
        <v>137</v>
      </c>
      <c r="C1364" s="2">
        <v>37304950</v>
      </c>
      <c r="D1364" s="2" t="s">
        <v>614</v>
      </c>
      <c r="E1364" s="2" t="s">
        <v>2482</v>
      </c>
      <c r="F1364" s="2" t="s">
        <v>14</v>
      </c>
      <c r="G1364" s="2" t="s">
        <v>15</v>
      </c>
      <c r="H1364" s="2">
        <v>35000000</v>
      </c>
      <c r="I1364" s="2">
        <v>6.6</v>
      </c>
      <c r="J1364" s="2">
        <f t="shared" si="10"/>
        <v>2304950</v>
      </c>
      <c r="K1364" s="2">
        <f t="shared" si="11"/>
        <v>-1.7610372823903871E-2</v>
      </c>
      <c r="L1364" s="2" t="str">
        <f>IF(ISNUMBER(SEARCH("|",IMDB_Movies!$D1364)),LEFT(IMDB_Movies!$D1364,SEARCH("|",IMDB_Movies!$D1364)-1),IMDB_Movies!$D1364)</f>
        <v>Biography</v>
      </c>
      <c r="V1364" s="2"/>
      <c r="W1364" s="2"/>
    </row>
    <row r="1365" spans="1:23" ht="12.5" x14ac:dyDescent="0.25">
      <c r="A1365" s="2" t="s">
        <v>2483</v>
      </c>
      <c r="B1365" s="2">
        <v>112</v>
      </c>
      <c r="C1365" s="2">
        <v>30691439</v>
      </c>
      <c r="D1365" s="2" t="s">
        <v>2116</v>
      </c>
      <c r="E1365" s="2" t="s">
        <v>2484</v>
      </c>
      <c r="F1365" s="2" t="s">
        <v>14</v>
      </c>
      <c r="G1365" s="2" t="s">
        <v>15</v>
      </c>
      <c r="H1365" s="2">
        <v>35000000</v>
      </c>
      <c r="I1365" s="2">
        <v>6.2</v>
      </c>
      <c r="J1365" s="2">
        <f t="shared" si="10"/>
        <v>-4308561</v>
      </c>
      <c r="K1365" s="2">
        <f t="shared" si="11"/>
        <v>-1.7614499407067278E-2</v>
      </c>
      <c r="L1365" s="2" t="str">
        <f>IF(ISNUMBER(SEARCH("|",IMDB_Movies!$D1365)),LEFT(IMDB_Movies!$D1365,SEARCH("|",IMDB_Movies!$D1365)-1),IMDB_Movies!$D1365)</f>
        <v>Horror</v>
      </c>
      <c r="V1365" s="2"/>
      <c r="W1365" s="2"/>
    </row>
    <row r="1366" spans="1:23" ht="12.5" x14ac:dyDescent="0.25">
      <c r="A1366" s="2" t="s">
        <v>2485</v>
      </c>
      <c r="B1366" s="2">
        <v>101</v>
      </c>
      <c r="C1366" s="2">
        <v>30307804</v>
      </c>
      <c r="D1366" s="2" t="s">
        <v>1716</v>
      </c>
      <c r="E1366" s="2" t="s">
        <v>2486</v>
      </c>
      <c r="F1366" s="2" t="s">
        <v>14</v>
      </c>
      <c r="G1366" s="2" t="s">
        <v>15</v>
      </c>
      <c r="H1366" s="2">
        <v>35000000</v>
      </c>
      <c r="I1366" s="2">
        <v>5.2</v>
      </c>
      <c r="J1366" s="2">
        <f t="shared" si="10"/>
        <v>-4692196</v>
      </c>
      <c r="K1366" s="2">
        <f t="shared" si="11"/>
        <v>-1.7616067376000855E-2</v>
      </c>
      <c r="L1366" s="2" t="str">
        <f>IF(ISNUMBER(SEARCH("|",IMDB_Movies!$D1366)),LEFT(IMDB_Movies!$D1366,SEARCH("|",IMDB_Movies!$D1366)-1),IMDB_Movies!$D1366)</f>
        <v>Drama</v>
      </c>
      <c r="V1366" s="2"/>
      <c r="W1366" s="2"/>
    </row>
    <row r="1367" spans="1:23" ht="12.5" x14ac:dyDescent="0.25">
      <c r="A1367" s="2" t="s">
        <v>957</v>
      </c>
      <c r="B1367" s="2">
        <v>103</v>
      </c>
      <c r="C1367" s="2">
        <v>30669413</v>
      </c>
      <c r="D1367" s="2" t="s">
        <v>1436</v>
      </c>
      <c r="E1367" s="2" t="s">
        <v>2487</v>
      </c>
      <c r="F1367" s="2" t="s">
        <v>14</v>
      </c>
      <c r="G1367" s="2" t="s">
        <v>15</v>
      </c>
      <c r="H1367" s="2">
        <v>35000000</v>
      </c>
      <c r="I1367" s="2">
        <v>6.2</v>
      </c>
      <c r="J1367" s="2">
        <f t="shared" si="10"/>
        <v>-4330587</v>
      </c>
      <c r="K1367" s="2">
        <f t="shared" si="11"/>
        <v>-1.7617494850107593E-2</v>
      </c>
      <c r="L1367" s="2" t="str">
        <f>IF(ISNUMBER(SEARCH("|",IMDB_Movies!$D1367)),LEFT(IMDB_Movies!$D1367,SEARCH("|",IMDB_Movies!$D1367)-1),IMDB_Movies!$D1367)</f>
        <v>Action</v>
      </c>
      <c r="V1367" s="2"/>
      <c r="W1367" s="2"/>
    </row>
    <row r="1368" spans="1:23" ht="12.5" x14ac:dyDescent="0.25">
      <c r="A1368" s="2" t="s">
        <v>1201</v>
      </c>
      <c r="B1368" s="2">
        <v>101</v>
      </c>
      <c r="C1368" s="2">
        <v>28687835</v>
      </c>
      <c r="D1368" s="2" t="s">
        <v>763</v>
      </c>
      <c r="E1368" s="2" t="s">
        <v>2488</v>
      </c>
      <c r="F1368" s="2" t="s">
        <v>14</v>
      </c>
      <c r="G1368" s="2" t="s">
        <v>15</v>
      </c>
      <c r="H1368" s="2">
        <v>35000000</v>
      </c>
      <c r="I1368" s="2">
        <v>6.2</v>
      </c>
      <c r="J1368" s="2">
        <f t="shared" si="10"/>
        <v>-6312165</v>
      </c>
      <c r="K1368" s="2">
        <f t="shared" si="11"/>
        <v>-1.7619057205106006E-2</v>
      </c>
      <c r="L1368" s="2" t="str">
        <f>IF(ISNUMBER(SEARCH("|",IMDB_Movies!$D1368)),LEFT(IMDB_Movies!$D1368,SEARCH("|",IMDB_Movies!$D1368)-1),IMDB_Movies!$D1368)</f>
        <v>Crime</v>
      </c>
      <c r="V1368" s="2"/>
      <c r="W1368" s="2"/>
    </row>
    <row r="1369" spans="1:23" ht="12.5" x14ac:dyDescent="0.25">
      <c r="A1369" s="2" t="s">
        <v>2489</v>
      </c>
      <c r="B1369" s="2">
        <v>112</v>
      </c>
      <c r="C1369" s="2">
        <v>26494611</v>
      </c>
      <c r="D1369" s="2" t="s">
        <v>2490</v>
      </c>
      <c r="E1369" s="2" t="s">
        <v>2491</v>
      </c>
      <c r="F1369" s="2" t="s">
        <v>14</v>
      </c>
      <c r="G1369" s="2" t="s">
        <v>15</v>
      </c>
      <c r="H1369" s="2">
        <v>35000000</v>
      </c>
      <c r="I1369" s="2">
        <v>6.6</v>
      </c>
      <c r="J1369" s="2">
        <f t="shared" si="10"/>
        <v>-8505389</v>
      </c>
      <c r="K1369" s="2">
        <f t="shared" si="11"/>
        <v>-1.7619896158865691E-2</v>
      </c>
      <c r="L1369" s="2" t="str">
        <f>IF(ISNUMBER(SEARCH("|",IMDB_Movies!$D1369)),LEFT(IMDB_Movies!$D1369,SEARCH("|",IMDB_Movies!$D1369)-1),IMDB_Movies!$D1369)</f>
        <v>Comedy</v>
      </c>
      <c r="V1369" s="2"/>
      <c r="W1369" s="2"/>
    </row>
    <row r="1370" spans="1:23" ht="12.5" x14ac:dyDescent="0.25">
      <c r="A1370" s="2" t="s">
        <v>2378</v>
      </c>
      <c r="B1370" s="2">
        <v>102</v>
      </c>
      <c r="C1370" s="2">
        <v>25266129</v>
      </c>
      <c r="D1370" s="2" t="s">
        <v>514</v>
      </c>
      <c r="E1370" s="2" t="s">
        <v>2492</v>
      </c>
      <c r="F1370" s="2" t="s">
        <v>14</v>
      </c>
      <c r="G1370" s="2" t="s">
        <v>15</v>
      </c>
      <c r="H1370" s="2">
        <v>35000000</v>
      </c>
      <c r="I1370" s="2">
        <v>6.2</v>
      </c>
      <c r="J1370" s="2">
        <f t="shared" si="10"/>
        <v>-9733871</v>
      </c>
      <c r="K1370" s="2">
        <f t="shared" si="11"/>
        <v>-1.7619956862692653E-2</v>
      </c>
      <c r="L1370" s="2" t="str">
        <f>IF(ISNUMBER(SEARCH("|",IMDB_Movies!$D1370)),LEFT(IMDB_Movies!$D1370,SEARCH("|",IMDB_Movies!$D1370)-1),IMDB_Movies!$D1370)</f>
        <v>Comedy</v>
      </c>
      <c r="V1370" s="2"/>
      <c r="W1370" s="2"/>
    </row>
    <row r="1371" spans="1:23" ht="12.5" x14ac:dyDescent="0.25">
      <c r="A1371" s="2" t="s">
        <v>197</v>
      </c>
      <c r="B1371" s="2">
        <v>101</v>
      </c>
      <c r="C1371" s="2">
        <v>25863915</v>
      </c>
      <c r="D1371" s="2" t="s">
        <v>440</v>
      </c>
      <c r="E1371" s="2" t="s">
        <v>2493</v>
      </c>
      <c r="F1371" s="2" t="s">
        <v>14</v>
      </c>
      <c r="G1371" s="2" t="s">
        <v>15</v>
      </c>
      <c r="H1371" s="2">
        <v>35000000</v>
      </c>
      <c r="I1371" s="2">
        <v>5.0999999999999996</v>
      </c>
      <c r="J1371" s="2">
        <f t="shared" si="10"/>
        <v>-9136085</v>
      </c>
      <c r="K1371" s="2">
        <f t="shared" si="11"/>
        <v>-1.7619591913785673E-2</v>
      </c>
      <c r="L1371" s="2" t="str">
        <f>IF(ISNUMBER(SEARCH("|",IMDB_Movies!$D1371)),LEFT(IMDB_Movies!$D1371,SEARCH("|",IMDB_Movies!$D1371)-1),IMDB_Movies!$D1371)</f>
        <v>Action</v>
      </c>
      <c r="V1371" s="2"/>
      <c r="W1371" s="2"/>
    </row>
    <row r="1372" spans="1:23" ht="12.5" x14ac:dyDescent="0.25">
      <c r="A1372" s="2" t="s">
        <v>1279</v>
      </c>
      <c r="B1372" s="2">
        <v>155</v>
      </c>
      <c r="C1372" s="2">
        <v>25078937</v>
      </c>
      <c r="D1372" s="2" t="s">
        <v>770</v>
      </c>
      <c r="E1372" s="2" t="s">
        <v>2494</v>
      </c>
      <c r="F1372" s="2" t="s">
        <v>14</v>
      </c>
      <c r="G1372" s="2" t="s">
        <v>15</v>
      </c>
      <c r="H1372" s="2">
        <v>30000000</v>
      </c>
      <c r="I1372" s="2">
        <v>6.6</v>
      </c>
      <c r="J1372" s="2">
        <f t="shared" si="10"/>
        <v>-4921063</v>
      </c>
      <c r="K1372" s="2">
        <f t="shared" si="11"/>
        <v>-1.7619432929912308E-2</v>
      </c>
      <c r="L1372" s="2" t="str">
        <f>IF(ISNUMBER(SEARCH("|",IMDB_Movies!$D1372)),LEFT(IMDB_Movies!$D1372,SEARCH("|",IMDB_Movies!$D1372)-1),IMDB_Movies!$D1372)</f>
        <v>Crime</v>
      </c>
      <c r="V1372" s="2"/>
      <c r="W1372" s="2"/>
    </row>
    <row r="1373" spans="1:23" ht="12.5" x14ac:dyDescent="0.25">
      <c r="A1373" s="2" t="s">
        <v>2495</v>
      </c>
      <c r="B1373" s="2">
        <v>109</v>
      </c>
      <c r="C1373" s="2">
        <v>28995450</v>
      </c>
      <c r="D1373" s="2" t="s">
        <v>204</v>
      </c>
      <c r="E1373" s="2" t="s">
        <v>2496</v>
      </c>
      <c r="F1373" s="2" t="s">
        <v>14</v>
      </c>
      <c r="G1373" s="2" t="s">
        <v>22</v>
      </c>
      <c r="H1373" s="2">
        <v>35000000</v>
      </c>
      <c r="I1373" s="2">
        <v>6.1</v>
      </c>
      <c r="J1373" s="2">
        <f t="shared" si="10"/>
        <v>-6004550</v>
      </c>
      <c r="K1373" s="2">
        <f t="shared" si="11"/>
        <v>-1.7619247837959692E-2</v>
      </c>
      <c r="L1373" s="2" t="str">
        <f>IF(ISNUMBER(SEARCH("|",IMDB_Movies!$D1373)),LEFT(IMDB_Movies!$D1373,SEARCH("|",IMDB_Movies!$D1373)-1),IMDB_Movies!$D1373)</f>
        <v>Comedy</v>
      </c>
      <c r="V1373" s="2"/>
      <c r="W1373" s="2"/>
    </row>
    <row r="1374" spans="1:23" ht="12.5" x14ac:dyDescent="0.25">
      <c r="A1374" s="2" t="s">
        <v>1853</v>
      </c>
      <c r="B1374" s="2">
        <v>140</v>
      </c>
      <c r="C1374" s="2">
        <v>24276500</v>
      </c>
      <c r="D1374" s="2" t="s">
        <v>614</v>
      </c>
      <c r="E1374" s="2" t="s">
        <v>2497</v>
      </c>
      <c r="F1374" s="2" t="s">
        <v>14</v>
      </c>
      <c r="G1374" s="2" t="s">
        <v>15</v>
      </c>
      <c r="H1374" s="2">
        <v>35000000</v>
      </c>
      <c r="I1374" s="2">
        <v>6.6</v>
      </c>
      <c r="J1374" s="2">
        <f t="shared" si="10"/>
        <v>-10723500</v>
      </c>
      <c r="K1374" s="2">
        <f t="shared" si="11"/>
        <v>-1.7620199651556062E-2</v>
      </c>
      <c r="L1374" s="2" t="str">
        <f>IF(ISNUMBER(SEARCH("|",IMDB_Movies!$D1374)),LEFT(IMDB_Movies!$D1374,SEARCH("|",IMDB_Movies!$D1374)-1),IMDB_Movies!$D1374)</f>
        <v>Biography</v>
      </c>
      <c r="V1374" s="2"/>
      <c r="W1374" s="2"/>
    </row>
    <row r="1375" spans="1:23" ht="12.5" x14ac:dyDescent="0.25">
      <c r="A1375" s="2" t="s">
        <v>2498</v>
      </c>
      <c r="B1375" s="2">
        <v>108</v>
      </c>
      <c r="C1375" s="2">
        <v>20981633</v>
      </c>
      <c r="D1375" s="2" t="s">
        <v>788</v>
      </c>
      <c r="E1375" s="2" t="s">
        <v>2499</v>
      </c>
      <c r="F1375" s="2" t="s">
        <v>14</v>
      </c>
      <c r="G1375" s="2" t="s">
        <v>15</v>
      </c>
      <c r="H1375" s="2">
        <v>30000000</v>
      </c>
      <c r="I1375" s="2">
        <v>5.9</v>
      </c>
      <c r="J1375" s="2">
        <f t="shared" si="10"/>
        <v>-9018367</v>
      </c>
      <c r="K1375" s="2">
        <f t="shared" si="11"/>
        <v>-1.7619496371424397E-2</v>
      </c>
      <c r="L1375" s="2" t="str">
        <f>IF(ISNUMBER(SEARCH("|",IMDB_Movies!$D1375)),LEFT(IMDB_Movies!$D1375,SEARCH("|",IMDB_Movies!$D1375)-1),IMDB_Movies!$D1375)</f>
        <v>Drama</v>
      </c>
      <c r="V1375" s="2"/>
      <c r="W1375" s="2"/>
    </row>
    <row r="1376" spans="1:23" ht="12.5" x14ac:dyDescent="0.25">
      <c r="A1376" s="2" t="s">
        <v>2500</v>
      </c>
      <c r="B1376" s="2">
        <v>96</v>
      </c>
      <c r="C1376" s="2">
        <v>22913677</v>
      </c>
      <c r="D1376" s="2" t="s">
        <v>919</v>
      </c>
      <c r="E1376" s="2" t="s">
        <v>2501</v>
      </c>
      <c r="F1376" s="2" t="s">
        <v>14</v>
      </c>
      <c r="G1376" s="2" t="s">
        <v>15</v>
      </c>
      <c r="H1376" s="2">
        <v>35000000</v>
      </c>
      <c r="I1376" s="2">
        <v>6.3</v>
      </c>
      <c r="J1376" s="2">
        <f t="shared" si="10"/>
        <v>-12086323</v>
      </c>
      <c r="K1376" s="2">
        <f t="shared" si="11"/>
        <v>-1.7618758019584298E-2</v>
      </c>
      <c r="L1376" s="2" t="str">
        <f>IF(ISNUMBER(SEARCH("|",IMDB_Movies!$D1376)),LEFT(IMDB_Movies!$D1376,SEARCH("|",IMDB_Movies!$D1376)-1),IMDB_Movies!$D1376)</f>
        <v>Comedy</v>
      </c>
      <c r="V1376" s="2"/>
      <c r="W1376" s="2"/>
    </row>
    <row r="1377" spans="1:23" ht="12.5" x14ac:dyDescent="0.25">
      <c r="A1377" s="2" t="s">
        <v>2502</v>
      </c>
      <c r="B1377" s="2">
        <v>123</v>
      </c>
      <c r="C1377" s="2">
        <v>34531832</v>
      </c>
      <c r="D1377" s="2" t="s">
        <v>585</v>
      </c>
      <c r="E1377" s="2" t="s">
        <v>2503</v>
      </c>
      <c r="F1377" s="2" t="s">
        <v>14</v>
      </c>
      <c r="G1377" s="2" t="s">
        <v>22</v>
      </c>
      <c r="H1377" s="2">
        <v>35000000</v>
      </c>
      <c r="I1377" s="2">
        <v>7.1</v>
      </c>
      <c r="J1377" s="2">
        <f t="shared" si="10"/>
        <v>-468168</v>
      </c>
      <c r="K1377" s="2">
        <f t="shared" si="11"/>
        <v>-1.7617596049050284E-2</v>
      </c>
      <c r="L1377" s="2" t="str">
        <f>IF(ISNUMBER(SEARCH("|",IMDB_Movies!$D1377)),LEFT(IMDB_Movies!$D1377,SEARCH("|",IMDB_Movies!$D1377)-1),IMDB_Movies!$D1377)</f>
        <v>Biography</v>
      </c>
      <c r="V1377" s="2"/>
      <c r="W1377" s="2"/>
    </row>
    <row r="1378" spans="1:23" ht="12.5" x14ac:dyDescent="0.25">
      <c r="A1378" s="2" t="s">
        <v>1020</v>
      </c>
      <c r="B1378" s="2">
        <v>106</v>
      </c>
      <c r="C1378" s="2">
        <v>28064226</v>
      </c>
      <c r="D1378" s="2" t="s">
        <v>425</v>
      </c>
      <c r="E1378" s="2" t="s">
        <v>2504</v>
      </c>
      <c r="F1378" s="2" t="s">
        <v>14</v>
      </c>
      <c r="G1378" s="2" t="s">
        <v>15</v>
      </c>
      <c r="H1378" s="2">
        <v>35000000</v>
      </c>
      <c r="I1378" s="2">
        <v>5</v>
      </c>
      <c r="J1378" s="2">
        <f t="shared" si="10"/>
        <v>-6935774</v>
      </c>
      <c r="K1378" s="2">
        <f t="shared" si="11"/>
        <v>-1.7620638183470285E-2</v>
      </c>
      <c r="L1378" s="2" t="str">
        <f>IF(ISNUMBER(SEARCH("|",IMDB_Movies!$D1378)),LEFT(IMDB_Movies!$D1378,SEARCH("|",IMDB_Movies!$D1378)-1),IMDB_Movies!$D1378)</f>
        <v>Action</v>
      </c>
      <c r="V1378" s="2"/>
      <c r="W1378" s="2"/>
    </row>
    <row r="1379" spans="1:23" ht="12.5" x14ac:dyDescent="0.25">
      <c r="A1379" s="2" t="s">
        <v>2505</v>
      </c>
      <c r="B1379" s="2">
        <v>76</v>
      </c>
      <c r="C1379" s="2">
        <v>19447478</v>
      </c>
      <c r="D1379" s="2" t="s">
        <v>2506</v>
      </c>
      <c r="E1379" s="2" t="s">
        <v>2507</v>
      </c>
      <c r="F1379" s="2" t="s">
        <v>14</v>
      </c>
      <c r="G1379" s="2" t="s">
        <v>22</v>
      </c>
      <c r="H1379" s="2">
        <v>35000000</v>
      </c>
      <c r="I1379" s="2">
        <v>5.6</v>
      </c>
      <c r="J1379" s="2">
        <f t="shared" si="10"/>
        <v>-15552522</v>
      </c>
      <c r="K1379" s="2">
        <f t="shared" si="11"/>
        <v>-1.7621255466928894E-2</v>
      </c>
      <c r="L1379" s="2" t="str">
        <f>IF(ISNUMBER(SEARCH("|",IMDB_Movies!$D1379)),LEFT(IMDB_Movies!$D1379,SEARCH("|",IMDB_Movies!$D1379)-1),IMDB_Movies!$D1379)</f>
        <v>Adventure</v>
      </c>
      <c r="V1379" s="2"/>
      <c r="W1379" s="2"/>
    </row>
    <row r="1380" spans="1:23" ht="12.5" x14ac:dyDescent="0.25">
      <c r="A1380" s="2" t="s">
        <v>1671</v>
      </c>
      <c r="B1380" s="2">
        <v>107</v>
      </c>
      <c r="C1380" s="2">
        <v>19389454</v>
      </c>
      <c r="D1380" s="2" t="s">
        <v>891</v>
      </c>
      <c r="E1380" s="2" t="s">
        <v>2508</v>
      </c>
      <c r="F1380" s="2" t="s">
        <v>14</v>
      </c>
      <c r="G1380" s="2" t="s">
        <v>15</v>
      </c>
      <c r="H1380" s="2">
        <v>55000000</v>
      </c>
      <c r="I1380" s="2">
        <v>7.4</v>
      </c>
      <c r="J1380" s="2">
        <f t="shared" si="10"/>
        <v>-35610546</v>
      </c>
      <c r="K1380" s="2">
        <f t="shared" si="11"/>
        <v>-1.761897137211179E-2</v>
      </c>
      <c r="L1380" s="2" t="str">
        <f>IF(ISNUMBER(SEARCH("|",IMDB_Movies!$D1380)),LEFT(IMDB_Movies!$D1380,SEARCH("|",IMDB_Movies!$D1380)-1),IMDB_Movies!$D1380)</f>
        <v>Comedy</v>
      </c>
      <c r="V1380" s="2"/>
      <c r="W1380" s="2"/>
    </row>
    <row r="1381" spans="1:23" ht="12.5" x14ac:dyDescent="0.25">
      <c r="A1381" s="2" t="s">
        <v>2509</v>
      </c>
      <c r="B1381" s="2">
        <v>82</v>
      </c>
      <c r="C1381" s="2">
        <v>25871834</v>
      </c>
      <c r="D1381" s="2" t="s">
        <v>2510</v>
      </c>
      <c r="E1381" s="2" t="s">
        <v>2511</v>
      </c>
      <c r="F1381" s="2" t="s">
        <v>14</v>
      </c>
      <c r="G1381" s="2" t="s">
        <v>15</v>
      </c>
      <c r="H1381" s="2">
        <v>35000000</v>
      </c>
      <c r="I1381" s="2">
        <v>4.5</v>
      </c>
      <c r="J1381" s="2">
        <f t="shared" si="10"/>
        <v>-9128166</v>
      </c>
      <c r="K1381" s="2">
        <f t="shared" si="11"/>
        <v>-1.7611212338632564E-2</v>
      </c>
      <c r="L1381" s="2" t="str">
        <f>IF(ISNUMBER(SEARCH("|",IMDB_Movies!$D1381)),LEFT(IMDB_Movies!$D1381,SEARCH("|",IMDB_Movies!$D1381)-1),IMDB_Movies!$D1381)</f>
        <v>Action</v>
      </c>
      <c r="V1381" s="2"/>
      <c r="W1381" s="2"/>
    </row>
    <row r="1382" spans="1:23" ht="12.5" x14ac:dyDescent="0.25">
      <c r="A1382" s="2" t="s">
        <v>2512</v>
      </c>
      <c r="B1382" s="2">
        <v>109</v>
      </c>
      <c r="C1382" s="2">
        <v>19692608</v>
      </c>
      <c r="D1382" s="2" t="s">
        <v>763</v>
      </c>
      <c r="E1382" s="2" t="s">
        <v>2513</v>
      </c>
      <c r="F1382" s="2" t="s">
        <v>14</v>
      </c>
      <c r="G1382" s="2" t="s">
        <v>15</v>
      </c>
      <c r="H1382" s="2">
        <v>35000000</v>
      </c>
      <c r="I1382" s="2">
        <v>6.2</v>
      </c>
      <c r="J1382" s="2">
        <f t="shared" si="10"/>
        <v>-15307392</v>
      </c>
      <c r="K1382" s="2">
        <f t="shared" si="11"/>
        <v>-1.7611053390839588E-2</v>
      </c>
      <c r="L1382" s="2" t="str">
        <f>IF(ISNUMBER(SEARCH("|",IMDB_Movies!$D1382)),LEFT(IMDB_Movies!$D1382,SEARCH("|",IMDB_Movies!$D1382)-1),IMDB_Movies!$D1382)</f>
        <v>Crime</v>
      </c>
      <c r="V1382" s="2"/>
      <c r="W1382" s="2"/>
    </row>
    <row r="1383" spans="1:23" ht="12.5" x14ac:dyDescent="0.25">
      <c r="A1383" s="2" t="s">
        <v>2115</v>
      </c>
      <c r="B1383" s="2">
        <v>99</v>
      </c>
      <c r="C1383" s="2">
        <v>19294901</v>
      </c>
      <c r="D1383" s="2" t="s">
        <v>2514</v>
      </c>
      <c r="E1383" s="2" t="s">
        <v>2515</v>
      </c>
      <c r="F1383" s="2" t="s">
        <v>14</v>
      </c>
      <c r="G1383" s="2" t="s">
        <v>15</v>
      </c>
      <c r="H1383" s="2">
        <v>35000000</v>
      </c>
      <c r="I1383" s="2">
        <v>5</v>
      </c>
      <c r="J1383" s="2">
        <f t="shared" si="10"/>
        <v>-15705099</v>
      </c>
      <c r="K1383" s="2">
        <f t="shared" si="11"/>
        <v>-1.7608839538793126E-2</v>
      </c>
      <c r="L1383" s="2" t="str">
        <f>IF(ISNUMBER(SEARCH("|",IMDB_Movies!$D1383)),LEFT(IMDB_Movies!$D1383,SEARCH("|",IMDB_Movies!$D1383)-1),IMDB_Movies!$D1383)</f>
        <v>Comedy</v>
      </c>
      <c r="V1383" s="2"/>
      <c r="W1383" s="2"/>
    </row>
    <row r="1384" spans="1:23" ht="12.5" x14ac:dyDescent="0.25">
      <c r="A1384" s="2" t="s">
        <v>1513</v>
      </c>
      <c r="B1384" s="2">
        <v>91</v>
      </c>
      <c r="C1384" s="2">
        <v>20275446</v>
      </c>
      <c r="D1384" s="2" t="s">
        <v>125</v>
      </c>
      <c r="E1384" s="2" t="s">
        <v>2516</v>
      </c>
      <c r="F1384" s="2" t="s">
        <v>14</v>
      </c>
      <c r="G1384" s="2" t="s">
        <v>15</v>
      </c>
      <c r="H1384" s="2">
        <v>35000000</v>
      </c>
      <c r="I1384" s="2">
        <v>6.5</v>
      </c>
      <c r="J1384" s="2">
        <f t="shared" si="10"/>
        <v>-14724554</v>
      </c>
      <c r="K1384" s="2">
        <f t="shared" si="11"/>
        <v>-1.7606498216933806E-2</v>
      </c>
      <c r="L1384" s="2" t="str">
        <f>IF(ISNUMBER(SEARCH("|",IMDB_Movies!$D1384)),LEFT(IMDB_Movies!$D1384,SEARCH("|",IMDB_Movies!$D1384)-1),IMDB_Movies!$D1384)</f>
        <v>Action</v>
      </c>
      <c r="V1384" s="2"/>
      <c r="W1384" s="2"/>
    </row>
    <row r="1385" spans="1:23" ht="12.5" x14ac:dyDescent="0.25">
      <c r="A1385" s="2" t="s">
        <v>2095</v>
      </c>
      <c r="B1385" s="2">
        <v>87</v>
      </c>
      <c r="C1385" s="2">
        <v>34507079</v>
      </c>
      <c r="D1385" s="2" t="s">
        <v>623</v>
      </c>
      <c r="E1385" s="2" t="s">
        <v>2517</v>
      </c>
      <c r="F1385" s="2" t="s">
        <v>14</v>
      </c>
      <c r="G1385" s="2" t="s">
        <v>15</v>
      </c>
      <c r="H1385" s="2">
        <v>35000000</v>
      </c>
      <c r="I1385" s="2">
        <v>5.0999999999999996</v>
      </c>
      <c r="J1385" s="2">
        <f t="shared" si="10"/>
        <v>-492921</v>
      </c>
      <c r="K1385" s="2">
        <f t="shared" si="11"/>
        <v>-1.760446617639325E-2</v>
      </c>
      <c r="L1385" s="2" t="str">
        <f>IF(ISNUMBER(SEARCH("|",IMDB_Movies!$D1385)),LEFT(IMDB_Movies!$D1385,SEARCH("|",IMDB_Movies!$D1385)-1),IMDB_Movies!$D1385)</f>
        <v>Action</v>
      </c>
      <c r="V1385" s="2"/>
      <c r="W1385" s="2"/>
    </row>
    <row r="1386" spans="1:23" ht="12.5" x14ac:dyDescent="0.25">
      <c r="A1386" s="2" t="s">
        <v>1626</v>
      </c>
      <c r="B1386" s="2">
        <v>125</v>
      </c>
      <c r="C1386" s="2">
        <v>18306166</v>
      </c>
      <c r="D1386" s="2" t="s">
        <v>448</v>
      </c>
      <c r="E1386" s="2" t="s">
        <v>2518</v>
      </c>
      <c r="F1386" s="2" t="s">
        <v>14</v>
      </c>
      <c r="G1386" s="2" t="s">
        <v>22</v>
      </c>
      <c r="H1386" s="2">
        <v>35000000</v>
      </c>
      <c r="I1386" s="2">
        <v>6.5</v>
      </c>
      <c r="J1386" s="2">
        <f t="shared" si="10"/>
        <v>-16693834</v>
      </c>
      <c r="K1386" s="2">
        <f t="shared" si="11"/>
        <v>-1.7607506926428682E-2</v>
      </c>
      <c r="L1386" s="2" t="str">
        <f>IF(ISNUMBER(SEARCH("|",IMDB_Movies!$D1386)),LEFT(IMDB_Movies!$D1386,SEARCH("|",IMDB_Movies!$D1386)-1),IMDB_Movies!$D1386)</f>
        <v>Adventure</v>
      </c>
      <c r="V1386" s="2"/>
      <c r="W1386" s="2"/>
    </row>
    <row r="1387" spans="1:23" ht="12.5" x14ac:dyDescent="0.25">
      <c r="A1387" s="2" t="s">
        <v>1303</v>
      </c>
      <c r="B1387" s="2">
        <v>118</v>
      </c>
      <c r="C1387" s="2">
        <v>17609982</v>
      </c>
      <c r="D1387" s="2" t="s">
        <v>575</v>
      </c>
      <c r="E1387" s="2" t="s">
        <v>2519</v>
      </c>
      <c r="F1387" s="2" t="s">
        <v>14</v>
      </c>
      <c r="G1387" s="2" t="s">
        <v>15</v>
      </c>
      <c r="H1387" s="2">
        <v>35000000</v>
      </c>
      <c r="I1387" s="2">
        <v>6.2</v>
      </c>
      <c r="J1387" s="2">
        <f t="shared" si="10"/>
        <v>-17390018</v>
      </c>
      <c r="K1387" s="2">
        <f t="shared" si="11"/>
        <v>-1.7604852644978391E-2</v>
      </c>
      <c r="L1387" s="2" t="str">
        <f>IF(ISNUMBER(SEARCH("|",IMDB_Movies!$D1387)),LEFT(IMDB_Movies!$D1387,SEARCH("|",IMDB_Movies!$D1387)-1),IMDB_Movies!$D1387)</f>
        <v>Action</v>
      </c>
      <c r="V1387" s="2"/>
      <c r="W1387" s="2"/>
    </row>
    <row r="1388" spans="1:23" ht="12.5" x14ac:dyDescent="0.25">
      <c r="A1388" s="2" t="s">
        <v>1766</v>
      </c>
      <c r="B1388" s="2">
        <v>98</v>
      </c>
      <c r="C1388" s="2">
        <v>16831505</v>
      </c>
      <c r="D1388" s="2" t="s">
        <v>1343</v>
      </c>
      <c r="E1388" s="2" t="s">
        <v>2520</v>
      </c>
      <c r="F1388" s="2" t="s">
        <v>14</v>
      </c>
      <c r="G1388" s="2" t="s">
        <v>22</v>
      </c>
      <c r="H1388" s="2">
        <v>31000000</v>
      </c>
      <c r="I1388" s="2">
        <v>6.3</v>
      </c>
      <c r="J1388" s="2">
        <f t="shared" si="10"/>
        <v>-14168495</v>
      </c>
      <c r="K1388" s="2">
        <f t="shared" si="11"/>
        <v>-1.760198132004933E-2</v>
      </c>
      <c r="L1388" s="2" t="str">
        <f>IF(ISNUMBER(SEARCH("|",IMDB_Movies!$D1388)),LEFT(IMDB_Movies!$D1388,SEARCH("|",IMDB_Movies!$D1388)-1),IMDB_Movies!$D1388)</f>
        <v>Comedy</v>
      </c>
      <c r="V1388" s="2"/>
      <c r="W1388" s="2"/>
    </row>
    <row r="1389" spans="1:23" ht="12.5" x14ac:dyDescent="0.25">
      <c r="A1389" s="2" t="s">
        <v>2039</v>
      </c>
      <c r="B1389" s="2">
        <v>92</v>
      </c>
      <c r="C1389" s="2">
        <v>17596256</v>
      </c>
      <c r="D1389" s="2" t="s">
        <v>1058</v>
      </c>
      <c r="E1389" s="2" t="s">
        <v>2521</v>
      </c>
      <c r="F1389" s="2" t="s">
        <v>14</v>
      </c>
      <c r="G1389" s="2" t="s">
        <v>15</v>
      </c>
      <c r="H1389" s="2">
        <v>35000000</v>
      </c>
      <c r="I1389" s="2">
        <v>3.8</v>
      </c>
      <c r="J1389" s="2">
        <f t="shared" si="10"/>
        <v>-17403744</v>
      </c>
      <c r="K1389" s="2">
        <f t="shared" si="11"/>
        <v>-1.7600372567946426E-2</v>
      </c>
      <c r="L1389" s="2" t="str">
        <f>IF(ISNUMBER(SEARCH("|",IMDB_Movies!$D1389)),LEFT(IMDB_Movies!$D1389,SEARCH("|",IMDB_Movies!$D1389)-1),IMDB_Movies!$D1389)</f>
        <v>Comedy</v>
      </c>
      <c r="V1389" s="2"/>
      <c r="W1389" s="2"/>
    </row>
    <row r="1390" spans="1:23" ht="12.5" x14ac:dyDescent="0.25">
      <c r="A1390" s="2" t="s">
        <v>1388</v>
      </c>
      <c r="B1390" s="2">
        <v>92</v>
      </c>
      <c r="C1390" s="2">
        <v>14998070</v>
      </c>
      <c r="D1390" s="2" t="s">
        <v>2522</v>
      </c>
      <c r="E1390" s="2" t="s">
        <v>2523</v>
      </c>
      <c r="F1390" s="2" t="s">
        <v>14</v>
      </c>
      <c r="G1390" s="2" t="s">
        <v>15</v>
      </c>
      <c r="H1390" s="2">
        <v>35000000</v>
      </c>
      <c r="I1390" s="2">
        <v>6.2</v>
      </c>
      <c r="J1390" s="2">
        <f t="shared" si="10"/>
        <v>-20001930</v>
      </c>
      <c r="K1390" s="2">
        <f t="shared" si="11"/>
        <v>-1.7597492598295711E-2</v>
      </c>
      <c r="L1390" s="2" t="str">
        <f>IF(ISNUMBER(SEARCH("|",IMDB_Movies!$D1390)),LEFT(IMDB_Movies!$D1390,SEARCH("|",IMDB_Movies!$D1390)-1),IMDB_Movies!$D1390)</f>
        <v>Drama</v>
      </c>
      <c r="V1390" s="2"/>
      <c r="W1390" s="2"/>
    </row>
    <row r="1391" spans="1:23" ht="12.5" x14ac:dyDescent="0.25">
      <c r="A1391" s="2" t="s">
        <v>814</v>
      </c>
      <c r="B1391" s="2">
        <v>115</v>
      </c>
      <c r="C1391" s="2">
        <v>14587732</v>
      </c>
      <c r="D1391" s="2" t="s">
        <v>684</v>
      </c>
      <c r="E1391" s="2" t="s">
        <v>2524</v>
      </c>
      <c r="F1391" s="2" t="s">
        <v>14</v>
      </c>
      <c r="G1391" s="2" t="s">
        <v>15</v>
      </c>
      <c r="H1391" s="2">
        <v>35000000</v>
      </c>
      <c r="I1391" s="2">
        <v>5.7</v>
      </c>
      <c r="J1391" s="2">
        <f t="shared" si="10"/>
        <v>-20412268</v>
      </c>
      <c r="K1391" s="2">
        <f t="shared" si="11"/>
        <v>-1.7593829798836679E-2</v>
      </c>
      <c r="L1391" s="2" t="str">
        <f>IF(ISNUMBER(SEARCH("|",IMDB_Movies!$D1391)),LEFT(IMDB_Movies!$D1391,SEARCH("|",IMDB_Movies!$D1391)-1),IMDB_Movies!$D1391)</f>
        <v>Action</v>
      </c>
      <c r="V1391" s="2"/>
      <c r="W1391" s="2"/>
    </row>
    <row r="1392" spans="1:23" ht="12.5" x14ac:dyDescent="0.25">
      <c r="A1392" s="2" t="s">
        <v>2196</v>
      </c>
      <c r="B1392" s="2">
        <v>120</v>
      </c>
      <c r="C1392" s="2">
        <v>18317151</v>
      </c>
      <c r="D1392" s="2" t="s">
        <v>2525</v>
      </c>
      <c r="E1392" s="2" t="s">
        <v>2526</v>
      </c>
      <c r="F1392" s="2" t="s">
        <v>14</v>
      </c>
      <c r="G1392" s="2" t="s">
        <v>15</v>
      </c>
      <c r="H1392" s="2">
        <v>35000000</v>
      </c>
      <c r="I1392" s="2">
        <v>6.7</v>
      </c>
      <c r="J1392" s="2">
        <f t="shared" si="10"/>
        <v>-16682849</v>
      </c>
      <c r="K1392" s="2">
        <f t="shared" si="11"/>
        <v>-1.759004366841763E-2</v>
      </c>
      <c r="L1392" s="2" t="str">
        <f>IF(ISNUMBER(SEARCH("|",IMDB_Movies!$D1392)),LEFT(IMDB_Movies!$D1392,SEARCH("|",IMDB_Movies!$D1392)-1),IMDB_Movies!$D1392)</f>
        <v>Comedy</v>
      </c>
      <c r="V1392" s="2"/>
      <c r="W1392" s="2"/>
    </row>
    <row r="1393" spans="1:23" ht="12.5" x14ac:dyDescent="0.25">
      <c r="A1393" s="2" t="s">
        <v>2527</v>
      </c>
      <c r="B1393" s="2">
        <v>111</v>
      </c>
      <c r="C1393" s="2">
        <v>11405825</v>
      </c>
      <c r="D1393" s="2" t="s">
        <v>1180</v>
      </c>
      <c r="E1393" s="2" t="s">
        <v>2528</v>
      </c>
      <c r="F1393" s="2" t="s">
        <v>14</v>
      </c>
      <c r="G1393" s="2" t="s">
        <v>15</v>
      </c>
      <c r="H1393" s="2">
        <v>35000000</v>
      </c>
      <c r="I1393" s="2">
        <v>6.8</v>
      </c>
      <c r="J1393" s="2">
        <f t="shared" si="10"/>
        <v>-23594175</v>
      </c>
      <c r="K1393" s="2">
        <f t="shared" si="11"/>
        <v>-1.7587378352190149E-2</v>
      </c>
      <c r="L1393" s="2" t="str">
        <f>IF(ISNUMBER(SEARCH("|",IMDB_Movies!$D1393)),LEFT(IMDB_Movies!$D1393,SEARCH("|",IMDB_Movies!$D1393)-1),IMDB_Movies!$D1393)</f>
        <v>Drama</v>
      </c>
      <c r="V1393" s="2"/>
      <c r="W1393" s="2"/>
    </row>
    <row r="1394" spans="1:23" ht="12.5" x14ac:dyDescent="0.25">
      <c r="A1394" s="2" t="s">
        <v>931</v>
      </c>
      <c r="B1394" s="2">
        <v>94</v>
      </c>
      <c r="C1394" s="2">
        <v>13264986</v>
      </c>
      <c r="D1394" s="2" t="s">
        <v>2529</v>
      </c>
      <c r="E1394" s="2" t="s">
        <v>2530</v>
      </c>
      <c r="F1394" s="2" t="s">
        <v>14</v>
      </c>
      <c r="G1394" s="2" t="s">
        <v>15</v>
      </c>
      <c r="H1394" s="2">
        <v>35000000</v>
      </c>
      <c r="I1394" s="2">
        <v>6</v>
      </c>
      <c r="J1394" s="2">
        <f t="shared" si="10"/>
        <v>-21735014</v>
      </c>
      <c r="K1394" s="2">
        <f t="shared" si="11"/>
        <v>-1.7582682868377442E-2</v>
      </c>
      <c r="L1394" s="2" t="str">
        <f>IF(ISNUMBER(SEARCH("|",IMDB_Movies!$D1394)),LEFT(IMDB_Movies!$D1394,SEARCH("|",IMDB_Movies!$D1394)-1),IMDB_Movies!$D1394)</f>
        <v>Action</v>
      </c>
      <c r="V1394" s="2"/>
      <c r="W1394" s="2"/>
    </row>
    <row r="1395" spans="1:23" ht="12.5" x14ac:dyDescent="0.25">
      <c r="A1395" s="2" t="s">
        <v>2531</v>
      </c>
      <c r="B1395" s="2">
        <v>100</v>
      </c>
      <c r="C1395" s="2">
        <v>10991381</v>
      </c>
      <c r="D1395" s="2" t="s">
        <v>2054</v>
      </c>
      <c r="E1395" s="2" t="s">
        <v>2532</v>
      </c>
      <c r="F1395" s="2" t="s">
        <v>14</v>
      </c>
      <c r="G1395" s="2" t="s">
        <v>22</v>
      </c>
      <c r="H1395" s="2">
        <v>35000000</v>
      </c>
      <c r="I1395" s="2">
        <v>7.3</v>
      </c>
      <c r="J1395" s="2">
        <f t="shared" si="10"/>
        <v>-24008619</v>
      </c>
      <c r="K1395" s="2">
        <f t="shared" si="11"/>
        <v>-1.7578504896476815E-2</v>
      </c>
      <c r="L1395" s="2" t="str">
        <f>IF(ISNUMBER(SEARCH("|",IMDB_Movies!$D1395)),LEFT(IMDB_Movies!$D1395,SEARCH("|",IMDB_Movies!$D1395)-1),IMDB_Movies!$D1395)</f>
        <v>Biography</v>
      </c>
      <c r="V1395" s="2"/>
      <c r="W1395" s="2"/>
    </row>
    <row r="1396" spans="1:23" ht="12.5" x14ac:dyDescent="0.25">
      <c r="A1396" s="2" t="s">
        <v>603</v>
      </c>
      <c r="B1396" s="2">
        <v>101</v>
      </c>
      <c r="C1396" s="2">
        <v>10268846</v>
      </c>
      <c r="D1396" s="2" t="s">
        <v>440</v>
      </c>
      <c r="E1396" s="2" t="s">
        <v>2533</v>
      </c>
      <c r="F1396" s="2" t="s">
        <v>14</v>
      </c>
      <c r="G1396" s="2" t="s">
        <v>15</v>
      </c>
      <c r="H1396" s="2">
        <v>35000000</v>
      </c>
      <c r="I1396" s="2">
        <v>5.5</v>
      </c>
      <c r="J1396" s="2">
        <f t="shared" si="10"/>
        <v>-24731154</v>
      </c>
      <c r="K1396" s="2">
        <f t="shared" si="11"/>
        <v>-1.7573687289926979E-2</v>
      </c>
      <c r="L1396" s="2" t="str">
        <f>IF(ISNUMBER(SEARCH("|",IMDB_Movies!$D1396)),LEFT(IMDB_Movies!$D1396,SEARCH("|",IMDB_Movies!$D1396)-1),IMDB_Movies!$D1396)</f>
        <v>Action</v>
      </c>
      <c r="V1396" s="2"/>
      <c r="W1396" s="2"/>
    </row>
    <row r="1397" spans="1:23" ht="12.5" x14ac:dyDescent="0.25">
      <c r="A1397" s="2" t="s">
        <v>1683</v>
      </c>
      <c r="B1397" s="2">
        <v>139</v>
      </c>
      <c r="C1397" s="2">
        <v>13303319</v>
      </c>
      <c r="D1397" s="2" t="s">
        <v>1805</v>
      </c>
      <c r="E1397" s="2" t="s">
        <v>2534</v>
      </c>
      <c r="F1397" s="2" t="s">
        <v>14</v>
      </c>
      <c r="G1397" s="2" t="s">
        <v>15</v>
      </c>
      <c r="H1397" s="2">
        <v>32000000</v>
      </c>
      <c r="I1397" s="2">
        <v>6.7</v>
      </c>
      <c r="J1397" s="2">
        <f t="shared" si="10"/>
        <v>-18696681</v>
      </c>
      <c r="K1397" s="2">
        <f t="shared" si="11"/>
        <v>-1.7568668677241949E-2</v>
      </c>
      <c r="L1397" s="2" t="str">
        <f>IF(ISNUMBER(SEARCH("|",IMDB_Movies!$D1397)),LEFT(IMDB_Movies!$D1397,SEARCH("|",IMDB_Movies!$D1397)-1),IMDB_Movies!$D1397)</f>
        <v>Drama</v>
      </c>
      <c r="V1397" s="2"/>
      <c r="W1397" s="2"/>
    </row>
    <row r="1398" spans="1:23" ht="12.5" x14ac:dyDescent="0.25">
      <c r="A1398" s="2" t="s">
        <v>2535</v>
      </c>
      <c r="B1398" s="2">
        <v>91</v>
      </c>
      <c r="C1398" s="2">
        <v>10076136</v>
      </c>
      <c r="D1398" s="2" t="s">
        <v>616</v>
      </c>
      <c r="E1398" s="2" t="s">
        <v>2536</v>
      </c>
      <c r="F1398" s="2" t="s">
        <v>14</v>
      </c>
      <c r="G1398" s="2" t="s">
        <v>2537</v>
      </c>
      <c r="H1398" s="2">
        <v>35000000</v>
      </c>
      <c r="I1398" s="2">
        <v>4.8</v>
      </c>
      <c r="J1398" s="2">
        <f t="shared" si="10"/>
        <v>-24923864</v>
      </c>
      <c r="K1398" s="2">
        <f t="shared" si="11"/>
        <v>-1.756604059522017E-2</v>
      </c>
      <c r="L1398" s="2" t="str">
        <f>IF(ISNUMBER(SEARCH("|",IMDB_Movies!$D1398)),LEFT(IMDB_Movies!$D1398,SEARCH("|",IMDB_Movies!$D1398)-1),IMDB_Movies!$D1398)</f>
        <v>Action</v>
      </c>
      <c r="V1398" s="2"/>
      <c r="W1398" s="2"/>
    </row>
    <row r="1399" spans="1:23" ht="12.5" x14ac:dyDescent="0.25">
      <c r="A1399" s="2" t="s">
        <v>200</v>
      </c>
      <c r="B1399" s="2">
        <v>109</v>
      </c>
      <c r="C1399" s="2">
        <v>10499968</v>
      </c>
      <c r="D1399" s="2" t="s">
        <v>177</v>
      </c>
      <c r="E1399" s="2" t="s">
        <v>2538</v>
      </c>
      <c r="F1399" s="2" t="s">
        <v>14</v>
      </c>
      <c r="G1399" s="2" t="s">
        <v>15</v>
      </c>
      <c r="H1399" s="2">
        <v>35000000</v>
      </c>
      <c r="I1399" s="2">
        <v>5.7</v>
      </c>
      <c r="J1399" s="2">
        <f t="shared" si="10"/>
        <v>-24500032</v>
      </c>
      <c r="K1399" s="2">
        <f t="shared" si="11"/>
        <v>-1.7560962107414632E-2</v>
      </c>
      <c r="L1399" s="2" t="str">
        <f>IF(ISNUMBER(SEARCH("|",IMDB_Movies!$D1399)),LEFT(IMDB_Movies!$D1399,SEARCH("|",IMDB_Movies!$D1399)-1),IMDB_Movies!$D1399)</f>
        <v>Action</v>
      </c>
      <c r="V1399" s="2"/>
      <c r="W1399" s="2"/>
    </row>
    <row r="1400" spans="1:23" ht="12.5" x14ac:dyDescent="0.25">
      <c r="A1400" s="2" t="s">
        <v>1727</v>
      </c>
      <c r="B1400" s="2">
        <v>102</v>
      </c>
      <c r="C1400" s="2">
        <v>7659747</v>
      </c>
      <c r="D1400" s="2" t="s">
        <v>425</v>
      </c>
      <c r="E1400" s="2" t="s">
        <v>2539</v>
      </c>
      <c r="F1400" s="2" t="s">
        <v>14</v>
      </c>
      <c r="G1400" s="2" t="s">
        <v>15</v>
      </c>
      <c r="H1400" s="2">
        <v>38000000</v>
      </c>
      <c r="I1400" s="2">
        <v>5.0999999999999996</v>
      </c>
      <c r="J1400" s="2">
        <f t="shared" si="10"/>
        <v>-30340253</v>
      </c>
      <c r="K1400" s="2">
        <f t="shared" si="11"/>
        <v>-1.7555993772922367E-2</v>
      </c>
      <c r="L1400" s="2" t="str">
        <f>IF(ISNUMBER(SEARCH("|",IMDB_Movies!$D1400)),LEFT(IMDB_Movies!$D1400,SEARCH("|",IMDB_Movies!$D1400)-1),IMDB_Movies!$D1400)</f>
        <v>Action</v>
      </c>
      <c r="V1400" s="2"/>
      <c r="W1400" s="2"/>
    </row>
    <row r="1401" spans="1:23" ht="12.5" x14ac:dyDescent="0.25">
      <c r="A1401" s="2" t="s">
        <v>2540</v>
      </c>
      <c r="B1401" s="2">
        <v>103</v>
      </c>
      <c r="C1401" s="2">
        <v>7948159</v>
      </c>
      <c r="D1401" s="2" t="s">
        <v>177</v>
      </c>
      <c r="E1401" s="2" t="s">
        <v>2541</v>
      </c>
      <c r="F1401" s="2" t="s">
        <v>14</v>
      </c>
      <c r="G1401" s="2" t="s">
        <v>15</v>
      </c>
      <c r="H1401" s="2">
        <v>35000000</v>
      </c>
      <c r="I1401" s="2">
        <v>6</v>
      </c>
      <c r="J1401" s="2">
        <f t="shared" si="10"/>
        <v>-27051841</v>
      </c>
      <c r="K1401" s="2">
        <f t="shared" si="11"/>
        <v>-1.7548047022245113E-2</v>
      </c>
      <c r="L1401" s="2" t="str">
        <f>IF(ISNUMBER(SEARCH("|",IMDB_Movies!$D1401)),LEFT(IMDB_Movies!$D1401,SEARCH("|",IMDB_Movies!$D1401)-1),IMDB_Movies!$D1401)</f>
        <v>Action</v>
      </c>
      <c r="V1401" s="2"/>
      <c r="W1401" s="2"/>
    </row>
    <row r="1402" spans="1:23" ht="12.5" x14ac:dyDescent="0.25">
      <c r="A1402" s="2" t="s">
        <v>1734</v>
      </c>
      <c r="B1402" s="2">
        <v>83</v>
      </c>
      <c r="C1402" s="2">
        <v>11631245</v>
      </c>
      <c r="D1402" s="2" t="s">
        <v>2542</v>
      </c>
      <c r="E1402" s="2" t="s">
        <v>2543</v>
      </c>
      <c r="F1402" s="2" t="s">
        <v>14</v>
      </c>
      <c r="G1402" s="2" t="s">
        <v>15</v>
      </c>
      <c r="H1402" s="2">
        <v>35000000</v>
      </c>
      <c r="I1402" s="2">
        <v>4.2</v>
      </c>
      <c r="J1402" s="2">
        <f t="shared" si="10"/>
        <v>-23368755</v>
      </c>
      <c r="K1402" s="2">
        <f t="shared" si="11"/>
        <v>-1.754239030944028E-2</v>
      </c>
      <c r="L1402" s="2" t="str">
        <f>IF(ISNUMBER(SEARCH("|",IMDB_Movies!$D1402)),LEFT(IMDB_Movies!$D1402,SEARCH("|",IMDB_Movies!$D1402)-1),IMDB_Movies!$D1402)</f>
        <v>Action</v>
      </c>
      <c r="V1402" s="2"/>
      <c r="W1402" s="2"/>
    </row>
    <row r="1403" spans="1:23" ht="12.5" x14ac:dyDescent="0.25">
      <c r="A1403" s="2" t="s">
        <v>160</v>
      </c>
      <c r="B1403" s="2">
        <v>123</v>
      </c>
      <c r="C1403" s="2">
        <v>10137502</v>
      </c>
      <c r="D1403" s="2" t="s">
        <v>2544</v>
      </c>
      <c r="E1403" s="2" t="s">
        <v>2545</v>
      </c>
      <c r="F1403" s="2" t="s">
        <v>14</v>
      </c>
      <c r="G1403" s="2" t="s">
        <v>15</v>
      </c>
      <c r="H1403" s="2">
        <v>35000000</v>
      </c>
      <c r="I1403" s="2">
        <v>7.4</v>
      </c>
      <c r="J1403" s="2">
        <f t="shared" si="10"/>
        <v>-24862498</v>
      </c>
      <c r="K1403" s="2">
        <f t="shared" si="11"/>
        <v>-1.7537718183868019E-2</v>
      </c>
      <c r="L1403" s="2" t="str">
        <f>IF(ISNUMBER(SEARCH("|",IMDB_Movies!$D1403)),LEFT(IMDB_Movies!$D1403,SEARCH("|",IMDB_Movies!$D1403)-1),IMDB_Movies!$D1403)</f>
        <v>Adventure</v>
      </c>
      <c r="V1403" s="2"/>
      <c r="W1403" s="2"/>
    </row>
    <row r="1404" spans="1:23" ht="12.5" x14ac:dyDescent="0.25">
      <c r="A1404" s="2" t="s">
        <v>2546</v>
      </c>
      <c r="B1404" s="2">
        <v>101</v>
      </c>
      <c r="C1404" s="2">
        <v>6448817</v>
      </c>
      <c r="D1404" s="2" t="s">
        <v>17</v>
      </c>
      <c r="E1404" s="2" t="s">
        <v>2547</v>
      </c>
      <c r="F1404" s="2" t="s">
        <v>14</v>
      </c>
      <c r="G1404" s="2" t="s">
        <v>15</v>
      </c>
      <c r="H1404" s="2">
        <v>35000000</v>
      </c>
      <c r="I1404" s="2">
        <v>4.5999999999999996</v>
      </c>
      <c r="J1404" s="2">
        <f t="shared" si="10"/>
        <v>-28551183</v>
      </c>
      <c r="K1404" s="2">
        <f t="shared" si="11"/>
        <v>-1.7532631832770432E-2</v>
      </c>
      <c r="L1404" s="2" t="str">
        <f>IF(ISNUMBER(SEARCH("|",IMDB_Movies!$D1404)),LEFT(IMDB_Movies!$D1404,SEARCH("|",IMDB_Movies!$D1404)-1),IMDB_Movies!$D1404)</f>
        <v>Action</v>
      </c>
      <c r="V1404" s="2"/>
      <c r="W1404" s="2"/>
    </row>
    <row r="1405" spans="1:23" ht="12.5" x14ac:dyDescent="0.25">
      <c r="A1405" s="2" t="s">
        <v>76</v>
      </c>
      <c r="B1405" s="2">
        <v>117</v>
      </c>
      <c r="C1405" s="2">
        <v>7458269</v>
      </c>
      <c r="D1405" s="2" t="s">
        <v>514</v>
      </c>
      <c r="E1405" s="2" t="s">
        <v>2548</v>
      </c>
      <c r="F1405" s="2" t="s">
        <v>14</v>
      </c>
      <c r="G1405" s="2" t="s">
        <v>15</v>
      </c>
      <c r="H1405" s="2">
        <v>35000000</v>
      </c>
      <c r="I1405" s="2">
        <v>6.9</v>
      </c>
      <c r="J1405" s="2">
        <f t="shared" si="10"/>
        <v>-27541731</v>
      </c>
      <c r="K1405" s="2">
        <f t="shared" si="11"/>
        <v>-1.7526576603541927E-2</v>
      </c>
      <c r="L1405" s="2" t="str">
        <f>IF(ISNUMBER(SEARCH("|",IMDB_Movies!$D1405)),LEFT(IMDB_Movies!$D1405,SEARCH("|",IMDB_Movies!$D1405)-1),IMDB_Movies!$D1405)</f>
        <v>Comedy</v>
      </c>
      <c r="V1405" s="2"/>
      <c r="W1405" s="2"/>
    </row>
    <row r="1406" spans="1:23" ht="12.5" x14ac:dyDescent="0.25">
      <c r="A1406" s="2" t="s">
        <v>391</v>
      </c>
      <c r="B1406" s="2">
        <v>114</v>
      </c>
      <c r="C1406" s="2">
        <v>4651977</v>
      </c>
      <c r="D1406" s="2" t="s">
        <v>1180</v>
      </c>
      <c r="E1406" s="2" t="s">
        <v>2549</v>
      </c>
      <c r="F1406" s="2" t="s">
        <v>14</v>
      </c>
      <c r="G1406" s="2" t="s">
        <v>15</v>
      </c>
      <c r="H1406" s="2">
        <v>35000000</v>
      </c>
      <c r="I1406" s="2">
        <v>6.9</v>
      </c>
      <c r="J1406" s="2">
        <f t="shared" si="10"/>
        <v>-30348023</v>
      </c>
      <c r="K1406" s="2">
        <f t="shared" si="11"/>
        <v>-1.7520772760134962E-2</v>
      </c>
      <c r="L1406" s="2" t="str">
        <f>IF(ISNUMBER(SEARCH("|",IMDB_Movies!$D1406)),LEFT(IMDB_Movies!$D1406,SEARCH("|",IMDB_Movies!$D1406)-1),IMDB_Movies!$D1406)</f>
        <v>Drama</v>
      </c>
      <c r="V1406" s="2"/>
      <c r="W1406" s="2"/>
    </row>
    <row r="1407" spans="1:23" ht="12.5" x14ac:dyDescent="0.25">
      <c r="A1407" s="2" t="s">
        <v>1303</v>
      </c>
      <c r="B1407" s="2">
        <v>330</v>
      </c>
      <c r="C1407" s="2">
        <v>4496583</v>
      </c>
      <c r="D1407" s="2" t="s">
        <v>694</v>
      </c>
      <c r="E1407" s="2" t="s">
        <v>2550</v>
      </c>
      <c r="F1407" s="2" t="s">
        <v>14</v>
      </c>
      <c r="G1407" s="2" t="s">
        <v>15</v>
      </c>
      <c r="H1407" s="2">
        <v>35000000</v>
      </c>
      <c r="I1407" s="2">
        <v>8</v>
      </c>
      <c r="J1407" s="2">
        <f t="shared" si="10"/>
        <v>-30503417</v>
      </c>
      <c r="K1407" s="2">
        <f t="shared" si="11"/>
        <v>-1.7514261129116908E-2</v>
      </c>
      <c r="L1407" s="2" t="str">
        <f>IF(ISNUMBER(SEARCH("|",IMDB_Movies!$D1407)),LEFT(IMDB_Movies!$D1407,SEARCH("|",IMDB_Movies!$D1407)-1),IMDB_Movies!$D1407)</f>
        <v>Crime</v>
      </c>
      <c r="V1407" s="2"/>
      <c r="W1407" s="2"/>
    </row>
    <row r="1408" spans="1:23" ht="12.5" x14ac:dyDescent="0.25">
      <c r="A1408" s="2" t="s">
        <v>2551</v>
      </c>
      <c r="B1408" s="2">
        <v>121</v>
      </c>
      <c r="C1408" s="2">
        <v>2221994</v>
      </c>
      <c r="D1408" s="2" t="s">
        <v>504</v>
      </c>
      <c r="E1408" s="2" t="s">
        <v>2552</v>
      </c>
      <c r="F1408" s="2" t="s">
        <v>14</v>
      </c>
      <c r="G1408" s="2" t="s">
        <v>2553</v>
      </c>
      <c r="H1408" s="2">
        <v>35000000</v>
      </c>
      <c r="I1408" s="2">
        <v>6.4</v>
      </c>
      <c r="J1408" s="2">
        <f t="shared" si="10"/>
        <v>-32778006</v>
      </c>
      <c r="K1408" s="2">
        <f t="shared" si="11"/>
        <v>-1.7507705462501241E-2</v>
      </c>
      <c r="L1408" s="2" t="str">
        <f>IF(ISNUMBER(SEARCH("|",IMDB_Movies!$D1408)),LEFT(IMDB_Movies!$D1408,SEARCH("|",IMDB_Movies!$D1408)-1),IMDB_Movies!$D1408)</f>
        <v>Action</v>
      </c>
      <c r="V1408" s="2"/>
      <c r="W1408" s="2"/>
    </row>
    <row r="1409" spans="1:23" ht="12.5" x14ac:dyDescent="0.25">
      <c r="A1409" s="2" t="s">
        <v>803</v>
      </c>
      <c r="B1409" s="2">
        <v>114</v>
      </c>
      <c r="C1409" s="2">
        <v>6592103</v>
      </c>
      <c r="D1409" s="2" t="s">
        <v>770</v>
      </c>
      <c r="E1409" s="2" t="s">
        <v>2554</v>
      </c>
      <c r="F1409" s="2" t="s">
        <v>14</v>
      </c>
      <c r="G1409" s="2" t="s">
        <v>686</v>
      </c>
      <c r="H1409" s="2">
        <v>35000000</v>
      </c>
      <c r="I1409" s="2">
        <v>6.3</v>
      </c>
      <c r="J1409" s="2">
        <f t="shared" si="10"/>
        <v>-28407897</v>
      </c>
      <c r="K1409" s="2">
        <f t="shared" si="11"/>
        <v>-1.7500604766978182E-2</v>
      </c>
      <c r="L1409" s="2" t="str">
        <f>IF(ISNUMBER(SEARCH("|",IMDB_Movies!$D1409)),LEFT(IMDB_Movies!$D1409,SEARCH("|",IMDB_Movies!$D1409)-1),IMDB_Movies!$D1409)</f>
        <v>Crime</v>
      </c>
      <c r="V1409" s="2"/>
      <c r="W1409" s="2"/>
    </row>
    <row r="1410" spans="1:23" ht="12.5" x14ac:dyDescent="0.25">
      <c r="A1410" s="2" t="s">
        <v>393</v>
      </c>
      <c r="B1410" s="2">
        <v>148</v>
      </c>
      <c r="C1410" s="2">
        <v>630779</v>
      </c>
      <c r="D1410" s="2" t="s">
        <v>2555</v>
      </c>
      <c r="E1410" s="2" t="s">
        <v>2556</v>
      </c>
      <c r="F1410" s="2" t="s">
        <v>14</v>
      </c>
      <c r="G1410" s="2" t="s">
        <v>15</v>
      </c>
      <c r="H1410" s="2">
        <v>35000000</v>
      </c>
      <c r="I1410" s="2">
        <v>6.8</v>
      </c>
      <c r="J1410" s="2">
        <f t="shared" si="10"/>
        <v>-34369221</v>
      </c>
      <c r="K1410" s="2">
        <f t="shared" si="11"/>
        <v>-1.7494555986026155E-2</v>
      </c>
      <c r="L1410" s="2" t="str">
        <f>IF(ISNUMBER(SEARCH("|",IMDB_Movies!$D1410)),LEFT(IMDB_Movies!$D1410,SEARCH("|",IMDB_Movies!$D1410)-1),IMDB_Movies!$D1410)</f>
        <v>Drama</v>
      </c>
      <c r="V1410" s="2"/>
      <c r="W1410" s="2"/>
    </row>
    <row r="1411" spans="1:23" ht="12.5" x14ac:dyDescent="0.25">
      <c r="A1411" s="2" t="s">
        <v>1381</v>
      </c>
      <c r="B1411" s="2">
        <v>113</v>
      </c>
      <c r="C1411" s="2">
        <v>102413606</v>
      </c>
      <c r="D1411" s="2" t="s">
        <v>589</v>
      </c>
      <c r="E1411" s="2" t="s">
        <v>2557</v>
      </c>
      <c r="F1411" s="2" t="s">
        <v>14</v>
      </c>
      <c r="G1411" s="2" t="s">
        <v>15</v>
      </c>
      <c r="H1411" s="2">
        <v>34000000</v>
      </c>
      <c r="I1411" s="2">
        <v>6.8</v>
      </c>
      <c r="J1411" s="2">
        <f t="shared" si="10"/>
        <v>68413606</v>
      </c>
      <c r="K1411" s="2">
        <f t="shared" si="11"/>
        <v>-1.7487080174915907E-2</v>
      </c>
      <c r="L1411" s="2" t="str">
        <f>IF(ISNUMBER(SEARCH("|",IMDB_Movies!$D1411)),LEFT(IMDB_Movies!$D1411,SEARCH("|",IMDB_Movies!$D1411)-1),IMDB_Movies!$D1411)</f>
        <v>Action</v>
      </c>
      <c r="V1411" s="2"/>
      <c r="W1411" s="2"/>
    </row>
    <row r="1412" spans="1:23" ht="12.5" x14ac:dyDescent="0.25">
      <c r="A1412" s="2" t="s">
        <v>2558</v>
      </c>
      <c r="B1412" s="2">
        <v>91</v>
      </c>
      <c r="C1412" s="2">
        <v>10214013</v>
      </c>
      <c r="D1412" s="2" t="s">
        <v>709</v>
      </c>
      <c r="E1412" s="2" t="s">
        <v>2559</v>
      </c>
      <c r="F1412" s="2" t="s">
        <v>14</v>
      </c>
      <c r="G1412" s="2" t="s">
        <v>15</v>
      </c>
      <c r="H1412" s="2">
        <v>35000000</v>
      </c>
      <c r="I1412" s="2">
        <v>5.4</v>
      </c>
      <c r="J1412" s="2">
        <f t="shared" si="10"/>
        <v>-24785987</v>
      </c>
      <c r="K1412" s="2">
        <f t="shared" si="11"/>
        <v>-1.7525789696887714E-2</v>
      </c>
      <c r="L1412" s="2" t="str">
        <f>IF(ISNUMBER(SEARCH("|",IMDB_Movies!$D1412)),LEFT(IMDB_Movies!$D1412,SEARCH("|",IMDB_Movies!$D1412)-1),IMDB_Movies!$D1412)</f>
        <v>Comedy</v>
      </c>
      <c r="V1412" s="2"/>
      <c r="W1412" s="2"/>
    </row>
    <row r="1413" spans="1:23" ht="12.5" x14ac:dyDescent="0.25">
      <c r="A1413" s="2" t="s">
        <v>191</v>
      </c>
      <c r="B1413" s="2">
        <v>139</v>
      </c>
      <c r="C1413" s="2">
        <v>32000000</v>
      </c>
      <c r="D1413" s="2" t="s">
        <v>85</v>
      </c>
      <c r="E1413" s="2" t="s">
        <v>2560</v>
      </c>
      <c r="F1413" s="2" t="s">
        <v>14</v>
      </c>
      <c r="G1413" s="2" t="s">
        <v>15</v>
      </c>
      <c r="H1413" s="2">
        <v>30000000</v>
      </c>
      <c r="I1413" s="2">
        <v>7.2</v>
      </c>
      <c r="J1413" s="2">
        <f t="shared" si="10"/>
        <v>2000000</v>
      </c>
      <c r="K1413" s="2">
        <f t="shared" si="11"/>
        <v>-1.7520685419604578E-2</v>
      </c>
      <c r="L1413" s="2" t="str">
        <f>IF(ISNUMBER(SEARCH("|",IMDB_Movies!$D1413)),LEFT(IMDB_Movies!$D1413,SEARCH("|",IMDB_Movies!$D1413)-1),IMDB_Movies!$D1413)</f>
        <v>Drama</v>
      </c>
      <c r="V1413" s="2"/>
      <c r="W1413" s="2"/>
    </row>
    <row r="1414" spans="1:23" ht="12.5" x14ac:dyDescent="0.25">
      <c r="A1414" s="2" t="s">
        <v>442</v>
      </c>
      <c r="B1414" s="2">
        <v>96</v>
      </c>
      <c r="C1414" s="2">
        <v>10139254</v>
      </c>
      <c r="D1414" s="2" t="s">
        <v>660</v>
      </c>
      <c r="E1414" s="2" t="s">
        <v>2561</v>
      </c>
      <c r="F1414" s="2" t="s">
        <v>14</v>
      </c>
      <c r="G1414" s="2" t="s">
        <v>15</v>
      </c>
      <c r="H1414" s="2">
        <v>35000000</v>
      </c>
      <c r="I1414" s="2">
        <v>7.3</v>
      </c>
      <c r="J1414" s="2">
        <f t="shared" si="10"/>
        <v>-24860746</v>
      </c>
      <c r="K1414" s="2">
        <f t="shared" si="11"/>
        <v>-1.7521635585212487E-2</v>
      </c>
      <c r="L1414" s="2" t="str">
        <f>IF(ISNUMBER(SEARCH("|",IMDB_Movies!$D1414)),LEFT(IMDB_Movies!$D1414,SEARCH("|",IMDB_Movies!$D1414)-1),IMDB_Movies!$D1414)</f>
        <v>Drama</v>
      </c>
      <c r="V1414" s="2"/>
      <c r="W1414" s="2"/>
    </row>
    <row r="1415" spans="1:23" ht="12.5" x14ac:dyDescent="0.25">
      <c r="A1415" s="2" t="s">
        <v>2562</v>
      </c>
      <c r="B1415" s="2">
        <v>102</v>
      </c>
      <c r="C1415" s="2">
        <v>11227940</v>
      </c>
      <c r="D1415" s="2" t="s">
        <v>2563</v>
      </c>
      <c r="E1415" s="2" t="s">
        <v>2564</v>
      </c>
      <c r="F1415" s="2" t="s">
        <v>14</v>
      </c>
      <c r="G1415" s="2" t="s">
        <v>15</v>
      </c>
      <c r="H1415" s="2">
        <v>34000000</v>
      </c>
      <c r="I1415" s="2">
        <v>5.2</v>
      </c>
      <c r="J1415" s="2">
        <f t="shared" si="10"/>
        <v>-22772060</v>
      </c>
      <c r="K1415" s="2">
        <f t="shared" si="11"/>
        <v>-1.7516505830869118E-2</v>
      </c>
      <c r="L1415" s="2" t="str">
        <f>IF(ISNUMBER(SEARCH("|",IMDB_Movies!$D1415)),LEFT(IMDB_Movies!$D1415,SEARCH("|",IMDB_Movies!$D1415)-1),IMDB_Movies!$D1415)</f>
        <v>Action</v>
      </c>
      <c r="V1415" s="2"/>
      <c r="W1415" s="2"/>
    </row>
    <row r="1416" spans="1:23" ht="12.5" x14ac:dyDescent="0.25">
      <c r="A1416" s="2" t="s">
        <v>636</v>
      </c>
      <c r="B1416" s="2">
        <v>96</v>
      </c>
      <c r="C1416" s="2">
        <v>183125</v>
      </c>
      <c r="D1416" s="2" t="s">
        <v>177</v>
      </c>
      <c r="E1416" s="2" t="s">
        <v>2565</v>
      </c>
      <c r="F1416" s="2" t="s">
        <v>14</v>
      </c>
      <c r="G1416" s="2" t="s">
        <v>15</v>
      </c>
      <c r="H1416" s="2">
        <v>35000000</v>
      </c>
      <c r="I1416" s="2">
        <v>5.5</v>
      </c>
      <c r="J1416" s="2">
        <f t="shared" si="10"/>
        <v>-34816875</v>
      </c>
      <c r="K1416" s="2">
        <f t="shared" si="11"/>
        <v>-1.7512274592918421E-2</v>
      </c>
      <c r="L1416" s="2" t="str">
        <f>IF(ISNUMBER(SEARCH("|",IMDB_Movies!$D1416)),LEFT(IMDB_Movies!$D1416,SEARCH("|",IMDB_Movies!$D1416)-1),IMDB_Movies!$D1416)</f>
        <v>Action</v>
      </c>
      <c r="V1416" s="2"/>
      <c r="W1416" s="2"/>
    </row>
    <row r="1417" spans="1:23" ht="12.5" x14ac:dyDescent="0.25">
      <c r="A1417" s="2" t="s">
        <v>2566</v>
      </c>
      <c r="B1417" s="2">
        <v>101</v>
      </c>
      <c r="C1417" s="2">
        <v>15081783</v>
      </c>
      <c r="D1417" s="2" t="s">
        <v>240</v>
      </c>
      <c r="E1417" s="2" t="s">
        <v>2567</v>
      </c>
      <c r="F1417" s="2" t="s">
        <v>2568</v>
      </c>
      <c r="G1417" s="2" t="s">
        <v>1032</v>
      </c>
      <c r="H1417" s="2">
        <v>34000000</v>
      </c>
      <c r="I1417" s="2">
        <v>7.7</v>
      </c>
      <c r="J1417" s="2">
        <f t="shared" si="10"/>
        <v>-18918217</v>
      </c>
      <c r="K1417" s="2">
        <f t="shared" si="11"/>
        <v>-1.750467515475353E-2</v>
      </c>
      <c r="L1417" s="2" t="str">
        <f>IF(ISNUMBER(SEARCH("|",IMDB_Movies!$D1417)),LEFT(IMDB_Movies!$D1417,SEARCH("|",IMDB_Movies!$D1417)-1),IMDB_Movies!$D1417)</f>
        <v>Adventure</v>
      </c>
      <c r="V1417" s="2"/>
      <c r="W1417" s="2"/>
    </row>
    <row r="1418" spans="1:23" ht="12.5" x14ac:dyDescent="0.25">
      <c r="A1418" s="2" t="s">
        <v>2569</v>
      </c>
      <c r="B1418" s="2">
        <v>128</v>
      </c>
      <c r="C1418" s="2">
        <v>37432299</v>
      </c>
      <c r="D1418" s="2" t="s">
        <v>85</v>
      </c>
      <c r="E1418" s="2" t="s">
        <v>2570</v>
      </c>
      <c r="F1418" s="2" t="s">
        <v>14</v>
      </c>
      <c r="G1418" s="2" t="s">
        <v>15</v>
      </c>
      <c r="H1418" s="2">
        <v>34000000</v>
      </c>
      <c r="I1418" s="2">
        <v>7.1</v>
      </c>
      <c r="J1418" s="2">
        <f t="shared" si="10"/>
        <v>3432299</v>
      </c>
      <c r="K1418" s="2">
        <f t="shared" si="11"/>
        <v>-1.7501392512166848E-2</v>
      </c>
      <c r="L1418" s="2" t="str">
        <f>IF(ISNUMBER(SEARCH("|",IMDB_Movies!$D1418)),LEFT(IMDB_Movies!$D1418,SEARCH("|",IMDB_Movies!$D1418)-1),IMDB_Movies!$D1418)</f>
        <v>Drama</v>
      </c>
      <c r="V1418" s="2"/>
      <c r="W1418" s="2"/>
    </row>
    <row r="1419" spans="1:23" ht="12.5" x14ac:dyDescent="0.25">
      <c r="A1419" s="2" t="s">
        <v>2571</v>
      </c>
      <c r="B1419" s="2">
        <v>109</v>
      </c>
      <c r="C1419" s="2">
        <v>10654581</v>
      </c>
      <c r="D1419" s="2" t="s">
        <v>942</v>
      </c>
      <c r="E1419" s="2" t="s">
        <v>2572</v>
      </c>
      <c r="F1419" s="2" t="s">
        <v>14</v>
      </c>
      <c r="G1419" s="2" t="s">
        <v>15</v>
      </c>
      <c r="H1419" s="2">
        <v>34000000</v>
      </c>
      <c r="I1419" s="2">
        <v>5.3</v>
      </c>
      <c r="J1419" s="2">
        <f t="shared" si="10"/>
        <v>-23345419</v>
      </c>
      <c r="K1419" s="2">
        <f t="shared" si="11"/>
        <v>-1.7505164026731003E-2</v>
      </c>
      <c r="L1419" s="2" t="str">
        <f>IF(ISNUMBER(SEARCH("|",IMDB_Movies!$D1419)),LEFT(IMDB_Movies!$D1419,SEARCH("|",IMDB_Movies!$D1419)-1),IMDB_Movies!$D1419)</f>
        <v>Drama</v>
      </c>
      <c r="V1419" s="2"/>
      <c r="W1419" s="2"/>
    </row>
    <row r="1420" spans="1:23" ht="12.5" x14ac:dyDescent="0.25">
      <c r="A1420" s="2" t="s">
        <v>2573</v>
      </c>
      <c r="B1420" s="2">
        <v>114</v>
      </c>
      <c r="C1420" s="2">
        <v>6543194</v>
      </c>
      <c r="D1420" s="2" t="s">
        <v>824</v>
      </c>
      <c r="E1420" s="2" t="s">
        <v>2574</v>
      </c>
      <c r="F1420" s="2" t="s">
        <v>14</v>
      </c>
      <c r="G1420" s="2" t="s">
        <v>15</v>
      </c>
      <c r="H1420" s="2">
        <v>34000000</v>
      </c>
      <c r="I1420" s="2">
        <v>5.6</v>
      </c>
      <c r="J1420" s="2">
        <f t="shared" si="10"/>
        <v>-27456806</v>
      </c>
      <c r="K1420" s="2">
        <f t="shared" si="11"/>
        <v>-1.7500782936943082E-2</v>
      </c>
      <c r="L1420" s="2" t="str">
        <f>IF(ISNUMBER(SEARCH("|",IMDB_Movies!$D1420)),LEFT(IMDB_Movies!$D1420,SEARCH("|",IMDB_Movies!$D1420)-1),IMDB_Movies!$D1420)</f>
        <v>Adventure</v>
      </c>
      <c r="V1420" s="2"/>
      <c r="W1420" s="2"/>
    </row>
    <row r="1421" spans="1:23" ht="12.5" x14ac:dyDescent="0.25">
      <c r="A1421" s="2" t="s">
        <v>1582</v>
      </c>
      <c r="B1421" s="2">
        <v>105</v>
      </c>
      <c r="C1421" s="2">
        <v>13101142</v>
      </c>
      <c r="D1421" s="2" t="s">
        <v>1343</v>
      </c>
      <c r="E1421" s="2" t="s">
        <v>2575</v>
      </c>
      <c r="F1421" s="2" t="s">
        <v>14</v>
      </c>
      <c r="G1421" s="2" t="s">
        <v>15</v>
      </c>
      <c r="H1421" s="2">
        <v>35000000</v>
      </c>
      <c r="I1421" s="2">
        <v>5.7</v>
      </c>
      <c r="J1421" s="2">
        <f t="shared" si="10"/>
        <v>-21898858</v>
      </c>
      <c r="K1421" s="2">
        <f t="shared" si="11"/>
        <v>-1.7495470005941052E-2</v>
      </c>
      <c r="L1421" s="2" t="str">
        <f>IF(ISNUMBER(SEARCH("|",IMDB_Movies!$D1421)),LEFT(IMDB_Movies!$D1421,SEARCH("|",IMDB_Movies!$D1421)-1),IMDB_Movies!$D1421)</f>
        <v>Comedy</v>
      </c>
      <c r="V1421" s="2"/>
      <c r="W1421" s="2"/>
    </row>
    <row r="1422" spans="1:23" ht="12.5" x14ac:dyDescent="0.25">
      <c r="A1422" s="2" t="s">
        <v>2224</v>
      </c>
      <c r="B1422" s="2">
        <v>141</v>
      </c>
      <c r="C1422" s="2">
        <v>8324748</v>
      </c>
      <c r="D1422" s="2" t="s">
        <v>2000</v>
      </c>
      <c r="E1422" s="2" t="s">
        <v>2576</v>
      </c>
      <c r="F1422" s="2" t="s">
        <v>14</v>
      </c>
      <c r="G1422" s="2" t="s">
        <v>22</v>
      </c>
      <c r="H1422" s="2">
        <v>35000000</v>
      </c>
      <c r="I1422" s="2">
        <v>7.1</v>
      </c>
      <c r="J1422" s="2">
        <f t="shared" si="10"/>
        <v>-26675252</v>
      </c>
      <c r="K1422" s="2">
        <f t="shared" si="11"/>
        <v>-1.749114307336716E-2</v>
      </c>
      <c r="L1422" s="2" t="str">
        <f>IF(ISNUMBER(SEARCH("|",IMDB_Movies!$D1422)),LEFT(IMDB_Movies!$D1422,SEARCH("|",IMDB_Movies!$D1422)-1),IMDB_Movies!$D1422)</f>
        <v>Biography</v>
      </c>
      <c r="V1422" s="2"/>
      <c r="W1422" s="2"/>
    </row>
    <row r="1423" spans="1:23" ht="12.5" x14ac:dyDescent="0.25">
      <c r="A1423" s="2" t="s">
        <v>1340</v>
      </c>
      <c r="B1423" s="2">
        <v>138</v>
      </c>
      <c r="C1423" s="2">
        <v>141340178</v>
      </c>
      <c r="D1423" s="2" t="s">
        <v>1400</v>
      </c>
      <c r="E1423" s="2" t="s">
        <v>2577</v>
      </c>
      <c r="F1423" s="2" t="s">
        <v>14</v>
      </c>
      <c r="G1423" s="2" t="s">
        <v>15</v>
      </c>
      <c r="H1423" s="2">
        <v>40000000</v>
      </c>
      <c r="I1423" s="2">
        <v>7.6</v>
      </c>
      <c r="J1423" s="2">
        <f t="shared" si="10"/>
        <v>101340178</v>
      </c>
      <c r="K1423" s="2">
        <f t="shared" si="11"/>
        <v>-1.7485492161274891E-2</v>
      </c>
      <c r="L1423" s="2" t="str">
        <f>IF(ISNUMBER(SEARCH("|",IMDB_Movies!$D1423)),LEFT(IMDB_Movies!$D1423,SEARCH("|",IMDB_Movies!$D1423)-1),IMDB_Movies!$D1423)</f>
        <v>Drama</v>
      </c>
      <c r="V1423" s="2"/>
      <c r="W1423" s="2"/>
    </row>
    <row r="1424" spans="1:23" ht="12.5" x14ac:dyDescent="0.25">
      <c r="A1424" s="2" t="s">
        <v>1192</v>
      </c>
      <c r="B1424" s="2">
        <v>101</v>
      </c>
      <c r="C1424" s="2">
        <v>51758599</v>
      </c>
      <c r="D1424" s="2" t="s">
        <v>1232</v>
      </c>
      <c r="E1424" s="2" t="s">
        <v>2578</v>
      </c>
      <c r="F1424" s="2" t="s">
        <v>14</v>
      </c>
      <c r="G1424" s="2" t="s">
        <v>15</v>
      </c>
      <c r="H1424" s="2">
        <v>33000000</v>
      </c>
      <c r="I1424" s="2">
        <v>5.5</v>
      </c>
      <c r="J1424" s="2">
        <f t="shared" si="10"/>
        <v>18758599</v>
      </c>
      <c r="K1424" s="2">
        <f t="shared" si="11"/>
        <v>-1.7583205616490023E-2</v>
      </c>
      <c r="L1424" s="2" t="str">
        <f>IF(ISNUMBER(SEARCH("|",IMDB_Movies!$D1424)),LEFT(IMDB_Movies!$D1424,SEARCH("|",IMDB_Movies!$D1424)-1),IMDB_Movies!$D1424)</f>
        <v>Action</v>
      </c>
      <c r="V1424" s="2"/>
      <c r="W1424" s="2"/>
    </row>
    <row r="1425" spans="1:23" ht="12.5" x14ac:dyDescent="0.25">
      <c r="A1425" s="2" t="s">
        <v>564</v>
      </c>
      <c r="B1425" s="2">
        <v>99</v>
      </c>
      <c r="C1425" s="2">
        <v>117559438</v>
      </c>
      <c r="D1425" s="2" t="s">
        <v>623</v>
      </c>
      <c r="E1425" s="2" t="s">
        <v>2579</v>
      </c>
      <c r="F1425" s="2" t="s">
        <v>14</v>
      </c>
      <c r="G1425" s="2" t="s">
        <v>15</v>
      </c>
      <c r="H1425" s="2">
        <v>30000000</v>
      </c>
      <c r="I1425" s="2">
        <v>5.0999999999999996</v>
      </c>
      <c r="J1425" s="2">
        <f t="shared" si="10"/>
        <v>87559438</v>
      </c>
      <c r="K1425" s="2">
        <f t="shared" si="11"/>
        <v>-1.7591908214263298E-2</v>
      </c>
      <c r="L1425" s="2" t="str">
        <f>IF(ISNUMBER(SEARCH("|",IMDB_Movies!$D1425)),LEFT(IMDB_Movies!$D1425,SEARCH("|",IMDB_Movies!$D1425)-1),IMDB_Movies!$D1425)</f>
        <v>Action</v>
      </c>
      <c r="V1425" s="2"/>
      <c r="W1425" s="2"/>
    </row>
    <row r="1426" spans="1:23" ht="12.5" x14ac:dyDescent="0.25">
      <c r="A1426" s="2" t="s">
        <v>2580</v>
      </c>
      <c r="B1426" s="2">
        <v>85</v>
      </c>
      <c r="C1426" s="2">
        <v>4091</v>
      </c>
      <c r="D1426" s="2" t="s">
        <v>106</v>
      </c>
      <c r="E1426" s="2" t="s">
        <v>2581</v>
      </c>
      <c r="F1426" s="2" t="s">
        <v>14</v>
      </c>
      <c r="G1426" s="2" t="s">
        <v>2582</v>
      </c>
      <c r="H1426" s="2">
        <v>34000000</v>
      </c>
      <c r="I1426" s="2">
        <v>6.3</v>
      </c>
      <c r="J1426" s="2">
        <f t="shared" si="10"/>
        <v>-33995909</v>
      </c>
      <c r="K1426" s="2">
        <f t="shared" si="11"/>
        <v>-1.7627972071500259E-2</v>
      </c>
      <c r="L1426" s="2" t="str">
        <f>IF(ISNUMBER(SEARCH("|",IMDB_Movies!$D1426)),LEFT(IMDB_Movies!$D1426,SEARCH("|",IMDB_Movies!$D1426)-1),IMDB_Movies!$D1426)</f>
        <v>Adventure</v>
      </c>
      <c r="V1426" s="2"/>
      <c r="W1426" s="2"/>
    </row>
    <row r="1427" spans="1:23" ht="12.5" x14ac:dyDescent="0.25">
      <c r="A1427" s="2" t="s">
        <v>2583</v>
      </c>
      <c r="B1427" s="2">
        <v>89</v>
      </c>
      <c r="C1427" s="2">
        <v>21426805</v>
      </c>
      <c r="D1427" s="2" t="s">
        <v>127</v>
      </c>
      <c r="E1427" s="2" t="s">
        <v>2584</v>
      </c>
      <c r="F1427" s="2" t="s">
        <v>14</v>
      </c>
      <c r="G1427" s="2" t="s">
        <v>15</v>
      </c>
      <c r="H1427" s="2">
        <v>30000000</v>
      </c>
      <c r="I1427" s="2">
        <v>4.9000000000000004</v>
      </c>
      <c r="J1427" s="2">
        <f t="shared" si="10"/>
        <v>-8573195</v>
      </c>
      <c r="K1427" s="2">
        <f t="shared" si="11"/>
        <v>-1.7621349488517599E-2</v>
      </c>
      <c r="L1427" s="2" t="str">
        <f>IF(ISNUMBER(SEARCH("|",IMDB_Movies!$D1427)),LEFT(IMDB_Movies!$D1427,SEARCH("|",IMDB_Movies!$D1427)-1),IMDB_Movies!$D1427)</f>
        <v>Action</v>
      </c>
      <c r="V1427" s="2"/>
      <c r="W1427" s="2"/>
    </row>
    <row r="1428" spans="1:23" ht="12.5" x14ac:dyDescent="0.25">
      <c r="A1428" s="2" t="s">
        <v>2585</v>
      </c>
      <c r="B1428" s="2">
        <v>99</v>
      </c>
      <c r="C1428" s="2">
        <v>35057332</v>
      </c>
      <c r="D1428" s="2" t="s">
        <v>2586</v>
      </c>
      <c r="E1428" s="2" t="s">
        <v>2587</v>
      </c>
      <c r="F1428" s="2" t="s">
        <v>14</v>
      </c>
      <c r="G1428" s="2" t="s">
        <v>15</v>
      </c>
      <c r="H1428" s="2">
        <v>33000000</v>
      </c>
      <c r="I1428" s="2">
        <v>6.5</v>
      </c>
      <c r="J1428" s="2">
        <f t="shared" si="10"/>
        <v>2057332</v>
      </c>
      <c r="K1428" s="2">
        <f t="shared" si="11"/>
        <v>-1.7620610533087291E-2</v>
      </c>
      <c r="L1428" s="2" t="str">
        <f>IF(ISNUMBER(SEARCH("|",IMDB_Movies!$D1428)),LEFT(IMDB_Movies!$D1428,SEARCH("|",IMDB_Movies!$D1428)-1),IMDB_Movies!$D1428)</f>
        <v>Drama</v>
      </c>
      <c r="V1428" s="2"/>
      <c r="W1428" s="2"/>
    </row>
    <row r="1429" spans="1:23" ht="12.5" x14ac:dyDescent="0.25">
      <c r="A1429" s="2" t="s">
        <v>1970</v>
      </c>
      <c r="B1429" s="2">
        <v>105</v>
      </c>
      <c r="C1429" s="2">
        <v>34014398</v>
      </c>
      <c r="D1429" s="2" t="s">
        <v>2588</v>
      </c>
      <c r="E1429" s="2" t="s">
        <v>2589</v>
      </c>
      <c r="F1429" s="2" t="s">
        <v>14</v>
      </c>
      <c r="G1429" s="2" t="s">
        <v>287</v>
      </c>
      <c r="H1429" s="2">
        <v>33000000</v>
      </c>
      <c r="I1429" s="2">
        <v>5.6</v>
      </c>
      <c r="J1429" s="2">
        <f t="shared" si="10"/>
        <v>1014398</v>
      </c>
      <c r="K1429" s="2">
        <f t="shared" si="11"/>
        <v>-1.7623213523245102E-2</v>
      </c>
      <c r="L1429" s="2" t="str">
        <f>IF(ISNUMBER(SEARCH("|",IMDB_Movies!$D1429)),LEFT(IMDB_Movies!$D1429,SEARCH("|",IMDB_Movies!$D1429)-1),IMDB_Movies!$D1429)</f>
        <v>Action</v>
      </c>
      <c r="V1429" s="2"/>
      <c r="W1429" s="2"/>
    </row>
    <row r="1430" spans="1:23" ht="12.5" x14ac:dyDescent="0.25">
      <c r="A1430" s="2" t="s">
        <v>2590</v>
      </c>
      <c r="B1430" s="2">
        <v>97</v>
      </c>
      <c r="C1430" s="2">
        <v>28927720</v>
      </c>
      <c r="D1430" s="2" t="s">
        <v>2591</v>
      </c>
      <c r="E1430" s="2" t="s">
        <v>2592</v>
      </c>
      <c r="F1430" s="2" t="s">
        <v>14</v>
      </c>
      <c r="G1430" s="2" t="s">
        <v>15</v>
      </c>
      <c r="H1430" s="2">
        <v>33000000</v>
      </c>
      <c r="I1430" s="2">
        <v>5.3</v>
      </c>
      <c r="J1430" s="2">
        <f t="shared" si="10"/>
        <v>-4072280</v>
      </c>
      <c r="K1430" s="2">
        <f t="shared" si="11"/>
        <v>-1.762548310818696E-2</v>
      </c>
      <c r="L1430" s="2" t="str">
        <f>IF(ISNUMBER(SEARCH("|",IMDB_Movies!$D1430)),LEFT(IMDB_Movies!$D1430,SEARCH("|",IMDB_Movies!$D1430)-1),IMDB_Movies!$D1430)</f>
        <v>Crime</v>
      </c>
      <c r="V1430" s="2"/>
      <c r="W1430" s="2"/>
    </row>
    <row r="1431" spans="1:23" ht="12.5" x14ac:dyDescent="0.25">
      <c r="A1431" s="2" t="s">
        <v>2593</v>
      </c>
      <c r="B1431" s="2">
        <v>140</v>
      </c>
      <c r="C1431" s="2">
        <v>33682273</v>
      </c>
      <c r="D1431" s="2" t="s">
        <v>177</v>
      </c>
      <c r="E1431" s="2" t="s">
        <v>2594</v>
      </c>
      <c r="F1431" s="2" t="s">
        <v>14</v>
      </c>
      <c r="G1431" s="2" t="s">
        <v>15</v>
      </c>
      <c r="H1431" s="2">
        <v>33000000</v>
      </c>
      <c r="I1431" s="2">
        <v>6.5</v>
      </c>
      <c r="J1431" s="2">
        <f t="shared" si="10"/>
        <v>682273</v>
      </c>
      <c r="K1431" s="2">
        <f t="shared" si="11"/>
        <v>-1.762619770412982E-2</v>
      </c>
      <c r="L1431" s="2" t="str">
        <f>IF(ISNUMBER(SEARCH("|",IMDB_Movies!$D1431)),LEFT(IMDB_Movies!$D1431,SEARCH("|",IMDB_Movies!$D1431)-1),IMDB_Movies!$D1431)</f>
        <v>Action</v>
      </c>
      <c r="V1431" s="2"/>
      <c r="W1431" s="2"/>
    </row>
    <row r="1432" spans="1:23" ht="12.5" x14ac:dyDescent="0.25">
      <c r="A1432" s="2" t="s">
        <v>2595</v>
      </c>
      <c r="B1432" s="2">
        <v>118</v>
      </c>
      <c r="C1432" s="2">
        <v>4280577</v>
      </c>
      <c r="D1432" s="2" t="s">
        <v>1672</v>
      </c>
      <c r="E1432" s="2" t="s">
        <v>2596</v>
      </c>
      <c r="F1432" s="2" t="s">
        <v>14</v>
      </c>
      <c r="G1432" s="2" t="s">
        <v>15</v>
      </c>
      <c r="H1432" s="2">
        <v>10000000</v>
      </c>
      <c r="I1432" s="2">
        <v>6.8</v>
      </c>
      <c r="J1432" s="2">
        <f t="shared" si="10"/>
        <v>-5719423</v>
      </c>
      <c r="K1432" s="2">
        <f t="shared" si="11"/>
        <v>-1.7628364702876584E-2</v>
      </c>
      <c r="L1432" s="2" t="str">
        <f>IF(ISNUMBER(SEARCH("|",IMDB_Movies!$D1432)),LEFT(IMDB_Movies!$D1432,SEARCH("|",IMDB_Movies!$D1432)-1),IMDB_Movies!$D1432)</f>
        <v>Drama</v>
      </c>
      <c r="V1432" s="2"/>
      <c r="W1432" s="2"/>
    </row>
    <row r="1433" spans="1:23" ht="12.5" x14ac:dyDescent="0.25">
      <c r="A1433" s="2" t="s">
        <v>2597</v>
      </c>
      <c r="B1433" s="2">
        <v>94</v>
      </c>
      <c r="C1433" s="2">
        <v>17120019</v>
      </c>
      <c r="D1433" s="2" t="s">
        <v>125</v>
      </c>
      <c r="E1433" s="2" t="s">
        <v>2598</v>
      </c>
      <c r="F1433" s="2" t="s">
        <v>14</v>
      </c>
      <c r="G1433" s="2" t="s">
        <v>15</v>
      </c>
      <c r="H1433" s="2">
        <v>30000000</v>
      </c>
      <c r="I1433" s="2">
        <v>6.5</v>
      </c>
      <c r="J1433" s="2">
        <f t="shared" si="10"/>
        <v>-12879981</v>
      </c>
      <c r="K1433" s="2">
        <f t="shared" si="11"/>
        <v>-1.7643701460677962E-2</v>
      </c>
      <c r="L1433" s="2" t="str">
        <f>IF(ISNUMBER(SEARCH("|",IMDB_Movies!$D1433)),LEFT(IMDB_Movies!$D1433,SEARCH("|",IMDB_Movies!$D1433)-1),IMDB_Movies!$D1433)</f>
        <v>Action</v>
      </c>
      <c r="V1433" s="2"/>
      <c r="W1433" s="2"/>
    </row>
    <row r="1434" spans="1:23" ht="12.5" x14ac:dyDescent="0.25">
      <c r="A1434" s="2" t="s">
        <v>136</v>
      </c>
      <c r="B1434" s="2">
        <v>124</v>
      </c>
      <c r="C1434" s="2">
        <v>8406264</v>
      </c>
      <c r="D1434" s="2" t="s">
        <v>514</v>
      </c>
      <c r="E1434" s="2" t="s">
        <v>2599</v>
      </c>
      <c r="F1434" s="2" t="s">
        <v>14</v>
      </c>
      <c r="G1434" s="2" t="s">
        <v>15</v>
      </c>
      <c r="H1434" s="2">
        <v>38000000</v>
      </c>
      <c r="I1434" s="2">
        <v>6</v>
      </c>
      <c r="J1434" s="2">
        <f t="shared" si="10"/>
        <v>-29593736</v>
      </c>
      <c r="K1434" s="2">
        <f t="shared" si="11"/>
        <v>-1.7642429506070728E-2</v>
      </c>
      <c r="L1434" s="2" t="str">
        <f>IF(ISNUMBER(SEARCH("|",IMDB_Movies!$D1434)),LEFT(IMDB_Movies!$D1434,SEARCH("|",IMDB_Movies!$D1434)-1),IMDB_Movies!$D1434)</f>
        <v>Comedy</v>
      </c>
      <c r="V1434" s="2"/>
      <c r="W1434" s="2"/>
    </row>
    <row r="1435" spans="1:23" ht="12.5" x14ac:dyDescent="0.25">
      <c r="A1435" s="2" t="s">
        <v>2600</v>
      </c>
      <c r="B1435" s="2">
        <v>134</v>
      </c>
      <c r="C1435" s="2">
        <v>309125409</v>
      </c>
      <c r="D1435" s="2" t="s">
        <v>12</v>
      </c>
      <c r="E1435" s="2" t="s">
        <v>2601</v>
      </c>
      <c r="F1435" s="2" t="s">
        <v>14</v>
      </c>
      <c r="G1435" s="2" t="s">
        <v>15</v>
      </c>
      <c r="H1435" s="2">
        <v>32500000</v>
      </c>
      <c r="I1435" s="2">
        <v>8.4</v>
      </c>
      <c r="J1435" s="2">
        <f t="shared" si="10"/>
        <v>276625409</v>
      </c>
      <c r="K1435" s="2">
        <f t="shared" si="11"/>
        <v>-1.7634642165779729E-2</v>
      </c>
      <c r="L1435" s="2" t="str">
        <f>IF(ISNUMBER(SEARCH("|",IMDB_Movies!$D1435)),LEFT(IMDB_Movies!$D1435,SEARCH("|",IMDB_Movies!$D1435)-1),IMDB_Movies!$D1435)</f>
        <v>Action</v>
      </c>
      <c r="V1435" s="2"/>
      <c r="W1435" s="2"/>
    </row>
    <row r="1436" spans="1:23" ht="12.5" x14ac:dyDescent="0.25">
      <c r="A1436" s="2" t="s">
        <v>2602</v>
      </c>
      <c r="B1436" s="2">
        <v>113</v>
      </c>
      <c r="C1436" s="2">
        <v>10955425</v>
      </c>
      <c r="D1436" s="2" t="s">
        <v>981</v>
      </c>
      <c r="E1436" s="2" t="s">
        <v>2603</v>
      </c>
      <c r="F1436" s="2" t="s">
        <v>14</v>
      </c>
      <c r="G1436" s="2" t="s">
        <v>22</v>
      </c>
      <c r="H1436" s="2">
        <v>30000000</v>
      </c>
      <c r="I1436" s="2">
        <v>6</v>
      </c>
      <c r="J1436" s="2">
        <f t="shared" si="10"/>
        <v>-19044575</v>
      </c>
      <c r="K1436" s="2">
        <f t="shared" si="11"/>
        <v>-1.7920388973494971E-2</v>
      </c>
      <c r="L1436" s="2" t="str">
        <f>IF(ISNUMBER(SEARCH("|",IMDB_Movies!$D1436)),LEFT(IMDB_Movies!$D1436,SEARCH("|",IMDB_Movies!$D1436)-1),IMDB_Movies!$D1436)</f>
        <v>Action</v>
      </c>
      <c r="V1436" s="2"/>
      <c r="W1436" s="2"/>
    </row>
    <row r="1437" spans="1:23" ht="12.5" x14ac:dyDescent="0.25">
      <c r="A1437" s="2" t="s">
        <v>2210</v>
      </c>
      <c r="B1437" s="2">
        <v>124</v>
      </c>
      <c r="C1437" s="2">
        <v>34180954</v>
      </c>
      <c r="D1437" s="2" t="s">
        <v>85</v>
      </c>
      <c r="E1437" s="2" t="s">
        <v>2604</v>
      </c>
      <c r="F1437" s="2" t="s">
        <v>14</v>
      </c>
      <c r="G1437" s="2" t="s">
        <v>15</v>
      </c>
      <c r="H1437" s="2">
        <v>32000000</v>
      </c>
      <c r="I1437" s="2">
        <v>7.6</v>
      </c>
      <c r="J1437" s="2">
        <f t="shared" si="10"/>
        <v>2180954</v>
      </c>
      <c r="K1437" s="2">
        <f t="shared" si="11"/>
        <v>-1.7918521655702867E-2</v>
      </c>
      <c r="L1437" s="2" t="str">
        <f>IF(ISNUMBER(SEARCH("|",IMDB_Movies!$D1437)),LEFT(IMDB_Movies!$D1437,SEARCH("|",IMDB_Movies!$D1437)-1),IMDB_Movies!$D1437)</f>
        <v>Drama</v>
      </c>
      <c r="V1437" s="2"/>
      <c r="W1437" s="2"/>
    </row>
    <row r="1438" spans="1:23" ht="12.5" x14ac:dyDescent="0.25">
      <c r="A1438" s="2" t="s">
        <v>188</v>
      </c>
      <c r="B1438" s="2">
        <v>97</v>
      </c>
      <c r="C1438" s="2">
        <v>173381405</v>
      </c>
      <c r="D1438" s="2" t="s">
        <v>919</v>
      </c>
      <c r="E1438" s="2" t="s">
        <v>2605</v>
      </c>
      <c r="F1438" s="2" t="s">
        <v>14</v>
      </c>
      <c r="G1438" s="2" t="s">
        <v>15</v>
      </c>
      <c r="H1438" s="2">
        <v>33000000</v>
      </c>
      <c r="I1438" s="2">
        <v>6.9</v>
      </c>
      <c r="J1438" s="2">
        <f t="shared" si="10"/>
        <v>140381405</v>
      </c>
      <c r="K1438" s="2">
        <f t="shared" si="11"/>
        <v>-1.7920598176587709E-2</v>
      </c>
      <c r="L1438" s="2" t="str">
        <f>IF(ISNUMBER(SEARCH("|",IMDB_Movies!$D1438)),LEFT(IMDB_Movies!$D1438,SEARCH("|",IMDB_Movies!$D1438)-1),IMDB_Movies!$D1438)</f>
        <v>Comedy</v>
      </c>
      <c r="V1438" s="2"/>
      <c r="W1438" s="2"/>
    </row>
    <row r="1439" spans="1:23" ht="12.5" x14ac:dyDescent="0.25">
      <c r="A1439" s="2" t="s">
        <v>264</v>
      </c>
      <c r="B1439" s="2">
        <v>123</v>
      </c>
      <c r="C1439" s="2">
        <v>104632573</v>
      </c>
      <c r="D1439" s="2" t="s">
        <v>2313</v>
      </c>
      <c r="E1439" s="2" t="s">
        <v>2606</v>
      </c>
      <c r="F1439" s="2" t="s">
        <v>14</v>
      </c>
      <c r="G1439" s="2" t="s">
        <v>15</v>
      </c>
      <c r="H1439" s="2">
        <v>32000000</v>
      </c>
      <c r="I1439" s="2">
        <v>6.4</v>
      </c>
      <c r="J1439" s="2">
        <f t="shared" si="10"/>
        <v>72632573</v>
      </c>
      <c r="K1439" s="2">
        <f t="shared" si="11"/>
        <v>-1.8021218435294941E-2</v>
      </c>
      <c r="L1439" s="2" t="str">
        <f>IF(ISNUMBER(SEARCH("|",IMDB_Movies!$D1439)),LEFT(IMDB_Movies!$D1439,SEARCH("|",IMDB_Movies!$D1439)-1),IMDB_Movies!$D1439)</f>
        <v>Drama</v>
      </c>
      <c r="V1439" s="2"/>
      <c r="W1439" s="2"/>
    </row>
    <row r="1440" spans="1:23" ht="12.5" x14ac:dyDescent="0.25">
      <c r="A1440" s="2" t="s">
        <v>1411</v>
      </c>
      <c r="B1440" s="2">
        <v>99</v>
      </c>
      <c r="C1440" s="2">
        <v>81150692</v>
      </c>
      <c r="D1440" s="2" t="s">
        <v>2607</v>
      </c>
      <c r="E1440" s="2" t="s">
        <v>2608</v>
      </c>
      <c r="F1440" s="2" t="s">
        <v>14</v>
      </c>
      <c r="G1440" s="2" t="s">
        <v>104</v>
      </c>
      <c r="H1440" s="2">
        <v>35000000</v>
      </c>
      <c r="I1440" s="2">
        <v>5.0999999999999996</v>
      </c>
      <c r="J1440" s="2">
        <f t="shared" si="10"/>
        <v>46150692</v>
      </c>
      <c r="K1440" s="2">
        <f t="shared" si="11"/>
        <v>-1.805722576034878E-2</v>
      </c>
      <c r="L1440" s="2" t="str">
        <f>IF(ISNUMBER(SEARCH("|",IMDB_Movies!$D1440)),LEFT(IMDB_Movies!$D1440,SEARCH("|",IMDB_Movies!$D1440)-1),IMDB_Movies!$D1440)</f>
        <v>Adventure</v>
      </c>
      <c r="V1440" s="2"/>
      <c r="W1440" s="2"/>
    </row>
    <row r="1441" spans="1:23" ht="12.5" x14ac:dyDescent="0.25">
      <c r="A1441" s="2" t="s">
        <v>391</v>
      </c>
      <c r="B1441" s="2">
        <v>101</v>
      </c>
      <c r="C1441" s="2">
        <v>60328558</v>
      </c>
      <c r="D1441" s="2" t="s">
        <v>2609</v>
      </c>
      <c r="E1441" s="2" t="s">
        <v>2610</v>
      </c>
      <c r="F1441" s="2" t="s">
        <v>14</v>
      </c>
      <c r="G1441" s="2" t="s">
        <v>15</v>
      </c>
      <c r="H1441" s="2">
        <v>32000000</v>
      </c>
      <c r="I1441" s="2">
        <v>7</v>
      </c>
      <c r="J1441" s="2">
        <f t="shared" si="10"/>
        <v>28328558</v>
      </c>
      <c r="K1441" s="2">
        <f t="shared" si="11"/>
        <v>-1.808562889711508E-2</v>
      </c>
      <c r="L1441" s="2" t="str">
        <f>IF(ISNUMBER(SEARCH("|",IMDB_Movies!$D1441)),LEFT(IMDB_Movies!$D1441,SEARCH("|",IMDB_Movies!$D1441)-1),IMDB_Movies!$D1441)</f>
        <v>Comedy</v>
      </c>
      <c r="V1441" s="2"/>
      <c r="W1441" s="2"/>
    </row>
    <row r="1442" spans="1:23" ht="12.5" x14ac:dyDescent="0.25">
      <c r="A1442" s="2" t="s">
        <v>2611</v>
      </c>
      <c r="B1442" s="2">
        <v>92</v>
      </c>
      <c r="C1442" s="2">
        <v>80197993</v>
      </c>
      <c r="D1442" s="2" t="s">
        <v>2612</v>
      </c>
      <c r="E1442" s="2" t="s">
        <v>2613</v>
      </c>
      <c r="F1442" s="2" t="s">
        <v>14</v>
      </c>
      <c r="G1442" s="2" t="s">
        <v>287</v>
      </c>
      <c r="H1442" s="2">
        <v>32000000</v>
      </c>
      <c r="I1442" s="2">
        <v>5.7</v>
      </c>
      <c r="J1442" s="2">
        <f t="shared" si="10"/>
        <v>48197993</v>
      </c>
      <c r="K1442" s="2">
        <f t="shared" si="11"/>
        <v>-1.8097199222707968E-2</v>
      </c>
      <c r="L1442" s="2" t="str">
        <f>IF(ISNUMBER(SEARCH("|",IMDB_Movies!$D1442)),LEFT(IMDB_Movies!$D1442,SEARCH("|",IMDB_Movies!$D1442)-1),IMDB_Movies!$D1442)</f>
        <v>Comedy</v>
      </c>
      <c r="V1442" s="2"/>
      <c r="W1442" s="2"/>
    </row>
    <row r="1443" spans="1:23" ht="12.5" x14ac:dyDescent="0.25">
      <c r="A1443" s="2" t="s">
        <v>358</v>
      </c>
      <c r="B1443" s="2">
        <v>131</v>
      </c>
      <c r="C1443" s="2">
        <v>169076745</v>
      </c>
      <c r="D1443" s="2" t="s">
        <v>600</v>
      </c>
      <c r="E1443" s="2" t="s">
        <v>2614</v>
      </c>
      <c r="F1443" s="2" t="s">
        <v>14</v>
      </c>
      <c r="G1443" s="2" t="s">
        <v>15</v>
      </c>
      <c r="H1443" s="2">
        <v>32500000</v>
      </c>
      <c r="I1443" s="2">
        <v>6.8</v>
      </c>
      <c r="J1443" s="2">
        <f t="shared" si="10"/>
        <v>136576745</v>
      </c>
      <c r="K1443" s="2">
        <f t="shared" si="11"/>
        <v>-1.8118493706300007E-2</v>
      </c>
      <c r="L1443" s="2" t="str">
        <f>IF(ISNUMBER(SEARCH("|",IMDB_Movies!$D1443)),LEFT(IMDB_Movies!$D1443,SEARCH("|",IMDB_Movies!$D1443)-1),IMDB_Movies!$D1443)</f>
        <v>Comedy</v>
      </c>
      <c r="V1443" s="2"/>
      <c r="W1443" s="2"/>
    </row>
    <row r="1444" spans="1:23" ht="12.5" x14ac:dyDescent="0.25">
      <c r="A1444" s="2" t="s">
        <v>2076</v>
      </c>
      <c r="B1444" s="2">
        <v>107</v>
      </c>
      <c r="C1444" s="2">
        <v>101470202</v>
      </c>
      <c r="D1444" s="2" t="s">
        <v>975</v>
      </c>
      <c r="E1444" s="2" t="s">
        <v>2615</v>
      </c>
      <c r="F1444" s="2" t="s">
        <v>14</v>
      </c>
      <c r="G1444" s="2" t="s">
        <v>15</v>
      </c>
      <c r="H1444" s="2">
        <v>32000000</v>
      </c>
      <c r="I1444" s="2">
        <v>6.7</v>
      </c>
      <c r="J1444" s="2">
        <f t="shared" si="10"/>
        <v>69470202</v>
      </c>
      <c r="K1444" s="2">
        <f t="shared" si="11"/>
        <v>-1.8213256566847733E-2</v>
      </c>
      <c r="L1444" s="2" t="str">
        <f>IF(ISNUMBER(SEARCH("|",IMDB_Movies!$D1444)),LEFT(IMDB_Movies!$D1444,SEARCH("|",IMDB_Movies!$D1444)-1),IMDB_Movies!$D1444)</f>
        <v>Comedy</v>
      </c>
      <c r="V1444" s="2"/>
      <c r="W1444" s="2"/>
    </row>
    <row r="1445" spans="1:23" ht="12.5" x14ac:dyDescent="0.25">
      <c r="A1445" s="2" t="s">
        <v>2616</v>
      </c>
      <c r="B1445" s="2">
        <v>103</v>
      </c>
      <c r="C1445" s="2">
        <v>50041732</v>
      </c>
      <c r="D1445" s="2" t="s">
        <v>2148</v>
      </c>
      <c r="E1445" s="2" t="s">
        <v>2617</v>
      </c>
      <c r="F1445" s="2" t="s">
        <v>14</v>
      </c>
      <c r="G1445" s="2" t="s">
        <v>15</v>
      </c>
      <c r="H1445" s="2">
        <v>29000000</v>
      </c>
      <c r="I1445" s="2">
        <v>6.2</v>
      </c>
      <c r="J1445" s="2">
        <f t="shared" si="10"/>
        <v>21041732</v>
      </c>
      <c r="K1445" s="2">
        <f t="shared" si="11"/>
        <v>-1.8247725880898093E-2</v>
      </c>
      <c r="L1445" s="2" t="str">
        <f>IF(ISNUMBER(SEARCH("|",IMDB_Movies!$D1445)),LEFT(IMDB_Movies!$D1445,SEARCH("|",IMDB_Movies!$D1445)-1),IMDB_Movies!$D1445)</f>
        <v>Horror</v>
      </c>
      <c r="V1445" s="2"/>
      <c r="W1445" s="2"/>
    </row>
    <row r="1446" spans="1:23" ht="12.5" x14ac:dyDescent="0.25">
      <c r="A1446" s="2" t="s">
        <v>2569</v>
      </c>
      <c r="B1446" s="2">
        <v>129</v>
      </c>
      <c r="C1446" s="2">
        <v>48814909</v>
      </c>
      <c r="D1446" s="2" t="s">
        <v>555</v>
      </c>
      <c r="E1446" s="2" t="s">
        <v>2618</v>
      </c>
      <c r="F1446" s="2" t="s">
        <v>14</v>
      </c>
      <c r="G1446" s="2" t="s">
        <v>15</v>
      </c>
      <c r="H1446" s="2">
        <v>32000000</v>
      </c>
      <c r="I1446" s="2">
        <v>7.2</v>
      </c>
      <c r="J1446" s="2">
        <f t="shared" si="10"/>
        <v>16814909</v>
      </c>
      <c r="K1446" s="2">
        <f t="shared" si="11"/>
        <v>-1.8252327439490384E-2</v>
      </c>
      <c r="L1446" s="2" t="str">
        <f>IF(ISNUMBER(SEARCH("|",IMDB_Movies!$D1446)),LEFT(IMDB_Movies!$D1446,SEARCH("|",IMDB_Movies!$D1446)-1),IMDB_Movies!$D1446)</f>
        <v>Biography</v>
      </c>
      <c r="V1446" s="2"/>
      <c r="W1446" s="2"/>
    </row>
    <row r="1447" spans="1:23" ht="12.5" x14ac:dyDescent="0.25">
      <c r="A1447" s="2" t="s">
        <v>2619</v>
      </c>
      <c r="B1447" s="2">
        <v>107</v>
      </c>
      <c r="C1447" s="2">
        <v>57744720</v>
      </c>
      <c r="D1447" s="2" t="s">
        <v>125</v>
      </c>
      <c r="E1447" s="2" t="s">
        <v>2620</v>
      </c>
      <c r="F1447" s="2" t="s">
        <v>14</v>
      </c>
      <c r="G1447" s="2" t="s">
        <v>15</v>
      </c>
      <c r="H1447" s="2">
        <v>20000000</v>
      </c>
      <c r="I1447" s="2">
        <v>6.2</v>
      </c>
      <c r="J1447" s="2">
        <f t="shared" si="10"/>
        <v>37744720</v>
      </c>
      <c r="K1447" s="2">
        <f t="shared" si="11"/>
        <v>-1.8259391370452627E-2</v>
      </c>
      <c r="L1447" s="2" t="str">
        <f>IF(ISNUMBER(SEARCH("|",IMDB_Movies!$D1447)),LEFT(IMDB_Movies!$D1447,SEARCH("|",IMDB_Movies!$D1447)-1),IMDB_Movies!$D1447)</f>
        <v>Action</v>
      </c>
      <c r="V1447" s="2"/>
      <c r="W1447" s="2"/>
    </row>
    <row r="1448" spans="1:23" ht="12.5" x14ac:dyDescent="0.25">
      <c r="A1448" s="2" t="s">
        <v>2621</v>
      </c>
      <c r="B1448" s="2">
        <v>89</v>
      </c>
      <c r="C1448" s="2">
        <v>21784432</v>
      </c>
      <c r="D1448" s="2" t="s">
        <v>709</v>
      </c>
      <c r="E1448" s="2" t="s">
        <v>2622</v>
      </c>
      <c r="F1448" s="2" t="s">
        <v>14</v>
      </c>
      <c r="G1448" s="2" t="s">
        <v>15</v>
      </c>
      <c r="H1448" s="2">
        <v>35000000</v>
      </c>
      <c r="I1448" s="2">
        <v>5.6</v>
      </c>
      <c r="J1448" s="2">
        <f t="shared" si="10"/>
        <v>-13215568</v>
      </c>
      <c r="K1448" s="2">
        <f t="shared" si="11"/>
        <v>-1.8254592250894944E-2</v>
      </c>
      <c r="L1448" s="2" t="str">
        <f>IF(ISNUMBER(SEARCH("|",IMDB_Movies!$D1448)),LEFT(IMDB_Movies!$D1448,SEARCH("|",IMDB_Movies!$D1448)-1),IMDB_Movies!$D1448)</f>
        <v>Comedy</v>
      </c>
      <c r="V1448" s="2"/>
      <c r="W1448" s="2"/>
    </row>
    <row r="1449" spans="1:23" ht="12.5" x14ac:dyDescent="0.25">
      <c r="A1449" s="2" t="s">
        <v>2140</v>
      </c>
      <c r="B1449" s="2">
        <v>113</v>
      </c>
      <c r="C1449" s="2">
        <v>37911876</v>
      </c>
      <c r="D1449" s="2" t="s">
        <v>623</v>
      </c>
      <c r="E1449" s="2" t="s">
        <v>2623</v>
      </c>
      <c r="F1449" s="2" t="s">
        <v>14</v>
      </c>
      <c r="G1449" s="2" t="s">
        <v>15</v>
      </c>
      <c r="H1449" s="2">
        <v>32000000</v>
      </c>
      <c r="I1449" s="2">
        <v>4.4000000000000004</v>
      </c>
      <c r="J1449" s="2">
        <f t="shared" si="10"/>
        <v>5911876</v>
      </c>
      <c r="K1449" s="2">
        <f t="shared" si="11"/>
        <v>-1.8253071781924566E-2</v>
      </c>
      <c r="L1449" s="2" t="str">
        <f>IF(ISNUMBER(SEARCH("|",IMDB_Movies!$D1449)),LEFT(IMDB_Movies!$D1449,SEARCH("|",IMDB_Movies!$D1449)-1),IMDB_Movies!$D1449)</f>
        <v>Action</v>
      </c>
      <c r="V1449" s="2"/>
      <c r="W1449" s="2"/>
    </row>
    <row r="1450" spans="1:23" ht="12.5" x14ac:dyDescent="0.25">
      <c r="A1450" s="2" t="s">
        <v>275</v>
      </c>
      <c r="B1450" s="2">
        <v>93</v>
      </c>
      <c r="C1450" s="2">
        <v>54696902</v>
      </c>
      <c r="D1450" s="2" t="s">
        <v>1710</v>
      </c>
      <c r="E1450" s="2" t="s">
        <v>2624</v>
      </c>
      <c r="F1450" s="2" t="s">
        <v>14</v>
      </c>
      <c r="G1450" s="2" t="s">
        <v>15</v>
      </c>
      <c r="H1450" s="2">
        <v>32000000</v>
      </c>
      <c r="I1450" s="2">
        <v>7.5</v>
      </c>
      <c r="J1450" s="2">
        <f t="shared" si="10"/>
        <v>22696902</v>
      </c>
      <c r="K1450" s="2">
        <f t="shared" si="11"/>
        <v>-1.8256396189164574E-2</v>
      </c>
      <c r="L1450" s="2" t="str">
        <f>IF(ISNUMBER(SEARCH("|",IMDB_Movies!$D1450)),LEFT(IMDB_Movies!$D1450,SEARCH("|",IMDB_Movies!$D1450)-1),IMDB_Movies!$D1450)</f>
        <v>Mystery</v>
      </c>
      <c r="V1450" s="2"/>
      <c r="W1450" s="2"/>
    </row>
    <row r="1451" spans="1:23" ht="12.5" x14ac:dyDescent="0.25">
      <c r="A1451" s="2" t="s">
        <v>1729</v>
      </c>
      <c r="B1451" s="2">
        <v>120</v>
      </c>
      <c r="C1451" s="2">
        <v>36733909</v>
      </c>
      <c r="D1451" s="2" t="s">
        <v>2544</v>
      </c>
      <c r="E1451" s="2" t="s">
        <v>2625</v>
      </c>
      <c r="F1451" s="2" t="s">
        <v>14</v>
      </c>
      <c r="G1451" s="2" t="s">
        <v>15</v>
      </c>
      <c r="H1451" s="2">
        <v>32000000</v>
      </c>
      <c r="I1451" s="2">
        <v>7.1</v>
      </c>
      <c r="J1451" s="2">
        <f t="shared" si="10"/>
        <v>4733909</v>
      </c>
      <c r="K1451" s="2">
        <f t="shared" si="11"/>
        <v>-1.8265782006206259E-2</v>
      </c>
      <c r="L1451" s="2" t="str">
        <f>IF(ISNUMBER(SEARCH("|",IMDB_Movies!$D1451)),LEFT(IMDB_Movies!$D1451,SEARCH("|",IMDB_Movies!$D1451)-1),IMDB_Movies!$D1451)</f>
        <v>Adventure</v>
      </c>
      <c r="V1451" s="2"/>
      <c r="W1451" s="2"/>
    </row>
    <row r="1452" spans="1:23" ht="12.5" x14ac:dyDescent="0.25">
      <c r="A1452" s="2" t="s">
        <v>482</v>
      </c>
      <c r="B1452" s="2">
        <v>98</v>
      </c>
      <c r="C1452" s="2">
        <v>35063732</v>
      </c>
      <c r="D1452" s="2" t="s">
        <v>315</v>
      </c>
      <c r="E1452" s="2" t="s">
        <v>2626</v>
      </c>
      <c r="F1452" s="2" t="s">
        <v>14</v>
      </c>
      <c r="G1452" s="2" t="s">
        <v>15</v>
      </c>
      <c r="H1452" s="2">
        <v>32000000</v>
      </c>
      <c r="I1452" s="2">
        <v>6.4</v>
      </c>
      <c r="J1452" s="2">
        <f t="shared" si="10"/>
        <v>3063732</v>
      </c>
      <c r="K1452" s="2">
        <f t="shared" si="11"/>
        <v>-1.8268749185100602E-2</v>
      </c>
      <c r="L1452" s="2" t="str">
        <f>IF(ISNUMBER(SEARCH("|",IMDB_Movies!$D1452)),LEFT(IMDB_Movies!$D1452,SEARCH("|",IMDB_Movies!$D1452)-1),IMDB_Movies!$D1452)</f>
        <v>Mystery</v>
      </c>
      <c r="V1452" s="2"/>
      <c r="W1452" s="2"/>
    </row>
    <row r="1453" spans="1:23" ht="12.5" x14ac:dyDescent="0.25">
      <c r="A1453" s="2" t="s">
        <v>1435</v>
      </c>
      <c r="B1453" s="2">
        <v>105</v>
      </c>
      <c r="C1453" s="2">
        <v>99462</v>
      </c>
      <c r="D1453" s="2" t="s">
        <v>2627</v>
      </c>
      <c r="E1453" s="2" t="s">
        <v>2628</v>
      </c>
      <c r="F1453" s="2" t="s">
        <v>14</v>
      </c>
      <c r="G1453" s="2" t="s">
        <v>686</v>
      </c>
      <c r="H1453" s="2">
        <v>33000000</v>
      </c>
      <c r="I1453" s="2">
        <v>7.1</v>
      </c>
      <c r="J1453" s="2">
        <f t="shared" si="10"/>
        <v>-32900538</v>
      </c>
      <c r="K1453" s="2">
        <f t="shared" si="11"/>
        <v>-1.8271213204898665E-2</v>
      </c>
      <c r="L1453" s="2" t="str">
        <f>IF(ISNUMBER(SEARCH("|",IMDB_Movies!$D1453)),LEFT(IMDB_Movies!$D1453,SEARCH("|",IMDB_Movies!$D1453)-1),IMDB_Movies!$D1453)</f>
        <v>Action</v>
      </c>
      <c r="V1453" s="2"/>
      <c r="W1453" s="2"/>
    </row>
    <row r="1454" spans="1:23" ht="12.5" x14ac:dyDescent="0.25">
      <c r="A1454" s="2" t="s">
        <v>2629</v>
      </c>
      <c r="B1454" s="2">
        <v>98</v>
      </c>
      <c r="C1454" s="2">
        <v>32701088</v>
      </c>
      <c r="D1454" s="2" t="s">
        <v>2630</v>
      </c>
      <c r="E1454" s="2" t="s">
        <v>2631</v>
      </c>
      <c r="F1454" s="2" t="s">
        <v>14</v>
      </c>
      <c r="G1454" s="2" t="s">
        <v>15</v>
      </c>
      <c r="H1454" s="2">
        <v>32000000</v>
      </c>
      <c r="I1454" s="2">
        <v>6.9</v>
      </c>
      <c r="J1454" s="2">
        <f t="shared" si="10"/>
        <v>701088</v>
      </c>
      <c r="K1454" s="2">
        <f t="shared" si="11"/>
        <v>-1.8265632619297163E-2</v>
      </c>
      <c r="L1454" s="2" t="str">
        <f>IF(ISNUMBER(SEARCH("|",IMDB_Movies!$D1454)),LEFT(IMDB_Movies!$D1454,SEARCH("|",IMDB_Movies!$D1454)-1),IMDB_Movies!$D1454)</f>
        <v>Drama</v>
      </c>
      <c r="V1454" s="2"/>
      <c r="W1454" s="2"/>
    </row>
    <row r="1455" spans="1:23" ht="12.5" x14ac:dyDescent="0.25">
      <c r="A1455" s="2" t="s">
        <v>1829</v>
      </c>
      <c r="B1455" s="2">
        <v>96</v>
      </c>
      <c r="C1455" s="2">
        <v>31493782</v>
      </c>
      <c r="D1455" s="2" t="s">
        <v>763</v>
      </c>
      <c r="E1455" s="2" t="s">
        <v>2632</v>
      </c>
      <c r="F1455" s="2" t="s">
        <v>14</v>
      </c>
      <c r="G1455" s="2" t="s">
        <v>15</v>
      </c>
      <c r="H1455" s="2">
        <v>32000000</v>
      </c>
      <c r="I1455" s="2">
        <v>7.5</v>
      </c>
      <c r="J1455" s="2">
        <f t="shared" si="10"/>
        <v>-506218</v>
      </c>
      <c r="K1455" s="2">
        <f t="shared" si="11"/>
        <v>-1.826740756937606E-2</v>
      </c>
      <c r="L1455" s="2" t="str">
        <f>IF(ISNUMBER(SEARCH("|",IMDB_Movies!$D1455)),LEFT(IMDB_Movies!$D1455,SEARCH("|",IMDB_Movies!$D1455)-1),IMDB_Movies!$D1455)</f>
        <v>Crime</v>
      </c>
      <c r="V1455" s="2"/>
      <c r="W1455" s="2"/>
    </row>
    <row r="1456" spans="1:23" ht="12.5" x14ac:dyDescent="0.25">
      <c r="A1456" s="2" t="s">
        <v>413</v>
      </c>
      <c r="B1456" s="2">
        <v>87</v>
      </c>
      <c r="C1456" s="2">
        <v>43095600</v>
      </c>
      <c r="D1456" s="2" t="s">
        <v>125</v>
      </c>
      <c r="E1456" s="2" t="s">
        <v>2633</v>
      </c>
      <c r="F1456" s="2" t="s">
        <v>14</v>
      </c>
      <c r="G1456" s="2" t="s">
        <v>686</v>
      </c>
      <c r="H1456" s="2">
        <v>32000000</v>
      </c>
      <c r="I1456" s="2">
        <v>6.3</v>
      </c>
      <c r="J1456" s="2">
        <f t="shared" si="10"/>
        <v>11095600</v>
      </c>
      <c r="K1456" s="2">
        <f t="shared" si="11"/>
        <v>-1.8268843821437009E-2</v>
      </c>
      <c r="L1456" s="2" t="str">
        <f>IF(ISNUMBER(SEARCH("|",IMDB_Movies!$D1456)),LEFT(IMDB_Movies!$D1456,SEARCH("|",IMDB_Movies!$D1456)-1),IMDB_Movies!$D1456)</f>
        <v>Action</v>
      </c>
      <c r="V1456" s="2"/>
      <c r="W1456" s="2"/>
    </row>
    <row r="1457" spans="1:23" ht="12.5" x14ac:dyDescent="0.25">
      <c r="A1457" s="2" t="s">
        <v>39</v>
      </c>
      <c r="B1457" s="2">
        <v>107</v>
      </c>
      <c r="C1457" s="2">
        <v>18636537</v>
      </c>
      <c r="D1457" s="2" t="s">
        <v>2634</v>
      </c>
      <c r="E1457" s="2" t="s">
        <v>2635</v>
      </c>
      <c r="F1457" s="2" t="s">
        <v>14</v>
      </c>
      <c r="G1457" s="2" t="s">
        <v>1032</v>
      </c>
      <c r="H1457" s="2">
        <v>32000000</v>
      </c>
      <c r="I1457" s="2">
        <v>6.4</v>
      </c>
      <c r="J1457" s="2">
        <f t="shared" si="10"/>
        <v>-13363463</v>
      </c>
      <c r="K1457" s="2">
        <f t="shared" si="11"/>
        <v>-1.8273891569179412E-2</v>
      </c>
      <c r="L1457" s="2" t="str">
        <f>IF(ISNUMBER(SEARCH("|",IMDB_Movies!$D1457)),LEFT(IMDB_Movies!$D1457,SEARCH("|",IMDB_Movies!$D1457)-1),IMDB_Movies!$D1457)</f>
        <v>Action</v>
      </c>
      <c r="V1457" s="2"/>
      <c r="W1457" s="2"/>
    </row>
    <row r="1458" spans="1:23" ht="12.5" x14ac:dyDescent="0.25">
      <c r="A1458" s="2" t="s">
        <v>1972</v>
      </c>
      <c r="B1458" s="2">
        <v>90</v>
      </c>
      <c r="C1458" s="2">
        <v>17848322</v>
      </c>
      <c r="D1458" s="2" t="s">
        <v>600</v>
      </c>
      <c r="E1458" s="2" t="s">
        <v>2636</v>
      </c>
      <c r="F1458" s="2" t="s">
        <v>14</v>
      </c>
      <c r="G1458" s="2" t="s">
        <v>2637</v>
      </c>
      <c r="H1458" s="2">
        <v>28000000</v>
      </c>
      <c r="I1458" s="2">
        <v>5.9</v>
      </c>
      <c r="J1458" s="2">
        <f t="shared" si="10"/>
        <v>-10151678</v>
      </c>
      <c r="K1458" s="2">
        <f t="shared" si="11"/>
        <v>-1.8272213063066763E-2</v>
      </c>
      <c r="L1458" s="2" t="str">
        <f>IF(ISNUMBER(SEARCH("|",IMDB_Movies!$D1458)),LEFT(IMDB_Movies!$D1458,SEARCH("|",IMDB_Movies!$D1458)-1),IMDB_Movies!$D1458)</f>
        <v>Comedy</v>
      </c>
      <c r="V1458" s="2"/>
      <c r="W1458" s="2"/>
    </row>
    <row r="1459" spans="1:23" ht="12.5" x14ac:dyDescent="0.25">
      <c r="A1459" s="2" t="s">
        <v>191</v>
      </c>
      <c r="B1459" s="2">
        <v>121</v>
      </c>
      <c r="C1459" s="2">
        <v>16640210</v>
      </c>
      <c r="D1459" s="2" t="s">
        <v>1400</v>
      </c>
      <c r="E1459" s="2" t="s">
        <v>2638</v>
      </c>
      <c r="F1459" s="2" t="s">
        <v>14</v>
      </c>
      <c r="G1459" s="2" t="s">
        <v>15</v>
      </c>
      <c r="H1459" s="2">
        <v>55000000</v>
      </c>
      <c r="I1459" s="2">
        <v>6.8</v>
      </c>
      <c r="J1459" s="2">
        <f t="shared" si="10"/>
        <v>-38359790</v>
      </c>
      <c r="K1459" s="2">
        <f t="shared" si="11"/>
        <v>-1.8271701302353168E-2</v>
      </c>
      <c r="L1459" s="2" t="str">
        <f>IF(ISNUMBER(SEARCH("|",IMDB_Movies!$D1459)),LEFT(IMDB_Movies!$D1459,SEARCH("|",IMDB_Movies!$D1459)-1),IMDB_Movies!$D1459)</f>
        <v>Drama</v>
      </c>
      <c r="V1459" s="2"/>
      <c r="W1459" s="2"/>
    </row>
    <row r="1460" spans="1:23" ht="12.5" x14ac:dyDescent="0.25">
      <c r="A1460" s="2" t="s">
        <v>2639</v>
      </c>
      <c r="B1460" s="2">
        <v>119</v>
      </c>
      <c r="C1460" s="2">
        <v>13763130</v>
      </c>
      <c r="D1460" s="2" t="s">
        <v>509</v>
      </c>
      <c r="E1460" s="2" t="s">
        <v>2640</v>
      </c>
      <c r="F1460" s="2" t="s">
        <v>14</v>
      </c>
      <c r="G1460" s="2" t="s">
        <v>15</v>
      </c>
      <c r="H1460" s="2">
        <v>32000000</v>
      </c>
      <c r="I1460" s="2">
        <v>6.3</v>
      </c>
      <c r="J1460" s="2">
        <f t="shared" si="10"/>
        <v>-18236870</v>
      </c>
      <c r="K1460" s="2">
        <f t="shared" si="11"/>
        <v>-1.8260873870132248E-2</v>
      </c>
      <c r="L1460" s="2" t="str">
        <f>IF(ISNUMBER(SEARCH("|",IMDB_Movies!$D1460)),LEFT(IMDB_Movies!$D1460,SEARCH("|",IMDB_Movies!$D1460)-1),IMDB_Movies!$D1460)</f>
        <v>Action</v>
      </c>
      <c r="V1460" s="2"/>
      <c r="W1460" s="2"/>
    </row>
    <row r="1461" spans="1:23" ht="12.5" x14ac:dyDescent="0.25">
      <c r="A1461" s="2" t="s">
        <v>2641</v>
      </c>
      <c r="B1461" s="2">
        <v>107</v>
      </c>
      <c r="C1461" s="2">
        <v>10956379</v>
      </c>
      <c r="D1461" s="2" t="s">
        <v>2642</v>
      </c>
      <c r="E1461" s="2" t="s">
        <v>2643</v>
      </c>
      <c r="F1461" s="2" t="s">
        <v>14</v>
      </c>
      <c r="G1461" s="2" t="s">
        <v>2305</v>
      </c>
      <c r="H1461" s="2">
        <v>35000000</v>
      </c>
      <c r="I1461" s="2">
        <v>3.6</v>
      </c>
      <c r="J1461" s="2">
        <f t="shared" si="10"/>
        <v>-24043621</v>
      </c>
      <c r="K1461" s="2">
        <f t="shared" si="11"/>
        <v>-1.8258245897179354E-2</v>
      </c>
      <c r="L1461" s="2" t="str">
        <f>IF(ISNUMBER(SEARCH("|",IMDB_Movies!$D1461)),LEFT(IMDB_Movies!$D1461,SEARCH("|",IMDB_Movies!$D1461)-1),IMDB_Movies!$D1461)</f>
        <v>Action</v>
      </c>
      <c r="V1461" s="2"/>
      <c r="W1461" s="2"/>
    </row>
    <row r="1462" spans="1:23" ht="12.5" x14ac:dyDescent="0.25">
      <c r="A1462" s="2" t="s">
        <v>2335</v>
      </c>
      <c r="B1462" s="2">
        <v>110</v>
      </c>
      <c r="C1462" s="2">
        <v>4357000</v>
      </c>
      <c r="D1462" s="2" t="s">
        <v>204</v>
      </c>
      <c r="E1462" s="2" t="s">
        <v>2644</v>
      </c>
      <c r="F1462" s="2" t="s">
        <v>14</v>
      </c>
      <c r="G1462" s="2" t="s">
        <v>15</v>
      </c>
      <c r="H1462" s="2">
        <v>30000000</v>
      </c>
      <c r="I1462" s="2">
        <v>5.3</v>
      </c>
      <c r="J1462" s="2">
        <f t="shared" si="10"/>
        <v>-25643000</v>
      </c>
      <c r="K1462" s="2">
        <f t="shared" si="11"/>
        <v>-1.825329532034645E-2</v>
      </c>
      <c r="L1462" s="2" t="str">
        <f>IF(ISNUMBER(SEARCH("|",IMDB_Movies!$D1462)),LEFT(IMDB_Movies!$D1462,SEARCH("|",IMDB_Movies!$D1462)-1),IMDB_Movies!$D1462)</f>
        <v>Comedy</v>
      </c>
      <c r="V1462" s="2"/>
      <c r="W1462" s="2"/>
    </row>
    <row r="1463" spans="1:23" ht="12.5" x14ac:dyDescent="0.25">
      <c r="A1463" s="2" t="s">
        <v>2645</v>
      </c>
      <c r="B1463" s="2">
        <v>100</v>
      </c>
      <c r="C1463" s="2">
        <v>22525921</v>
      </c>
      <c r="D1463" s="2" t="s">
        <v>709</v>
      </c>
      <c r="E1463" s="2" t="s">
        <v>2646</v>
      </c>
      <c r="F1463" s="2" t="s">
        <v>14</v>
      </c>
      <c r="G1463" s="2" t="s">
        <v>15</v>
      </c>
      <c r="H1463" s="2">
        <v>30000000</v>
      </c>
      <c r="I1463" s="2">
        <v>5.9</v>
      </c>
      <c r="J1463" s="2">
        <f t="shared" si="10"/>
        <v>-7474079</v>
      </c>
      <c r="K1463" s="2">
        <f t="shared" si="11"/>
        <v>-1.8250980835041165E-2</v>
      </c>
      <c r="L1463" s="2" t="str">
        <f>IF(ISNUMBER(SEARCH("|",IMDB_Movies!$D1463)),LEFT(IMDB_Movies!$D1463,SEARCH("|",IMDB_Movies!$D1463)-1),IMDB_Movies!$D1463)</f>
        <v>Comedy</v>
      </c>
      <c r="V1463" s="2"/>
      <c r="W1463" s="2"/>
    </row>
    <row r="1464" spans="1:23" ht="12.5" x14ac:dyDescent="0.25">
      <c r="A1464" s="2" t="s">
        <v>634</v>
      </c>
      <c r="B1464" s="2">
        <v>75</v>
      </c>
      <c r="C1464" s="2">
        <v>3562749</v>
      </c>
      <c r="D1464" s="2" t="s">
        <v>2647</v>
      </c>
      <c r="E1464" s="2" t="s">
        <v>2648</v>
      </c>
      <c r="F1464" s="2" t="s">
        <v>14</v>
      </c>
      <c r="G1464" s="2" t="s">
        <v>15</v>
      </c>
      <c r="H1464" s="2">
        <v>32000000</v>
      </c>
      <c r="I1464" s="2">
        <v>6.9</v>
      </c>
      <c r="J1464" s="2">
        <f t="shared" si="10"/>
        <v>-28437251</v>
      </c>
      <c r="K1464" s="2">
        <f t="shared" si="11"/>
        <v>-1.8250423357818051E-2</v>
      </c>
      <c r="L1464" s="2" t="str">
        <f>IF(ISNUMBER(SEARCH("|",IMDB_Movies!$D1464)),LEFT(IMDB_Movies!$D1464,SEARCH("|",IMDB_Movies!$D1464)-1),IMDB_Movies!$D1464)</f>
        <v>Animation</v>
      </c>
      <c r="V1464" s="2"/>
      <c r="W1464" s="2"/>
    </row>
    <row r="1465" spans="1:23" ht="12.5" x14ac:dyDescent="0.25">
      <c r="A1465" s="2" t="s">
        <v>2649</v>
      </c>
      <c r="B1465" s="2">
        <v>132</v>
      </c>
      <c r="C1465" s="2">
        <v>2899970</v>
      </c>
      <c r="D1465" s="2" t="s">
        <v>1180</v>
      </c>
      <c r="E1465" s="2" t="s">
        <v>2650</v>
      </c>
      <c r="F1465" s="2" t="s">
        <v>14</v>
      </c>
      <c r="G1465" s="2" t="s">
        <v>15</v>
      </c>
      <c r="H1465" s="2">
        <v>32000000</v>
      </c>
      <c r="I1465" s="2">
        <v>6.9</v>
      </c>
      <c r="J1465" s="2">
        <f t="shared" si="10"/>
        <v>-29100030</v>
      </c>
      <c r="K1465" s="2">
        <f t="shared" si="11"/>
        <v>-1.8246241912980719E-2</v>
      </c>
      <c r="L1465" s="2" t="str">
        <f>IF(ISNUMBER(SEARCH("|",IMDB_Movies!$D1465)),LEFT(IMDB_Movies!$D1465,SEARCH("|",IMDB_Movies!$D1465)-1),IMDB_Movies!$D1465)</f>
        <v>Drama</v>
      </c>
      <c r="V1465" s="2"/>
      <c r="W1465" s="2"/>
    </row>
    <row r="1466" spans="1:23" ht="12.5" x14ac:dyDescent="0.25">
      <c r="A1466" s="2" t="s">
        <v>549</v>
      </c>
      <c r="B1466" s="2">
        <v>105</v>
      </c>
      <c r="C1466" s="2">
        <v>1304837</v>
      </c>
      <c r="D1466" s="2" t="s">
        <v>690</v>
      </c>
      <c r="E1466" s="2" t="s">
        <v>2651</v>
      </c>
      <c r="F1466" s="2" t="s">
        <v>14</v>
      </c>
      <c r="G1466" s="2" t="s">
        <v>15</v>
      </c>
      <c r="H1466" s="2">
        <v>32000000</v>
      </c>
      <c r="I1466" s="2">
        <v>6.1</v>
      </c>
      <c r="J1466" s="2">
        <f t="shared" si="10"/>
        <v>-30695163</v>
      </c>
      <c r="K1466" s="2">
        <f t="shared" si="11"/>
        <v>-1.8241976179098934E-2</v>
      </c>
      <c r="L1466" s="2" t="str">
        <f>IF(ISNUMBER(SEARCH("|",IMDB_Movies!$D1466)),LEFT(IMDB_Movies!$D1466,SEARCH("|",IMDB_Movies!$D1466)-1),IMDB_Movies!$D1466)</f>
        <v>Drama</v>
      </c>
      <c r="V1466" s="2"/>
      <c r="W1466" s="2"/>
    </row>
    <row r="1467" spans="1:23" ht="12.5" x14ac:dyDescent="0.25">
      <c r="A1467" s="2" t="s">
        <v>1648</v>
      </c>
      <c r="B1467" s="2">
        <v>289</v>
      </c>
      <c r="C1467" s="2">
        <v>78800000</v>
      </c>
      <c r="D1467" s="2" t="s">
        <v>1175</v>
      </c>
      <c r="E1467" s="2" t="s">
        <v>2652</v>
      </c>
      <c r="F1467" s="2" t="s">
        <v>14</v>
      </c>
      <c r="G1467" s="2" t="s">
        <v>15</v>
      </c>
      <c r="H1467" s="2">
        <v>31500000</v>
      </c>
      <c r="I1467" s="2">
        <v>8.5</v>
      </c>
      <c r="J1467" s="2">
        <f t="shared" si="10"/>
        <v>47300000</v>
      </c>
      <c r="K1467" s="2">
        <f t="shared" si="11"/>
        <v>-1.8237523285899133E-2</v>
      </c>
      <c r="L1467" s="2" t="str">
        <f>IF(ISNUMBER(SEARCH("|",IMDB_Movies!$D1467)),LEFT(IMDB_Movies!$D1467,SEARCH("|",IMDB_Movies!$D1467)-1),IMDB_Movies!$D1467)</f>
        <v>Drama</v>
      </c>
      <c r="V1467" s="2"/>
      <c r="W1467" s="2"/>
    </row>
    <row r="1468" spans="1:23" ht="12.5" x14ac:dyDescent="0.25">
      <c r="A1468" s="2" t="s">
        <v>2653</v>
      </c>
      <c r="B1468" s="2">
        <v>102</v>
      </c>
      <c r="C1468" s="2">
        <v>17797316</v>
      </c>
      <c r="D1468" s="2" t="s">
        <v>600</v>
      </c>
      <c r="E1468" s="2" t="s">
        <v>2654</v>
      </c>
      <c r="F1468" s="2" t="s">
        <v>14</v>
      </c>
      <c r="G1468" s="2" t="s">
        <v>15</v>
      </c>
      <c r="H1468" s="2">
        <v>32000000</v>
      </c>
      <c r="I1468" s="2">
        <v>6.3</v>
      </c>
      <c r="J1468" s="2">
        <f t="shared" si="10"/>
        <v>-14202684</v>
      </c>
      <c r="K1468" s="2">
        <f t="shared" si="11"/>
        <v>-1.8257414745385652E-2</v>
      </c>
      <c r="L1468" s="2" t="str">
        <f>IF(ISNUMBER(SEARCH("|",IMDB_Movies!$D1468)),LEFT(IMDB_Movies!$D1468,SEARCH("|",IMDB_Movies!$D1468)-1),IMDB_Movies!$D1468)</f>
        <v>Comedy</v>
      </c>
      <c r="V1468" s="2"/>
      <c r="W1468" s="2"/>
    </row>
    <row r="1469" spans="1:23" ht="12.5" x14ac:dyDescent="0.25">
      <c r="A1469" s="2" t="s">
        <v>1525</v>
      </c>
      <c r="B1469" s="2">
        <v>143</v>
      </c>
      <c r="C1469" s="2">
        <v>82528097</v>
      </c>
      <c r="D1469" s="2" t="s">
        <v>2082</v>
      </c>
      <c r="E1469" s="2" t="s">
        <v>2655</v>
      </c>
      <c r="F1469" s="2" t="s">
        <v>14</v>
      </c>
      <c r="G1469" s="2" t="s">
        <v>15</v>
      </c>
      <c r="H1469" s="2">
        <v>6500000</v>
      </c>
      <c r="I1469" s="2">
        <v>7.3</v>
      </c>
      <c r="J1469" s="2">
        <f t="shared" si="10"/>
        <v>76028097</v>
      </c>
      <c r="K1469" s="2">
        <f t="shared" si="11"/>
        <v>-1.8255542874924587E-2</v>
      </c>
      <c r="L1469" s="2" t="str">
        <f>IF(ISNUMBER(SEARCH("|",IMDB_Movies!$D1469)),LEFT(IMDB_Movies!$D1469,SEARCH("|",IMDB_Movies!$D1469)-1),IMDB_Movies!$D1469)</f>
        <v>Drama</v>
      </c>
      <c r="V1469" s="2"/>
      <c r="W1469" s="2"/>
    </row>
    <row r="1470" spans="1:23" ht="12.5" x14ac:dyDescent="0.25">
      <c r="A1470" s="2" t="s">
        <v>2656</v>
      </c>
      <c r="B1470" s="2">
        <v>113</v>
      </c>
      <c r="C1470" s="2">
        <v>14268533</v>
      </c>
      <c r="D1470" s="2" t="s">
        <v>2657</v>
      </c>
      <c r="E1470" s="2" t="s">
        <v>2658</v>
      </c>
      <c r="F1470" s="2" t="s">
        <v>14</v>
      </c>
      <c r="G1470" s="2" t="s">
        <v>22</v>
      </c>
      <c r="H1470" s="2">
        <v>31500000</v>
      </c>
      <c r="I1470" s="2">
        <v>6.3</v>
      </c>
      <c r="J1470" s="2">
        <f t="shared" si="10"/>
        <v>-17231467</v>
      </c>
      <c r="K1470" s="2">
        <f t="shared" si="11"/>
        <v>-1.8220065225281201E-2</v>
      </c>
      <c r="L1470" s="2" t="str">
        <f>IF(ISNUMBER(SEARCH("|",IMDB_Movies!$D1470)),LEFT(IMDB_Movies!$D1470,SEARCH("|",IMDB_Movies!$D1470)-1),IMDB_Movies!$D1470)</f>
        <v>Action</v>
      </c>
      <c r="V1470" s="2"/>
      <c r="W1470" s="2"/>
    </row>
    <row r="1471" spans="1:23" ht="12.5" x14ac:dyDescent="0.25">
      <c r="A1471" s="2" t="s">
        <v>792</v>
      </c>
      <c r="B1471" s="2">
        <v>161</v>
      </c>
      <c r="C1471" s="2">
        <v>87100000</v>
      </c>
      <c r="D1471" s="2" t="s">
        <v>2124</v>
      </c>
      <c r="E1471" s="2" t="s">
        <v>2659</v>
      </c>
      <c r="F1471" s="2" t="s">
        <v>14</v>
      </c>
      <c r="G1471" s="2" t="s">
        <v>15</v>
      </c>
      <c r="H1471" s="2">
        <v>31000000</v>
      </c>
      <c r="I1471" s="2">
        <v>7.2</v>
      </c>
      <c r="J1471" s="2">
        <f t="shared" si="10"/>
        <v>56100000</v>
      </c>
      <c r="K1471" s="2">
        <f t="shared" si="11"/>
        <v>-1.821775573698569E-2</v>
      </c>
      <c r="L1471" s="2" t="str">
        <f>IF(ISNUMBER(SEARCH("|",IMDB_Movies!$D1471)),LEFT(IMDB_Movies!$D1471,SEARCH("|",IMDB_Movies!$D1471)-1),IMDB_Movies!$D1471)</f>
        <v>Biography</v>
      </c>
      <c r="V1471" s="2"/>
      <c r="W1471" s="2"/>
    </row>
    <row r="1472" spans="1:23" ht="12.5" x14ac:dyDescent="0.25">
      <c r="A1472" s="2" t="s">
        <v>160</v>
      </c>
      <c r="B1472" s="2">
        <v>138</v>
      </c>
      <c r="C1472" s="2">
        <v>93749203</v>
      </c>
      <c r="D1472" s="2" t="s">
        <v>1400</v>
      </c>
      <c r="E1472" s="2" t="s">
        <v>2660</v>
      </c>
      <c r="F1472" s="2" t="s">
        <v>14</v>
      </c>
      <c r="G1472" s="2" t="s">
        <v>15</v>
      </c>
      <c r="H1472" s="2">
        <v>31000000</v>
      </c>
      <c r="I1472" s="2">
        <v>7.3</v>
      </c>
      <c r="J1472" s="2">
        <f t="shared" si="10"/>
        <v>62749203</v>
      </c>
      <c r="K1472" s="2">
        <f t="shared" si="11"/>
        <v>-1.8241005746553796E-2</v>
      </c>
      <c r="L1472" s="2" t="str">
        <f>IF(ISNUMBER(SEARCH("|",IMDB_Movies!$D1472)),LEFT(IMDB_Movies!$D1472,SEARCH("|",IMDB_Movies!$D1472)-1),IMDB_Movies!$D1472)</f>
        <v>Drama</v>
      </c>
      <c r="V1472" s="2"/>
      <c r="W1472" s="2"/>
    </row>
    <row r="1473" spans="1:23" ht="12.5" x14ac:dyDescent="0.25">
      <c r="A1473" s="2" t="s">
        <v>2661</v>
      </c>
      <c r="B1473" s="2">
        <v>126</v>
      </c>
      <c r="C1473" s="2">
        <v>62700000</v>
      </c>
      <c r="D1473" s="2" t="s">
        <v>90</v>
      </c>
      <c r="E1473" s="2" t="s">
        <v>2662</v>
      </c>
      <c r="F1473" s="2" t="s">
        <v>14</v>
      </c>
      <c r="G1473" s="2" t="s">
        <v>22</v>
      </c>
      <c r="H1473" s="2">
        <v>34000000</v>
      </c>
      <c r="I1473" s="2">
        <v>6.3</v>
      </c>
      <c r="J1473" s="2">
        <f t="shared" si="10"/>
        <v>28700000</v>
      </c>
      <c r="K1473" s="2">
        <f t="shared" si="11"/>
        <v>-1.8268120149787757E-2</v>
      </c>
      <c r="L1473" s="2" t="str">
        <f>IF(ISNUMBER(SEARCH("|",IMDB_Movies!$D1473)),LEFT(IMDB_Movies!$D1473,SEARCH("|",IMDB_Movies!$D1473)-1),IMDB_Movies!$D1473)</f>
        <v>Action</v>
      </c>
      <c r="V1473" s="2"/>
      <c r="W1473" s="2"/>
    </row>
    <row r="1474" spans="1:23" ht="12.5" x14ac:dyDescent="0.25">
      <c r="A1474" s="2" t="s">
        <v>1821</v>
      </c>
      <c r="B1474" s="2">
        <v>99</v>
      </c>
      <c r="C1474" s="2">
        <v>59073773</v>
      </c>
      <c r="D1474" s="2" t="s">
        <v>2663</v>
      </c>
      <c r="E1474" s="2" t="s">
        <v>2664</v>
      </c>
      <c r="F1474" s="2" t="s">
        <v>14</v>
      </c>
      <c r="G1474" s="2" t="s">
        <v>15</v>
      </c>
      <c r="H1474" s="2">
        <v>25000000</v>
      </c>
      <c r="I1474" s="2">
        <v>8.1</v>
      </c>
      <c r="J1474" s="2">
        <f t="shared" si="10"/>
        <v>34073773</v>
      </c>
      <c r="K1474" s="2">
        <f t="shared" si="11"/>
        <v>-1.8284105561547939E-2</v>
      </c>
      <c r="L1474" s="2" t="str">
        <f>IF(ISNUMBER(SEARCH("|",IMDB_Movies!$D1474)),LEFT(IMDB_Movies!$D1474,SEARCH("|",IMDB_Movies!$D1474)-1),IMDB_Movies!$D1474)</f>
        <v>Adventure</v>
      </c>
      <c r="V1474" s="2"/>
      <c r="W1474" s="2"/>
    </row>
    <row r="1475" spans="1:23" ht="12.5" x14ac:dyDescent="0.25">
      <c r="A1475" s="2" t="s">
        <v>2400</v>
      </c>
      <c r="B1475" s="2">
        <v>101</v>
      </c>
      <c r="C1475" s="2">
        <v>24185781</v>
      </c>
      <c r="D1475" s="2" t="s">
        <v>2665</v>
      </c>
      <c r="E1475" s="2" t="s">
        <v>2666</v>
      </c>
      <c r="F1475" s="2" t="s">
        <v>14</v>
      </c>
      <c r="G1475" s="2" t="s">
        <v>15</v>
      </c>
      <c r="H1475" s="2">
        <v>31000000</v>
      </c>
      <c r="I1475" s="2">
        <v>6.9</v>
      </c>
      <c r="J1475" s="2">
        <f t="shared" si="10"/>
        <v>-6814219</v>
      </c>
      <c r="K1475" s="2">
        <f t="shared" si="11"/>
        <v>-1.8286049541558106E-2</v>
      </c>
      <c r="L1475" s="2" t="str">
        <f>IF(ISNUMBER(SEARCH("|",IMDB_Movies!$D1475)),LEFT(IMDB_Movies!$D1475,SEARCH("|",IMDB_Movies!$D1475)-1),IMDB_Movies!$D1475)</f>
        <v>Drama</v>
      </c>
      <c r="V1475" s="2"/>
      <c r="W1475" s="2"/>
    </row>
    <row r="1476" spans="1:23" ht="12.5" x14ac:dyDescent="0.25">
      <c r="A1476" s="2" t="s">
        <v>1729</v>
      </c>
      <c r="B1476" s="2">
        <v>103</v>
      </c>
      <c r="C1476" s="2">
        <v>53133888</v>
      </c>
      <c r="D1476" s="2" t="s">
        <v>2667</v>
      </c>
      <c r="E1476" s="2" t="s">
        <v>2668</v>
      </c>
      <c r="F1476" s="2" t="s">
        <v>14</v>
      </c>
      <c r="G1476" s="2" t="s">
        <v>15</v>
      </c>
      <c r="H1476" s="2">
        <v>31000000</v>
      </c>
      <c r="I1476" s="2">
        <v>6.3</v>
      </c>
      <c r="J1476" s="2">
        <f t="shared" si="10"/>
        <v>22133888</v>
      </c>
      <c r="K1476" s="2">
        <f t="shared" si="11"/>
        <v>-1.8285685451947569E-2</v>
      </c>
      <c r="L1476" s="2" t="str">
        <f>IF(ISNUMBER(SEARCH("|",IMDB_Movies!$D1476)),LEFT(IMDB_Movies!$D1476,SEARCH("|",IMDB_Movies!$D1476)-1),IMDB_Movies!$D1476)</f>
        <v>Comedy</v>
      </c>
      <c r="V1476" s="2"/>
      <c r="W1476" s="2"/>
    </row>
    <row r="1477" spans="1:23" ht="12.5" x14ac:dyDescent="0.25">
      <c r="A1477" s="2" t="s">
        <v>1201</v>
      </c>
      <c r="B1477" s="2">
        <v>118</v>
      </c>
      <c r="C1477" s="2">
        <v>44983704</v>
      </c>
      <c r="D1477" s="2" t="s">
        <v>2669</v>
      </c>
      <c r="E1477" s="2" t="s">
        <v>2670</v>
      </c>
      <c r="F1477" s="2" t="s">
        <v>14</v>
      </c>
      <c r="G1477" s="2" t="s">
        <v>15</v>
      </c>
      <c r="H1477" s="2">
        <v>31000000</v>
      </c>
      <c r="I1477" s="2">
        <v>7.3</v>
      </c>
      <c r="J1477" s="2">
        <f t="shared" si="10"/>
        <v>13983704</v>
      </c>
      <c r="K1477" s="2">
        <f t="shared" si="11"/>
        <v>-1.8293473319944267E-2</v>
      </c>
      <c r="L1477" s="2" t="str">
        <f>IF(ISNUMBER(SEARCH("|",IMDB_Movies!$D1477)),LEFT(IMDB_Movies!$D1477,SEARCH("|",IMDB_Movies!$D1477)-1),IMDB_Movies!$D1477)</f>
        <v>Crime</v>
      </c>
      <c r="V1477" s="2"/>
      <c r="W1477" s="2"/>
    </row>
    <row r="1478" spans="1:23" ht="12.5" x14ac:dyDescent="0.25">
      <c r="A1478" s="2" t="s">
        <v>2671</v>
      </c>
      <c r="B1478" s="2">
        <v>99</v>
      </c>
      <c r="C1478" s="2">
        <v>58879132</v>
      </c>
      <c r="D1478" s="2" t="s">
        <v>1450</v>
      </c>
      <c r="E1478" s="2" t="s">
        <v>2672</v>
      </c>
      <c r="F1478" s="2" t="s">
        <v>14</v>
      </c>
      <c r="G1478" s="2" t="s">
        <v>15</v>
      </c>
      <c r="H1478" s="2">
        <v>31000000</v>
      </c>
      <c r="I1478" s="2">
        <v>6.1</v>
      </c>
      <c r="J1478" s="2">
        <f t="shared" si="10"/>
        <v>27879132</v>
      </c>
      <c r="K1478" s="2">
        <f t="shared" si="11"/>
        <v>-1.8298492274140078E-2</v>
      </c>
      <c r="L1478" s="2" t="str">
        <f>IF(ISNUMBER(SEARCH("|",IMDB_Movies!$D1478)),LEFT(IMDB_Movies!$D1478,SEARCH("|",IMDB_Movies!$D1478)-1),IMDB_Movies!$D1478)</f>
        <v>Adventure</v>
      </c>
      <c r="V1478" s="2"/>
      <c r="W1478" s="2"/>
    </row>
    <row r="1479" spans="1:23" ht="12.5" x14ac:dyDescent="0.25">
      <c r="A1479" s="2" t="s">
        <v>67</v>
      </c>
      <c r="B1479" s="2">
        <v>105</v>
      </c>
      <c r="C1479" s="2">
        <v>72077000</v>
      </c>
      <c r="D1479" s="2" t="s">
        <v>2009</v>
      </c>
      <c r="E1479" s="2" t="s">
        <v>2673</v>
      </c>
      <c r="F1479" s="2" t="s">
        <v>14</v>
      </c>
      <c r="G1479" s="2" t="s">
        <v>15</v>
      </c>
      <c r="H1479" s="2">
        <v>30250000</v>
      </c>
      <c r="I1479" s="2">
        <v>6.9</v>
      </c>
      <c r="J1479" s="2">
        <f t="shared" si="10"/>
        <v>41827000</v>
      </c>
      <c r="K1479" s="2">
        <f t="shared" si="11"/>
        <v>-1.8308481363116507E-2</v>
      </c>
      <c r="L1479" s="2" t="str">
        <f>IF(ISNUMBER(SEARCH("|",IMDB_Movies!$D1479)),LEFT(IMDB_Movies!$D1479,SEARCH("|",IMDB_Movies!$D1479)-1),IMDB_Movies!$D1479)</f>
        <v>Comedy</v>
      </c>
      <c r="V1479" s="2"/>
      <c r="W1479" s="2"/>
    </row>
    <row r="1480" spans="1:23" ht="12.5" x14ac:dyDescent="0.25">
      <c r="A1480" s="2" t="s">
        <v>65</v>
      </c>
      <c r="B1480" s="2">
        <v>113</v>
      </c>
      <c r="C1480" s="2">
        <v>170684505</v>
      </c>
      <c r="D1480" s="2" t="s">
        <v>2674</v>
      </c>
      <c r="E1480" s="2" t="s">
        <v>2675</v>
      </c>
      <c r="F1480" s="2" t="s">
        <v>14</v>
      </c>
      <c r="G1480" s="2" t="s">
        <v>15</v>
      </c>
      <c r="H1480" s="2">
        <v>45000000</v>
      </c>
      <c r="I1480" s="2">
        <v>7.2</v>
      </c>
      <c r="J1480" s="2">
        <f t="shared" si="10"/>
        <v>125684505</v>
      </c>
      <c r="K1480" s="2">
        <f t="shared" si="11"/>
        <v>-1.8322808413443761E-2</v>
      </c>
      <c r="L1480" s="2" t="str">
        <f>IF(ISNUMBER(SEARCH("|",IMDB_Movies!$D1480)),LEFT(IMDB_Movies!$D1480,SEARCH("|",IMDB_Movies!$D1480)-1),IMDB_Movies!$D1480)</f>
        <v>Comedy</v>
      </c>
      <c r="V1480" s="2"/>
      <c r="W1480" s="2"/>
    </row>
    <row r="1481" spans="1:23" ht="12.5" x14ac:dyDescent="0.25">
      <c r="A1481" s="2" t="s">
        <v>781</v>
      </c>
      <c r="B1481" s="2">
        <v>93</v>
      </c>
      <c r="C1481" s="2">
        <v>163479795</v>
      </c>
      <c r="D1481" s="2" t="s">
        <v>891</v>
      </c>
      <c r="E1481" s="2" t="s">
        <v>2676</v>
      </c>
      <c r="F1481" s="2" t="s">
        <v>14</v>
      </c>
      <c r="G1481" s="2" t="s">
        <v>15</v>
      </c>
      <c r="H1481" s="2">
        <v>34200000</v>
      </c>
      <c r="I1481" s="2">
        <v>6.4</v>
      </c>
      <c r="J1481" s="2">
        <f t="shared" si="10"/>
        <v>129279795</v>
      </c>
      <c r="K1481" s="2">
        <f t="shared" si="11"/>
        <v>-1.8496120511212105E-2</v>
      </c>
      <c r="L1481" s="2" t="str">
        <f>IF(ISNUMBER(SEARCH("|",IMDB_Movies!$D1481)),LEFT(IMDB_Movies!$D1481,SEARCH("|",IMDB_Movies!$D1481)-1),IMDB_Movies!$D1481)</f>
        <v>Comedy</v>
      </c>
      <c r="V1481" s="2"/>
      <c r="W1481" s="2"/>
    </row>
    <row r="1482" spans="1:23" ht="12.5" x14ac:dyDescent="0.25">
      <c r="A1482" s="2" t="s">
        <v>2677</v>
      </c>
      <c r="B1482" s="2">
        <v>108</v>
      </c>
      <c r="C1482" s="2">
        <v>145096820</v>
      </c>
      <c r="D1482" s="2" t="s">
        <v>709</v>
      </c>
      <c r="E1482" s="2" t="s">
        <v>2678</v>
      </c>
      <c r="F1482" s="2" t="s">
        <v>14</v>
      </c>
      <c r="G1482" s="2" t="s">
        <v>15</v>
      </c>
      <c r="H1482" s="2">
        <v>30000000</v>
      </c>
      <c r="I1482" s="2">
        <v>6.4</v>
      </c>
      <c r="J1482" s="2">
        <f t="shared" si="10"/>
        <v>115096820</v>
      </c>
      <c r="K1482" s="2">
        <f t="shared" si="11"/>
        <v>-1.8598268323287585E-2</v>
      </c>
      <c r="L1482" s="2" t="str">
        <f>IF(ISNUMBER(SEARCH("|",IMDB_Movies!$D1482)),LEFT(IMDB_Movies!$D1482,SEARCH("|",IMDB_Movies!$D1482)-1),IMDB_Movies!$D1482)</f>
        <v>Comedy</v>
      </c>
      <c r="V1482" s="2"/>
      <c r="W1482" s="2"/>
    </row>
    <row r="1483" spans="1:23" ht="12.5" x14ac:dyDescent="0.25">
      <c r="A1483" s="2" t="s">
        <v>115</v>
      </c>
      <c r="B1483" s="2">
        <v>74</v>
      </c>
      <c r="C1483" s="2">
        <v>191796233</v>
      </c>
      <c r="D1483" s="2" t="s">
        <v>106</v>
      </c>
      <c r="E1483" s="2" t="s">
        <v>2679</v>
      </c>
      <c r="F1483" s="2" t="s">
        <v>14</v>
      </c>
      <c r="G1483" s="2" t="s">
        <v>15</v>
      </c>
      <c r="H1483" s="2">
        <v>30000000</v>
      </c>
      <c r="I1483" s="2">
        <v>8.3000000000000007</v>
      </c>
      <c r="J1483" s="2">
        <f t="shared" si="10"/>
        <v>161796233</v>
      </c>
      <c r="K1483" s="2">
        <f t="shared" si="11"/>
        <v>-1.8660403882138805E-2</v>
      </c>
      <c r="L1483" s="2" t="str">
        <f>IF(ISNUMBER(SEARCH("|",IMDB_Movies!$D1483)),LEFT(IMDB_Movies!$D1483,SEARCH("|",IMDB_Movies!$D1483)-1),IMDB_Movies!$D1483)</f>
        <v>Adventure</v>
      </c>
      <c r="V1483" s="2"/>
      <c r="W1483" s="2"/>
    </row>
    <row r="1484" spans="1:23" ht="12.5" x14ac:dyDescent="0.25">
      <c r="A1484" s="2" t="s">
        <v>574</v>
      </c>
      <c r="B1484" s="2">
        <v>116</v>
      </c>
      <c r="C1484" s="2">
        <v>121248145</v>
      </c>
      <c r="D1484" s="2" t="s">
        <v>1156</v>
      </c>
      <c r="E1484" s="2" t="s">
        <v>2680</v>
      </c>
      <c r="F1484" s="2" t="s">
        <v>14</v>
      </c>
      <c r="G1484" s="2" t="s">
        <v>15</v>
      </c>
      <c r="H1484" s="2">
        <v>25000000</v>
      </c>
      <c r="I1484" s="2">
        <v>7.2</v>
      </c>
      <c r="J1484" s="2">
        <f t="shared" si="10"/>
        <v>96248145</v>
      </c>
      <c r="K1484" s="2">
        <f t="shared" si="11"/>
        <v>-1.8770657819756162E-2</v>
      </c>
      <c r="L1484" s="2" t="str">
        <f>IF(ISNUMBER(SEARCH("|",IMDB_Movies!$D1484)),LEFT(IMDB_Movies!$D1484,SEARCH("|",IMDB_Movies!$D1484)-1),IMDB_Movies!$D1484)</f>
        <v>Action</v>
      </c>
      <c r="V1484" s="2"/>
      <c r="W1484" s="2"/>
    </row>
    <row r="1485" spans="1:23" ht="12.5" x14ac:dyDescent="0.25">
      <c r="A1485" s="2" t="s">
        <v>2681</v>
      </c>
      <c r="B1485" s="2">
        <v>104</v>
      </c>
      <c r="C1485" s="2">
        <v>125014030</v>
      </c>
      <c r="D1485" s="2" t="s">
        <v>85</v>
      </c>
      <c r="E1485" s="2" t="s">
        <v>2682</v>
      </c>
      <c r="F1485" s="2" t="s">
        <v>14</v>
      </c>
      <c r="G1485" s="2" t="s">
        <v>15</v>
      </c>
      <c r="H1485" s="2">
        <v>30000000</v>
      </c>
      <c r="I1485" s="2">
        <v>6.8</v>
      </c>
      <c r="J1485" s="2">
        <f t="shared" si="10"/>
        <v>95014030</v>
      </c>
      <c r="K1485" s="2">
        <f t="shared" si="11"/>
        <v>-1.87947062234263E-2</v>
      </c>
      <c r="L1485" s="2" t="str">
        <f>IF(ISNUMBER(SEARCH("|",IMDB_Movies!$D1485)),LEFT(IMDB_Movies!$D1485,SEARCH("|",IMDB_Movies!$D1485)-1),IMDB_Movies!$D1485)</f>
        <v>Drama</v>
      </c>
      <c r="V1485" s="2"/>
      <c r="W1485" s="2"/>
    </row>
    <row r="1486" spans="1:23" ht="12.5" x14ac:dyDescent="0.25">
      <c r="A1486" s="2" t="s">
        <v>2683</v>
      </c>
      <c r="B1486" s="2">
        <v>106</v>
      </c>
      <c r="C1486" s="2">
        <v>11854694</v>
      </c>
      <c r="D1486" s="2" t="s">
        <v>1180</v>
      </c>
      <c r="E1486" s="2" t="s">
        <v>2684</v>
      </c>
      <c r="F1486" s="2" t="s">
        <v>14</v>
      </c>
      <c r="G1486" s="2" t="s">
        <v>15</v>
      </c>
      <c r="H1486" s="2">
        <v>31000000</v>
      </c>
      <c r="I1486" s="2">
        <v>6.5</v>
      </c>
      <c r="J1486" s="2">
        <f t="shared" si="10"/>
        <v>-19145306</v>
      </c>
      <c r="K1486" s="2">
        <f t="shared" si="11"/>
        <v>-1.8841561529041793E-2</v>
      </c>
      <c r="L1486" s="2" t="str">
        <f>IF(ISNUMBER(SEARCH("|",IMDB_Movies!$D1486)),LEFT(IMDB_Movies!$D1486,SEARCH("|",IMDB_Movies!$D1486)-1),IMDB_Movies!$D1486)</f>
        <v>Drama</v>
      </c>
      <c r="V1486" s="2"/>
      <c r="W1486" s="2"/>
    </row>
    <row r="1487" spans="1:23" ht="12.5" x14ac:dyDescent="0.25">
      <c r="A1487" s="2" t="s">
        <v>2597</v>
      </c>
      <c r="B1487" s="2">
        <v>120</v>
      </c>
      <c r="C1487" s="2">
        <v>115648585</v>
      </c>
      <c r="D1487" s="2" t="s">
        <v>585</v>
      </c>
      <c r="E1487" s="2" t="s">
        <v>2685</v>
      </c>
      <c r="F1487" s="2" t="s">
        <v>14</v>
      </c>
      <c r="G1487" s="2" t="s">
        <v>15</v>
      </c>
      <c r="H1487" s="2">
        <v>30000000</v>
      </c>
      <c r="I1487" s="2">
        <v>7.8</v>
      </c>
      <c r="J1487" s="2">
        <f t="shared" si="10"/>
        <v>85648585</v>
      </c>
      <c r="K1487" s="2">
        <f t="shared" si="11"/>
        <v>-1.8839188439332365E-2</v>
      </c>
      <c r="L1487" s="2" t="str">
        <f>IF(ISNUMBER(SEARCH("|",IMDB_Movies!$D1487)),LEFT(IMDB_Movies!$D1487,SEARCH("|",IMDB_Movies!$D1487)-1),IMDB_Movies!$D1487)</f>
        <v>Biography</v>
      </c>
      <c r="V1487" s="2"/>
      <c r="W1487" s="2"/>
    </row>
    <row r="1488" spans="1:23" ht="12.5" x14ac:dyDescent="0.25">
      <c r="A1488" s="2" t="s">
        <v>477</v>
      </c>
      <c r="B1488" s="2">
        <v>135</v>
      </c>
      <c r="C1488" s="2">
        <v>122012643</v>
      </c>
      <c r="D1488" s="2" t="s">
        <v>20</v>
      </c>
      <c r="E1488" s="2" t="s">
        <v>2686</v>
      </c>
      <c r="F1488" s="2" t="s">
        <v>14</v>
      </c>
      <c r="G1488" s="2" t="s">
        <v>15</v>
      </c>
      <c r="H1488" s="2">
        <v>30000000</v>
      </c>
      <c r="I1488" s="2">
        <v>7.6</v>
      </c>
      <c r="J1488" s="2">
        <f t="shared" si="10"/>
        <v>92012643</v>
      </c>
      <c r="K1488" s="2">
        <f t="shared" si="11"/>
        <v>-1.8879283492863132E-2</v>
      </c>
      <c r="L1488" s="2" t="str">
        <f>IF(ISNUMBER(SEARCH("|",IMDB_Movies!$D1488)),LEFT(IMDB_Movies!$D1488,SEARCH("|",IMDB_Movies!$D1488)-1),IMDB_Movies!$D1488)</f>
        <v>Action</v>
      </c>
      <c r="V1488" s="2"/>
      <c r="W1488" s="2"/>
    </row>
    <row r="1489" spans="1:23" ht="12.5" x14ac:dyDescent="0.25">
      <c r="A1489" s="2" t="s">
        <v>2347</v>
      </c>
      <c r="B1489" s="2">
        <v>132</v>
      </c>
      <c r="C1489" s="2">
        <v>116631310</v>
      </c>
      <c r="D1489" s="2" t="s">
        <v>555</v>
      </c>
      <c r="E1489" s="2" t="s">
        <v>2687</v>
      </c>
      <c r="F1489" s="2" t="s">
        <v>14</v>
      </c>
      <c r="G1489" s="2" t="s">
        <v>15</v>
      </c>
      <c r="H1489" s="2">
        <v>30000000</v>
      </c>
      <c r="I1489" s="2">
        <v>7.2</v>
      </c>
      <c r="J1489" s="2">
        <f t="shared" si="10"/>
        <v>86631310</v>
      </c>
      <c r="K1489" s="2">
        <f t="shared" si="11"/>
        <v>-1.8924268756997143E-2</v>
      </c>
      <c r="L1489" s="2" t="str">
        <f>IF(ISNUMBER(SEARCH("|",IMDB_Movies!$D1489)),LEFT(IMDB_Movies!$D1489,SEARCH("|",IMDB_Movies!$D1489)-1),IMDB_Movies!$D1489)</f>
        <v>Biography</v>
      </c>
      <c r="V1489" s="2"/>
      <c r="W1489" s="2"/>
    </row>
    <row r="1490" spans="1:23" ht="12.5" x14ac:dyDescent="0.25">
      <c r="A1490" s="2" t="s">
        <v>1719</v>
      </c>
      <c r="B1490" s="2">
        <v>92</v>
      </c>
      <c r="C1490" s="2">
        <v>114324072</v>
      </c>
      <c r="D1490" s="2" t="s">
        <v>1350</v>
      </c>
      <c r="E1490" s="2" t="s">
        <v>2688</v>
      </c>
      <c r="F1490" s="2" t="s">
        <v>14</v>
      </c>
      <c r="G1490" s="2" t="s">
        <v>15</v>
      </c>
      <c r="H1490" s="2">
        <v>20000000</v>
      </c>
      <c r="I1490" s="2">
        <v>6.7</v>
      </c>
      <c r="J1490" s="2">
        <f t="shared" si="10"/>
        <v>94324072</v>
      </c>
      <c r="K1490" s="2">
        <f t="shared" si="11"/>
        <v>-1.896544474777434E-2</v>
      </c>
      <c r="L1490" s="2" t="str">
        <f>IF(ISNUMBER(SEARCH("|",IMDB_Movies!$D1490)),LEFT(IMDB_Movies!$D1490,SEARCH("|",IMDB_Movies!$D1490)-1),IMDB_Movies!$D1490)</f>
        <v>Comedy</v>
      </c>
      <c r="V1490" s="2"/>
      <c r="W1490" s="2"/>
    </row>
    <row r="1491" spans="1:23" ht="12.5" x14ac:dyDescent="0.25">
      <c r="A1491" s="2" t="s">
        <v>67</v>
      </c>
      <c r="B1491" s="2">
        <v>99</v>
      </c>
      <c r="C1491" s="2">
        <v>113502246</v>
      </c>
      <c r="D1491" s="2" t="s">
        <v>975</v>
      </c>
      <c r="E1491" s="2" t="s">
        <v>2689</v>
      </c>
      <c r="F1491" s="2" t="s">
        <v>14</v>
      </c>
      <c r="G1491" s="2" t="s">
        <v>15</v>
      </c>
      <c r="H1491" s="2">
        <v>38000000</v>
      </c>
      <c r="I1491" s="2">
        <v>6.8</v>
      </c>
      <c r="J1491" s="2">
        <f t="shared" si="10"/>
        <v>75502246</v>
      </c>
      <c r="K1491" s="2">
        <f t="shared" si="11"/>
        <v>-1.8968100770719285E-2</v>
      </c>
      <c r="L1491" s="2" t="str">
        <f>IF(ISNUMBER(SEARCH("|",IMDB_Movies!$D1491)),LEFT(IMDB_Movies!$D1491,SEARCH("|",IMDB_Movies!$D1491)-1),IMDB_Movies!$D1491)</f>
        <v>Comedy</v>
      </c>
      <c r="V1491" s="2"/>
      <c r="W1491" s="2"/>
    </row>
    <row r="1492" spans="1:23" ht="12.5" x14ac:dyDescent="0.25">
      <c r="A1492" s="2" t="s">
        <v>1695</v>
      </c>
      <c r="B1492" s="2">
        <v>90</v>
      </c>
      <c r="C1492" s="2">
        <v>108360000</v>
      </c>
      <c r="D1492" s="2" t="s">
        <v>1450</v>
      </c>
      <c r="E1492" s="2" t="s">
        <v>2690</v>
      </c>
      <c r="F1492" s="2" t="s">
        <v>14</v>
      </c>
      <c r="G1492" s="2" t="s">
        <v>15</v>
      </c>
      <c r="H1492" s="2">
        <v>30000000</v>
      </c>
      <c r="I1492" s="2">
        <v>6.3</v>
      </c>
      <c r="J1492" s="2">
        <f t="shared" si="10"/>
        <v>78360000</v>
      </c>
      <c r="K1492" s="2">
        <f t="shared" si="11"/>
        <v>-1.9036691357159512E-2</v>
      </c>
      <c r="L1492" s="2" t="str">
        <f>IF(ISNUMBER(SEARCH("|",IMDB_Movies!$D1492)),LEFT(IMDB_Movies!$D1492,SEARCH("|",IMDB_Movies!$D1492)-1),IMDB_Movies!$D1492)</f>
        <v>Adventure</v>
      </c>
      <c r="V1492" s="2"/>
      <c r="W1492" s="2"/>
    </row>
    <row r="1493" spans="1:23" ht="12.5" x14ac:dyDescent="0.25">
      <c r="A1493" s="2" t="s">
        <v>1145</v>
      </c>
      <c r="B1493" s="2">
        <v>111</v>
      </c>
      <c r="C1493" s="2">
        <v>108244774</v>
      </c>
      <c r="D1493" s="2" t="s">
        <v>955</v>
      </c>
      <c r="E1493" s="2" t="s">
        <v>2691</v>
      </c>
      <c r="F1493" s="2" t="s">
        <v>14</v>
      </c>
      <c r="G1493" s="2" t="s">
        <v>15</v>
      </c>
      <c r="H1493" s="2">
        <v>37000000</v>
      </c>
      <c r="I1493" s="2">
        <v>6.2</v>
      </c>
      <c r="J1493" s="2">
        <f t="shared" si="10"/>
        <v>71244774</v>
      </c>
      <c r="K1493" s="2">
        <f t="shared" si="11"/>
        <v>-1.90724684866856E-2</v>
      </c>
      <c r="L1493" s="2" t="str">
        <f>IF(ISNUMBER(SEARCH("|",IMDB_Movies!$D1493)),LEFT(IMDB_Movies!$D1493,SEARCH("|",IMDB_Movies!$D1493)-1),IMDB_Movies!$D1493)</f>
        <v>Comedy</v>
      </c>
      <c r="V1493" s="2"/>
      <c r="W1493" s="2"/>
    </row>
    <row r="1494" spans="1:23" ht="12.5" x14ac:dyDescent="0.25">
      <c r="A1494" s="2" t="s">
        <v>2489</v>
      </c>
      <c r="B1494" s="2">
        <v>103</v>
      </c>
      <c r="C1494" s="2">
        <v>105444419</v>
      </c>
      <c r="D1494" s="2" t="s">
        <v>709</v>
      </c>
      <c r="E1494" s="2" t="s">
        <v>2692</v>
      </c>
      <c r="F1494" s="2" t="s">
        <v>14</v>
      </c>
      <c r="G1494" s="2" t="s">
        <v>15</v>
      </c>
      <c r="H1494" s="2">
        <v>26000000</v>
      </c>
      <c r="I1494" s="2">
        <v>6.2</v>
      </c>
      <c r="J1494" s="2">
        <f t="shared" si="10"/>
        <v>79444419</v>
      </c>
      <c r="K1494" s="2">
        <f t="shared" si="11"/>
        <v>-1.9132567095349572E-2</v>
      </c>
      <c r="L1494" s="2" t="str">
        <f>IF(ISNUMBER(SEARCH("|",IMDB_Movies!$D1494)),LEFT(IMDB_Movies!$D1494,SEARCH("|",IMDB_Movies!$D1494)-1),IMDB_Movies!$D1494)</f>
        <v>Comedy</v>
      </c>
      <c r="V1494" s="2"/>
      <c r="W1494" s="2"/>
    </row>
    <row r="1495" spans="1:23" ht="12.5" x14ac:dyDescent="0.25">
      <c r="A1495" s="2" t="s">
        <v>255</v>
      </c>
      <c r="B1495" s="2">
        <v>127</v>
      </c>
      <c r="C1495" s="2">
        <v>100125340</v>
      </c>
      <c r="D1495" s="2" t="s">
        <v>770</v>
      </c>
      <c r="E1495" s="2" t="s">
        <v>2693</v>
      </c>
      <c r="F1495" s="2" t="s">
        <v>14</v>
      </c>
      <c r="G1495" s="2" t="s">
        <v>15</v>
      </c>
      <c r="H1495" s="2">
        <v>33000000</v>
      </c>
      <c r="I1495" s="2">
        <v>8.6</v>
      </c>
      <c r="J1495" s="2">
        <f t="shared" si="10"/>
        <v>67125340</v>
      </c>
      <c r="K1495" s="2">
        <f t="shared" si="11"/>
        <v>-1.915323809722139E-2</v>
      </c>
      <c r="L1495" s="2" t="str">
        <f>IF(ISNUMBER(SEARCH("|",IMDB_Movies!$D1495)),LEFT(IMDB_Movies!$D1495,SEARCH("|",IMDB_Movies!$D1495)-1),IMDB_Movies!$D1495)</f>
        <v>Crime</v>
      </c>
      <c r="V1495" s="2"/>
      <c r="W1495" s="2"/>
    </row>
    <row r="1496" spans="1:23" ht="12.5" x14ac:dyDescent="0.25">
      <c r="A1496" s="2" t="s">
        <v>503</v>
      </c>
      <c r="B1496" s="2">
        <v>112</v>
      </c>
      <c r="C1496" s="2">
        <v>115646235</v>
      </c>
      <c r="D1496" s="2" t="s">
        <v>981</v>
      </c>
      <c r="E1496" s="2" t="s">
        <v>2694</v>
      </c>
      <c r="F1496" s="2" t="s">
        <v>14</v>
      </c>
      <c r="G1496" s="2" t="s">
        <v>2695</v>
      </c>
      <c r="H1496" s="2">
        <v>30000000</v>
      </c>
      <c r="I1496" s="2">
        <v>8</v>
      </c>
      <c r="J1496" s="2">
        <f t="shared" si="10"/>
        <v>85646235</v>
      </c>
      <c r="K1496" s="2">
        <f t="shared" si="11"/>
        <v>-1.9193314474827593E-2</v>
      </c>
      <c r="L1496" s="2" t="str">
        <f>IF(ISNUMBER(SEARCH("|",IMDB_Movies!$D1496)),LEFT(IMDB_Movies!$D1496,SEARCH("|",IMDB_Movies!$D1496)-1),IMDB_Movies!$D1496)</f>
        <v>Action</v>
      </c>
      <c r="V1496" s="2"/>
      <c r="W1496" s="2"/>
    </row>
    <row r="1497" spans="1:23" ht="12.5" x14ac:dyDescent="0.25">
      <c r="A1497" s="2" t="s">
        <v>2696</v>
      </c>
      <c r="B1497" s="2">
        <v>87</v>
      </c>
      <c r="C1497" s="2">
        <v>85416609</v>
      </c>
      <c r="D1497" s="2" t="s">
        <v>106</v>
      </c>
      <c r="E1497" s="2" t="s">
        <v>2697</v>
      </c>
      <c r="F1497" s="2" t="s">
        <v>14</v>
      </c>
      <c r="G1497" s="2" t="s">
        <v>15</v>
      </c>
      <c r="H1497" s="2">
        <v>30000000</v>
      </c>
      <c r="I1497" s="2">
        <v>7</v>
      </c>
      <c r="J1497" s="2">
        <f t="shared" si="10"/>
        <v>55416609</v>
      </c>
      <c r="K1497" s="2">
        <f t="shared" si="11"/>
        <v>-1.9234908429725642E-2</v>
      </c>
      <c r="L1497" s="2" t="str">
        <f>IF(ISNUMBER(SEARCH("|",IMDB_Movies!$D1497)),LEFT(IMDB_Movies!$D1497,SEARCH("|",IMDB_Movies!$D1497)-1),IMDB_Movies!$D1497)</f>
        <v>Adventure</v>
      </c>
      <c r="V1497" s="2"/>
      <c r="W1497" s="2"/>
    </row>
    <row r="1498" spans="1:23" ht="12.5" x14ac:dyDescent="0.25">
      <c r="A1498" s="2" t="s">
        <v>1279</v>
      </c>
      <c r="B1498" s="2">
        <v>138</v>
      </c>
      <c r="C1498" s="2">
        <v>90135191</v>
      </c>
      <c r="D1498" s="2" t="s">
        <v>770</v>
      </c>
      <c r="E1498" s="2" t="s">
        <v>2698</v>
      </c>
      <c r="F1498" s="2" t="s">
        <v>14</v>
      </c>
      <c r="G1498" s="2" t="s">
        <v>15</v>
      </c>
      <c r="H1498" s="2">
        <v>25000000</v>
      </c>
      <c r="I1498" s="2">
        <v>8</v>
      </c>
      <c r="J1498" s="2">
        <f t="shared" si="10"/>
        <v>65135191</v>
      </c>
      <c r="K1498" s="2">
        <f t="shared" si="11"/>
        <v>-1.9256947558059734E-2</v>
      </c>
      <c r="L1498" s="2" t="str">
        <f>IF(ISNUMBER(SEARCH("|",IMDB_Movies!$D1498)),LEFT(IMDB_Movies!$D1498,SEARCH("|",IMDB_Movies!$D1498)-1),IMDB_Movies!$D1498)</f>
        <v>Crime</v>
      </c>
      <c r="V1498" s="2"/>
      <c r="W1498" s="2"/>
    </row>
    <row r="1499" spans="1:23" ht="12.5" x14ac:dyDescent="0.25">
      <c r="A1499" s="2" t="s">
        <v>1279</v>
      </c>
      <c r="B1499" s="2">
        <v>132</v>
      </c>
      <c r="C1499" s="2">
        <v>100422786</v>
      </c>
      <c r="D1499" s="2" t="s">
        <v>1307</v>
      </c>
      <c r="E1499" s="2" t="s">
        <v>2699</v>
      </c>
      <c r="F1499" s="2" t="s">
        <v>14</v>
      </c>
      <c r="G1499" s="2" t="s">
        <v>15</v>
      </c>
      <c r="H1499" s="2">
        <v>30000000</v>
      </c>
      <c r="I1499" s="2">
        <v>8.1</v>
      </c>
      <c r="J1499" s="2">
        <f t="shared" si="10"/>
        <v>70422786</v>
      </c>
      <c r="K1499" s="2">
        <f t="shared" si="11"/>
        <v>-1.9268101192791855E-2</v>
      </c>
      <c r="L1499" s="2" t="str">
        <f>IF(ISNUMBER(SEARCH("|",IMDB_Movies!$D1499)),LEFT(IMDB_Movies!$D1499,SEARCH("|",IMDB_Movies!$D1499)-1),IMDB_Movies!$D1499)</f>
        <v>Drama</v>
      </c>
      <c r="V1499" s="2"/>
      <c r="W1499" s="2"/>
    </row>
    <row r="1500" spans="1:23" ht="12.5" x14ac:dyDescent="0.25">
      <c r="A1500" s="2" t="s">
        <v>1449</v>
      </c>
      <c r="B1500" s="2">
        <v>103</v>
      </c>
      <c r="C1500" s="2">
        <v>106694016</v>
      </c>
      <c r="D1500" s="2" t="s">
        <v>375</v>
      </c>
      <c r="E1500" s="2" t="s">
        <v>2700</v>
      </c>
      <c r="F1500" s="2" t="s">
        <v>14</v>
      </c>
      <c r="G1500" s="2" t="s">
        <v>15</v>
      </c>
      <c r="H1500" s="2">
        <v>30000000</v>
      </c>
      <c r="I1500" s="2">
        <v>6.7</v>
      </c>
      <c r="J1500" s="2">
        <f t="shared" si="10"/>
        <v>76694016</v>
      </c>
      <c r="K1500" s="2">
        <f t="shared" si="11"/>
        <v>-1.929934462170077E-2</v>
      </c>
      <c r="L1500" s="2" t="str">
        <f>IF(ISNUMBER(SEARCH("|",IMDB_Movies!$D1500)),LEFT(IMDB_Movies!$D1500,SEARCH("|",IMDB_Movies!$D1500)-1),IMDB_Movies!$D1500)</f>
        <v>Comedy</v>
      </c>
      <c r="V1500" s="2"/>
      <c r="W1500" s="2"/>
    </row>
    <row r="1501" spans="1:23" ht="12.5" x14ac:dyDescent="0.25">
      <c r="A1501" s="2" t="s">
        <v>2146</v>
      </c>
      <c r="B1501" s="2">
        <v>123</v>
      </c>
      <c r="C1501" s="2">
        <v>64286</v>
      </c>
      <c r="D1501" s="2" t="s">
        <v>85</v>
      </c>
      <c r="E1501" s="2" t="s">
        <v>2701</v>
      </c>
      <c r="F1501" s="2" t="s">
        <v>14</v>
      </c>
      <c r="G1501" s="2" t="s">
        <v>15</v>
      </c>
      <c r="H1501" s="2">
        <v>29000000</v>
      </c>
      <c r="I1501" s="2">
        <v>7.9</v>
      </c>
      <c r="J1501" s="2">
        <f t="shared" si="10"/>
        <v>-28935714</v>
      </c>
      <c r="K1501" s="2">
        <f t="shared" si="11"/>
        <v>-1.9334937158651852E-2</v>
      </c>
      <c r="L1501" s="2" t="str">
        <f>IF(ISNUMBER(SEARCH("|",IMDB_Movies!$D1501)),LEFT(IMDB_Movies!$D1501,SEARCH("|",IMDB_Movies!$D1501)-1),IMDB_Movies!$D1501)</f>
        <v>Drama</v>
      </c>
      <c r="V1501" s="2"/>
      <c r="W1501" s="2"/>
    </row>
    <row r="1502" spans="1:23" ht="12.5" x14ac:dyDescent="0.25">
      <c r="A1502" s="2" t="s">
        <v>2095</v>
      </c>
      <c r="B1502" s="2">
        <v>111</v>
      </c>
      <c r="C1502" s="2">
        <v>76806312</v>
      </c>
      <c r="D1502" s="2" t="s">
        <v>600</v>
      </c>
      <c r="E1502" s="2" t="s">
        <v>2702</v>
      </c>
      <c r="F1502" s="2" t="s">
        <v>14</v>
      </c>
      <c r="G1502" s="2" t="s">
        <v>15</v>
      </c>
      <c r="H1502" s="2">
        <v>30000000</v>
      </c>
      <c r="I1502" s="2">
        <v>6.1</v>
      </c>
      <c r="J1502" s="2">
        <f t="shared" si="10"/>
        <v>46806312</v>
      </c>
      <c r="K1502" s="2">
        <f t="shared" si="11"/>
        <v>-1.9333567343170936E-2</v>
      </c>
      <c r="L1502" s="2" t="str">
        <f>IF(ISNUMBER(SEARCH("|",IMDB_Movies!$D1502)),LEFT(IMDB_Movies!$D1502,SEARCH("|",IMDB_Movies!$D1502)-1),IMDB_Movies!$D1502)</f>
        <v>Comedy</v>
      </c>
      <c r="V1502" s="2"/>
      <c r="W1502" s="2"/>
    </row>
    <row r="1503" spans="1:23" ht="12.5" x14ac:dyDescent="0.25">
      <c r="A1503" s="2" t="s">
        <v>599</v>
      </c>
      <c r="B1503" s="2">
        <v>102</v>
      </c>
      <c r="C1503" s="2">
        <v>79566871</v>
      </c>
      <c r="D1503" s="2" t="s">
        <v>2703</v>
      </c>
      <c r="E1503" s="2" t="s">
        <v>2704</v>
      </c>
      <c r="F1503" s="2" t="s">
        <v>14</v>
      </c>
      <c r="G1503" s="2" t="s">
        <v>15</v>
      </c>
      <c r="H1503" s="2">
        <v>30000000</v>
      </c>
      <c r="I1503" s="2">
        <v>4.2</v>
      </c>
      <c r="J1503" s="2">
        <f t="shared" si="10"/>
        <v>49566871</v>
      </c>
      <c r="K1503" s="2">
        <f t="shared" si="11"/>
        <v>-1.9351252039594442E-2</v>
      </c>
      <c r="L1503" s="2" t="str">
        <f>IF(ISNUMBER(SEARCH("|",IMDB_Movies!$D1503)),LEFT(IMDB_Movies!$D1503,SEARCH("|",IMDB_Movies!$D1503)-1),IMDB_Movies!$D1503)</f>
        <v>Comedy</v>
      </c>
      <c r="V1503" s="2"/>
      <c r="W1503" s="2"/>
    </row>
    <row r="1504" spans="1:23" ht="12.5" x14ac:dyDescent="0.25">
      <c r="A1504" s="2" t="s">
        <v>2705</v>
      </c>
      <c r="B1504" s="2">
        <v>78</v>
      </c>
      <c r="C1504" s="2">
        <v>76501438</v>
      </c>
      <c r="D1504" s="2" t="s">
        <v>716</v>
      </c>
      <c r="E1504" s="2" t="s">
        <v>2706</v>
      </c>
      <c r="F1504" s="2" t="s">
        <v>14</v>
      </c>
      <c r="G1504" s="2" t="s">
        <v>287</v>
      </c>
      <c r="H1504" s="2">
        <v>30000000</v>
      </c>
      <c r="I1504" s="2">
        <v>6.1</v>
      </c>
      <c r="J1504" s="2">
        <f t="shared" si="10"/>
        <v>46501438</v>
      </c>
      <c r="K1504" s="2">
        <f t="shared" si="11"/>
        <v>-1.9370399771476927E-2</v>
      </c>
      <c r="L1504" s="2" t="str">
        <f>IF(ISNUMBER(SEARCH("|",IMDB_Movies!$D1504)),LEFT(IMDB_Movies!$D1504,SEARCH("|",IMDB_Movies!$D1504)-1),IMDB_Movies!$D1504)</f>
        <v>Adventure</v>
      </c>
      <c r="V1504" s="2"/>
      <c r="W1504" s="2"/>
    </row>
    <row r="1505" spans="1:23" ht="12.5" x14ac:dyDescent="0.25">
      <c r="A1505" s="2" t="s">
        <v>2058</v>
      </c>
      <c r="B1505" s="2">
        <v>132</v>
      </c>
      <c r="C1505" s="2">
        <v>74787599</v>
      </c>
      <c r="D1505" s="2" t="s">
        <v>85</v>
      </c>
      <c r="E1505" s="2" t="s">
        <v>2707</v>
      </c>
      <c r="F1505" s="2" t="s">
        <v>14</v>
      </c>
      <c r="G1505" s="2" t="s">
        <v>15</v>
      </c>
      <c r="H1505" s="2">
        <v>30000000</v>
      </c>
      <c r="I1505" s="2">
        <v>6.6</v>
      </c>
      <c r="J1505" s="2">
        <f t="shared" si="10"/>
        <v>44787599</v>
      </c>
      <c r="K1505" s="2">
        <f t="shared" si="11"/>
        <v>-1.9388001939719388E-2</v>
      </c>
      <c r="L1505" s="2" t="str">
        <f>IF(ISNUMBER(SEARCH("|",IMDB_Movies!$D1505)),LEFT(IMDB_Movies!$D1505,SEARCH("|",IMDB_Movies!$D1505)-1),IMDB_Movies!$D1505)</f>
        <v>Drama</v>
      </c>
      <c r="V1505" s="2"/>
      <c r="W1505" s="2"/>
    </row>
    <row r="1506" spans="1:23" ht="12.5" x14ac:dyDescent="0.25">
      <c r="A1506" s="2" t="s">
        <v>377</v>
      </c>
      <c r="B1506" s="2">
        <v>133</v>
      </c>
      <c r="C1506" s="2">
        <v>66528842</v>
      </c>
      <c r="D1506" s="2" t="s">
        <v>2555</v>
      </c>
      <c r="E1506" s="2" t="s">
        <v>2708</v>
      </c>
      <c r="F1506" s="2" t="s">
        <v>14</v>
      </c>
      <c r="G1506" s="2" t="s">
        <v>15</v>
      </c>
      <c r="H1506" s="2">
        <v>30000000</v>
      </c>
      <c r="I1506" s="2">
        <v>7.5</v>
      </c>
      <c r="J1506" s="2">
        <f t="shared" si="10"/>
        <v>36528842</v>
      </c>
      <c r="K1506" s="2">
        <f t="shared" si="11"/>
        <v>-1.9404776964156479E-2</v>
      </c>
      <c r="L1506" s="2" t="str">
        <f>IF(ISNUMBER(SEARCH("|",IMDB_Movies!$D1506)),LEFT(IMDB_Movies!$D1506,SEARCH("|",IMDB_Movies!$D1506)-1),IMDB_Movies!$D1506)</f>
        <v>Drama</v>
      </c>
      <c r="V1506" s="2"/>
      <c r="W1506" s="2"/>
    </row>
    <row r="1507" spans="1:23" ht="12.5" x14ac:dyDescent="0.25">
      <c r="A1507" s="2" t="s">
        <v>2709</v>
      </c>
      <c r="B1507" s="2">
        <v>108</v>
      </c>
      <c r="C1507" s="2">
        <v>83813460</v>
      </c>
      <c r="D1507" s="2" t="s">
        <v>85</v>
      </c>
      <c r="E1507" s="2" t="s">
        <v>2710</v>
      </c>
      <c r="F1507" s="2" t="s">
        <v>14</v>
      </c>
      <c r="G1507" s="2" t="s">
        <v>15</v>
      </c>
      <c r="H1507" s="2">
        <v>25000000</v>
      </c>
      <c r="I1507" s="2">
        <v>7.4</v>
      </c>
      <c r="J1507" s="2">
        <f t="shared" si="10"/>
        <v>58813460</v>
      </c>
      <c r="K1507" s="2">
        <f t="shared" si="11"/>
        <v>-1.9417690202341294E-2</v>
      </c>
      <c r="L1507" s="2" t="str">
        <f>IF(ISNUMBER(SEARCH("|",IMDB_Movies!$D1507)),LEFT(IMDB_Movies!$D1507,SEARCH("|",IMDB_Movies!$D1507)-1),IMDB_Movies!$D1507)</f>
        <v>Drama</v>
      </c>
      <c r="V1507" s="2"/>
      <c r="W1507" s="2"/>
    </row>
    <row r="1508" spans="1:23" ht="12.5" x14ac:dyDescent="0.25">
      <c r="A1508" s="2" t="s">
        <v>2711</v>
      </c>
      <c r="B1508" s="2">
        <v>125</v>
      </c>
      <c r="C1508" s="2">
        <v>65010106</v>
      </c>
      <c r="D1508" s="2" t="s">
        <v>891</v>
      </c>
      <c r="E1508" s="2" t="s">
        <v>2712</v>
      </c>
      <c r="F1508" s="2" t="s">
        <v>14</v>
      </c>
      <c r="G1508" s="2" t="s">
        <v>15</v>
      </c>
      <c r="H1508" s="2">
        <v>30000000</v>
      </c>
      <c r="I1508" s="2">
        <v>7.2</v>
      </c>
      <c r="J1508" s="2">
        <f t="shared" si="10"/>
        <v>35010106</v>
      </c>
      <c r="K1508" s="2">
        <f t="shared" si="11"/>
        <v>-1.9426874156472214E-2</v>
      </c>
      <c r="L1508" s="2" t="str">
        <f>IF(ISNUMBER(SEARCH("|",IMDB_Movies!$D1508)),LEFT(IMDB_Movies!$D1508,SEARCH("|",IMDB_Movies!$D1508)-1),IMDB_Movies!$D1508)</f>
        <v>Comedy</v>
      </c>
      <c r="V1508" s="2"/>
      <c r="W1508" s="2"/>
    </row>
    <row r="1509" spans="1:23" ht="12.5" x14ac:dyDescent="0.25">
      <c r="A1509" s="2" t="s">
        <v>2713</v>
      </c>
      <c r="B1509" s="2">
        <v>98</v>
      </c>
      <c r="C1509" s="2">
        <v>66359959</v>
      </c>
      <c r="D1509" s="2" t="s">
        <v>2714</v>
      </c>
      <c r="E1509" s="2" t="s">
        <v>2715</v>
      </c>
      <c r="F1509" s="2" t="s">
        <v>14</v>
      </c>
      <c r="G1509" s="2" t="s">
        <v>15</v>
      </c>
      <c r="H1509" s="2">
        <v>35000000</v>
      </c>
      <c r="I1509" s="2">
        <v>6.9</v>
      </c>
      <c r="J1509" s="2">
        <f t="shared" si="10"/>
        <v>31359959</v>
      </c>
      <c r="K1509" s="2">
        <f t="shared" si="11"/>
        <v>-1.9439161891100794E-2</v>
      </c>
      <c r="L1509" s="2" t="str">
        <f>IF(ISNUMBER(SEARCH("|",IMDB_Movies!$D1509)),LEFT(IMDB_Movies!$D1509,SEARCH("|",IMDB_Movies!$D1509)-1),IMDB_Movies!$D1509)</f>
        <v>Comedy</v>
      </c>
      <c r="V1509" s="2"/>
      <c r="W1509" s="2"/>
    </row>
    <row r="1510" spans="1:23" ht="12.5" x14ac:dyDescent="0.25">
      <c r="A1510" s="2" t="s">
        <v>2716</v>
      </c>
      <c r="B1510" s="2">
        <v>119</v>
      </c>
      <c r="C1510" s="2">
        <v>66468315</v>
      </c>
      <c r="D1510" s="2" t="s">
        <v>1869</v>
      </c>
      <c r="E1510" s="2" t="s">
        <v>2717</v>
      </c>
      <c r="F1510" s="2" t="s">
        <v>14</v>
      </c>
      <c r="G1510" s="2" t="s">
        <v>15</v>
      </c>
      <c r="H1510" s="2">
        <v>30000000</v>
      </c>
      <c r="I1510" s="2">
        <v>7.4</v>
      </c>
      <c r="J1510" s="2">
        <f t="shared" si="10"/>
        <v>36468315</v>
      </c>
      <c r="K1510" s="2">
        <f t="shared" si="11"/>
        <v>-1.9460810797570647E-2</v>
      </c>
      <c r="L1510" s="2" t="str">
        <f>IF(ISNUMBER(SEARCH("|",IMDB_Movies!$D1510)),LEFT(IMDB_Movies!$D1510,SEARCH("|",IMDB_Movies!$D1510)-1),IMDB_Movies!$D1510)</f>
        <v>Action</v>
      </c>
      <c r="V1510" s="2"/>
      <c r="W1510" s="2"/>
    </row>
    <row r="1511" spans="1:23" ht="12.5" x14ac:dyDescent="0.25">
      <c r="A1511" s="2" t="s">
        <v>80</v>
      </c>
      <c r="B1511" s="2">
        <v>87</v>
      </c>
      <c r="C1511" s="2">
        <v>64172251</v>
      </c>
      <c r="D1511" s="2" t="s">
        <v>975</v>
      </c>
      <c r="E1511" s="2" t="s">
        <v>2718</v>
      </c>
      <c r="F1511" s="2" t="s">
        <v>14</v>
      </c>
      <c r="G1511" s="2" t="s">
        <v>15</v>
      </c>
      <c r="H1511" s="2">
        <v>30000000</v>
      </c>
      <c r="I1511" s="2">
        <v>5.4</v>
      </c>
      <c r="J1511" s="2">
        <f t="shared" si="10"/>
        <v>34172251</v>
      </c>
      <c r="K1511" s="2">
        <f t="shared" si="11"/>
        <v>-1.9473787731348682E-2</v>
      </c>
      <c r="L1511" s="2" t="str">
        <f>IF(ISNUMBER(SEARCH("|",IMDB_Movies!$D1511)),LEFT(IMDB_Movies!$D1511,SEARCH("|",IMDB_Movies!$D1511)-1),IMDB_Movies!$D1511)</f>
        <v>Comedy</v>
      </c>
      <c r="V1511" s="2"/>
      <c r="W1511" s="2"/>
    </row>
    <row r="1512" spans="1:23" ht="12.5" x14ac:dyDescent="0.25">
      <c r="A1512" s="2" t="s">
        <v>2719</v>
      </c>
      <c r="B1512" s="2">
        <v>91</v>
      </c>
      <c r="C1512" s="2">
        <v>66600000</v>
      </c>
      <c r="D1512" s="2" t="s">
        <v>1357</v>
      </c>
      <c r="E1512" s="2" t="s">
        <v>2720</v>
      </c>
      <c r="F1512" s="2" t="s">
        <v>14</v>
      </c>
      <c r="G1512" s="2" t="s">
        <v>135</v>
      </c>
      <c r="H1512" s="2">
        <v>30000000</v>
      </c>
      <c r="I1512" s="2">
        <v>6.8</v>
      </c>
      <c r="J1512" s="2">
        <f t="shared" si="10"/>
        <v>36600000</v>
      </c>
      <c r="K1512" s="2">
        <f t="shared" si="11"/>
        <v>-1.9485774587954745E-2</v>
      </c>
      <c r="L1512" s="2" t="str">
        <f>IF(ISNUMBER(SEARCH("|",IMDB_Movies!$D1512)),LEFT(IMDB_Movies!$D1512,SEARCH("|",IMDB_Movies!$D1512)-1),IMDB_Movies!$D1512)</f>
        <v>Comedy</v>
      </c>
      <c r="V1512" s="2"/>
      <c r="W1512" s="2"/>
    </row>
    <row r="1513" spans="1:23" ht="12.5" x14ac:dyDescent="0.25">
      <c r="A1513" s="2" t="s">
        <v>1356</v>
      </c>
      <c r="B1513" s="2">
        <v>100</v>
      </c>
      <c r="C1513" s="2">
        <v>63536011</v>
      </c>
      <c r="D1513" s="2" t="s">
        <v>514</v>
      </c>
      <c r="E1513" s="2" t="s">
        <v>2721</v>
      </c>
      <c r="F1513" s="2" t="s">
        <v>14</v>
      </c>
      <c r="G1513" s="2" t="s">
        <v>15</v>
      </c>
      <c r="H1513" s="2">
        <v>30000000</v>
      </c>
      <c r="I1513" s="2">
        <v>6.3</v>
      </c>
      <c r="J1513" s="2">
        <f t="shared" si="10"/>
        <v>33536011</v>
      </c>
      <c r="K1513" s="2">
        <f t="shared" si="11"/>
        <v>-1.9498850252186405E-2</v>
      </c>
      <c r="L1513" s="2" t="str">
        <f>IF(ISNUMBER(SEARCH("|",IMDB_Movies!$D1513)),LEFT(IMDB_Movies!$D1513,SEARCH("|",IMDB_Movies!$D1513)-1),IMDB_Movies!$D1513)</f>
        <v>Comedy</v>
      </c>
      <c r="V1513" s="2"/>
      <c r="W1513" s="2"/>
    </row>
    <row r="1514" spans="1:23" ht="12.5" x14ac:dyDescent="0.25">
      <c r="A1514" s="2" t="s">
        <v>2449</v>
      </c>
      <c r="B1514" s="2">
        <v>118</v>
      </c>
      <c r="C1514" s="2">
        <v>62877175</v>
      </c>
      <c r="D1514" s="2" t="s">
        <v>514</v>
      </c>
      <c r="E1514" s="2" t="s">
        <v>2722</v>
      </c>
      <c r="F1514" s="2" t="s">
        <v>14</v>
      </c>
      <c r="G1514" s="2" t="s">
        <v>15</v>
      </c>
      <c r="H1514" s="2">
        <v>30000000</v>
      </c>
      <c r="I1514" s="2">
        <v>7.2</v>
      </c>
      <c r="J1514" s="2">
        <f t="shared" si="10"/>
        <v>32877175</v>
      </c>
      <c r="K1514" s="2">
        <f t="shared" si="11"/>
        <v>-1.951059974913167E-2</v>
      </c>
      <c r="L1514" s="2" t="str">
        <f>IF(ISNUMBER(SEARCH("|",IMDB_Movies!$D1514)),LEFT(IMDB_Movies!$D1514,SEARCH("|",IMDB_Movies!$D1514)-1),IMDB_Movies!$D1514)</f>
        <v>Comedy</v>
      </c>
      <c r="V1514" s="2"/>
      <c r="W1514" s="2"/>
    </row>
    <row r="1515" spans="1:23" ht="12.5" x14ac:dyDescent="0.25">
      <c r="A1515" s="2" t="s">
        <v>1020</v>
      </c>
      <c r="B1515" s="2">
        <v>109</v>
      </c>
      <c r="C1515" s="2">
        <v>74484168</v>
      </c>
      <c r="D1515" s="2" t="s">
        <v>845</v>
      </c>
      <c r="E1515" s="2" t="s">
        <v>2723</v>
      </c>
      <c r="F1515" s="2" t="s">
        <v>14</v>
      </c>
      <c r="G1515" s="2" t="s">
        <v>15</v>
      </c>
      <c r="H1515" s="2">
        <v>45000000</v>
      </c>
      <c r="I1515" s="2">
        <v>6.9</v>
      </c>
      <c r="J1515" s="2">
        <f t="shared" si="10"/>
        <v>29484168</v>
      </c>
      <c r="K1515" s="2">
        <f t="shared" si="11"/>
        <v>-1.952208468953354E-2</v>
      </c>
      <c r="L1515" s="2" t="str">
        <f>IF(ISNUMBER(SEARCH("|",IMDB_Movies!$D1515)),LEFT(IMDB_Movies!$D1515,SEARCH("|",IMDB_Movies!$D1515)-1),IMDB_Movies!$D1515)</f>
        <v>Action</v>
      </c>
      <c r="V1515" s="2"/>
      <c r="W1515" s="2"/>
    </row>
    <row r="1516" spans="1:23" ht="12.5" x14ac:dyDescent="0.25">
      <c r="A1516" s="2" t="s">
        <v>2724</v>
      </c>
      <c r="B1516" s="2">
        <v>99</v>
      </c>
      <c r="C1516" s="2">
        <v>60269340</v>
      </c>
      <c r="D1516" s="2" t="s">
        <v>600</v>
      </c>
      <c r="E1516" s="2" t="s">
        <v>2725</v>
      </c>
      <c r="F1516" s="2" t="s">
        <v>14</v>
      </c>
      <c r="G1516" s="2" t="s">
        <v>15</v>
      </c>
      <c r="H1516" s="2">
        <v>30000000</v>
      </c>
      <c r="I1516" s="2">
        <v>6</v>
      </c>
      <c r="J1516" s="2">
        <f t="shared" si="10"/>
        <v>30269340</v>
      </c>
      <c r="K1516" s="2">
        <f t="shared" si="11"/>
        <v>-1.9570491319158875E-2</v>
      </c>
      <c r="L1516" s="2" t="str">
        <f>IF(ISNUMBER(SEARCH("|",IMDB_Movies!$D1516)),LEFT(IMDB_Movies!$D1516,SEARCH("|",IMDB_Movies!$D1516)-1),IMDB_Movies!$D1516)</f>
        <v>Comedy</v>
      </c>
      <c r="V1516" s="2"/>
      <c r="W1516" s="2"/>
    </row>
    <row r="1517" spans="1:23" ht="12.5" x14ac:dyDescent="0.25">
      <c r="A1517" s="2" t="s">
        <v>2726</v>
      </c>
      <c r="B1517" s="2">
        <v>114</v>
      </c>
      <c r="C1517" s="2">
        <v>60033780</v>
      </c>
      <c r="D1517" s="2" t="s">
        <v>85</v>
      </c>
      <c r="E1517" s="2" t="s">
        <v>2727</v>
      </c>
      <c r="F1517" s="2" t="s">
        <v>14</v>
      </c>
      <c r="G1517" s="2" t="s">
        <v>15</v>
      </c>
      <c r="H1517" s="2">
        <v>30000000</v>
      </c>
      <c r="I1517" s="2">
        <v>5.9</v>
      </c>
      <c r="J1517" s="2">
        <f t="shared" si="10"/>
        <v>30033780</v>
      </c>
      <c r="K1517" s="2">
        <f t="shared" si="11"/>
        <v>-1.9580941216675793E-2</v>
      </c>
      <c r="L1517" s="2" t="str">
        <f>IF(ISNUMBER(SEARCH("|",IMDB_Movies!$D1517)),LEFT(IMDB_Movies!$D1517,SEARCH("|",IMDB_Movies!$D1517)-1),IMDB_Movies!$D1517)</f>
        <v>Drama</v>
      </c>
      <c r="V1517" s="2"/>
      <c r="W1517" s="2"/>
    </row>
    <row r="1518" spans="1:23" ht="12.5" x14ac:dyDescent="0.25">
      <c r="A1518" s="2" t="s">
        <v>2728</v>
      </c>
      <c r="B1518" s="2">
        <v>89</v>
      </c>
      <c r="C1518" s="2">
        <v>58715510</v>
      </c>
      <c r="D1518" s="2" t="s">
        <v>600</v>
      </c>
      <c r="E1518" s="2" t="s">
        <v>2729</v>
      </c>
      <c r="F1518" s="2" t="s">
        <v>14</v>
      </c>
      <c r="G1518" s="2" t="s">
        <v>15</v>
      </c>
      <c r="H1518" s="2">
        <v>30000000</v>
      </c>
      <c r="I1518" s="2">
        <v>5.4</v>
      </c>
      <c r="J1518" s="2">
        <f t="shared" si="10"/>
        <v>28715510</v>
      </c>
      <c r="K1518" s="2">
        <f t="shared" si="11"/>
        <v>-1.9591308917896816E-2</v>
      </c>
      <c r="L1518" s="2" t="str">
        <f>IF(ISNUMBER(SEARCH("|",IMDB_Movies!$D1518)),LEFT(IMDB_Movies!$D1518,SEARCH("|",IMDB_Movies!$D1518)-1),IMDB_Movies!$D1518)</f>
        <v>Comedy</v>
      </c>
      <c r="V1518" s="2"/>
      <c r="W1518" s="2"/>
    </row>
    <row r="1519" spans="1:23" ht="12.5" x14ac:dyDescent="0.25">
      <c r="A1519" s="2" t="s">
        <v>974</v>
      </c>
      <c r="B1519" s="2">
        <v>95</v>
      </c>
      <c r="C1519" s="2">
        <v>58156435</v>
      </c>
      <c r="D1519" s="2" t="s">
        <v>877</v>
      </c>
      <c r="E1519" s="2" t="s">
        <v>2730</v>
      </c>
      <c r="F1519" s="2" t="s">
        <v>14</v>
      </c>
      <c r="G1519" s="2" t="s">
        <v>15</v>
      </c>
      <c r="H1519" s="2">
        <v>19000000</v>
      </c>
      <c r="I1519" s="2">
        <v>5.9</v>
      </c>
      <c r="J1519" s="2">
        <f t="shared" si="10"/>
        <v>39156435</v>
      </c>
      <c r="K1519" s="2">
        <f t="shared" si="11"/>
        <v>-1.9601156144052972E-2</v>
      </c>
      <c r="L1519" s="2" t="str">
        <f>IF(ISNUMBER(SEARCH("|",IMDB_Movies!$D1519)),LEFT(IMDB_Movies!$D1519,SEARCH("|",IMDB_Movies!$D1519)-1),IMDB_Movies!$D1519)</f>
        <v>Adventure</v>
      </c>
      <c r="V1519" s="2"/>
      <c r="W1519" s="2"/>
    </row>
    <row r="1520" spans="1:23" ht="12.5" x14ac:dyDescent="0.25">
      <c r="A1520" s="2" t="s">
        <v>2728</v>
      </c>
      <c r="B1520" s="2">
        <v>98</v>
      </c>
      <c r="C1520" s="2">
        <v>56044241</v>
      </c>
      <c r="D1520" s="2" t="s">
        <v>1256</v>
      </c>
      <c r="E1520" s="2" t="s">
        <v>2731</v>
      </c>
      <c r="F1520" s="2" t="s">
        <v>14</v>
      </c>
      <c r="G1520" s="2" t="s">
        <v>15</v>
      </c>
      <c r="H1520" s="2">
        <v>37000000</v>
      </c>
      <c r="I1520" s="2">
        <v>6.1</v>
      </c>
      <c r="J1520" s="2">
        <f t="shared" si="10"/>
        <v>19044241</v>
      </c>
      <c r="K1520" s="2">
        <f t="shared" si="11"/>
        <v>-1.9595249646871489E-2</v>
      </c>
      <c r="L1520" s="2" t="str">
        <f>IF(ISNUMBER(SEARCH("|",IMDB_Movies!$D1520)),LEFT(IMDB_Movies!$D1520,SEARCH("|",IMDB_Movies!$D1520)-1),IMDB_Movies!$D1520)</f>
        <v>Comedy</v>
      </c>
      <c r="V1520" s="2"/>
      <c r="W1520" s="2"/>
    </row>
    <row r="1521" spans="1:23" ht="12.5" x14ac:dyDescent="0.25">
      <c r="A1521" s="2" t="s">
        <v>2732</v>
      </c>
      <c r="B1521" s="2">
        <v>94</v>
      </c>
      <c r="C1521" s="2">
        <v>56816662</v>
      </c>
      <c r="D1521" s="2" t="s">
        <v>1256</v>
      </c>
      <c r="E1521" s="2" t="s">
        <v>2733</v>
      </c>
      <c r="F1521" s="2" t="s">
        <v>14</v>
      </c>
      <c r="G1521" s="2" t="s">
        <v>1239</v>
      </c>
      <c r="H1521" s="2">
        <v>17000000</v>
      </c>
      <c r="I1521" s="2">
        <v>7.7</v>
      </c>
      <c r="J1521" s="2">
        <f t="shared" si="10"/>
        <v>39816662</v>
      </c>
      <c r="K1521" s="2">
        <f t="shared" si="11"/>
        <v>-1.9613341067283598E-2</v>
      </c>
      <c r="L1521" s="2" t="str">
        <f>IF(ISNUMBER(SEARCH("|",IMDB_Movies!$D1521)),LEFT(IMDB_Movies!$D1521,SEARCH("|",IMDB_Movies!$D1521)-1),IMDB_Movies!$D1521)</f>
        <v>Comedy</v>
      </c>
      <c r="V1521" s="2"/>
      <c r="W1521" s="2"/>
    </row>
    <row r="1522" spans="1:23" ht="12.5" x14ac:dyDescent="0.25">
      <c r="A1522" s="2" t="s">
        <v>2734</v>
      </c>
      <c r="B1522" s="2">
        <v>85</v>
      </c>
      <c r="C1522" s="2">
        <v>64238770</v>
      </c>
      <c r="D1522" s="2" t="s">
        <v>181</v>
      </c>
      <c r="E1522" s="2" t="s">
        <v>2735</v>
      </c>
      <c r="F1522" s="2" t="s">
        <v>14</v>
      </c>
      <c r="G1522" s="2" t="s">
        <v>104</v>
      </c>
      <c r="H1522" s="2">
        <v>42000000</v>
      </c>
      <c r="I1522" s="2">
        <v>5.8</v>
      </c>
      <c r="J1522" s="2">
        <f t="shared" si="10"/>
        <v>22238770</v>
      </c>
      <c r="K1522" s="2">
        <f t="shared" si="11"/>
        <v>-1.9604818456353406E-2</v>
      </c>
      <c r="L1522" s="2" t="str">
        <f>IF(ISNUMBER(SEARCH("|",IMDB_Movies!$D1522)),LEFT(IMDB_Movies!$D1522,SEARCH("|",IMDB_Movies!$D1522)-1),IMDB_Movies!$D1522)</f>
        <v>Adventure</v>
      </c>
      <c r="V1522" s="2"/>
      <c r="W1522" s="2"/>
    </row>
    <row r="1523" spans="1:23" ht="12.5" x14ac:dyDescent="0.25">
      <c r="A1523" s="2" t="s">
        <v>2736</v>
      </c>
      <c r="B1523" s="2">
        <v>124</v>
      </c>
      <c r="C1523" s="2">
        <v>52937130</v>
      </c>
      <c r="D1523" s="2" t="s">
        <v>614</v>
      </c>
      <c r="E1523" s="2" t="s">
        <v>2737</v>
      </c>
      <c r="F1523" s="2" t="s">
        <v>14</v>
      </c>
      <c r="G1523" s="2" t="s">
        <v>15</v>
      </c>
      <c r="H1523" s="2">
        <v>30000000</v>
      </c>
      <c r="I1523" s="2">
        <v>7.6</v>
      </c>
      <c r="J1523" s="2">
        <f t="shared" si="10"/>
        <v>22937130</v>
      </c>
      <c r="K1523" s="2">
        <f t="shared" si="11"/>
        <v>-1.9637118121221962E-2</v>
      </c>
      <c r="L1523" s="2" t="str">
        <f>IF(ISNUMBER(SEARCH("|",IMDB_Movies!$D1523)),LEFT(IMDB_Movies!$D1523,SEARCH("|",IMDB_Movies!$D1523)-1),IMDB_Movies!$D1523)</f>
        <v>Biography</v>
      </c>
      <c r="V1523" s="2"/>
      <c r="W1523" s="2"/>
    </row>
    <row r="1524" spans="1:23" ht="12.5" x14ac:dyDescent="0.25">
      <c r="A1524" s="2" t="s">
        <v>2341</v>
      </c>
      <c r="B1524" s="2">
        <v>131</v>
      </c>
      <c r="C1524" s="2">
        <v>52799004</v>
      </c>
      <c r="D1524" s="2" t="s">
        <v>85</v>
      </c>
      <c r="E1524" s="2" t="s">
        <v>2738</v>
      </c>
      <c r="F1524" s="2" t="s">
        <v>14</v>
      </c>
      <c r="G1524" s="2" t="s">
        <v>15</v>
      </c>
      <c r="H1524" s="2">
        <v>55000000</v>
      </c>
      <c r="I1524" s="2">
        <v>6.1</v>
      </c>
      <c r="J1524" s="2">
        <f t="shared" si="10"/>
        <v>-2200996</v>
      </c>
      <c r="K1524" s="2">
        <f t="shared" si="11"/>
        <v>-1.9644807724973064E-2</v>
      </c>
      <c r="L1524" s="2" t="str">
        <f>IF(ISNUMBER(SEARCH("|",IMDB_Movies!$D1524)),LEFT(IMDB_Movies!$D1524,SEARCH("|",IMDB_Movies!$D1524)-1),IMDB_Movies!$D1524)</f>
        <v>Drama</v>
      </c>
      <c r="V1524" s="2"/>
      <c r="W1524" s="2"/>
    </row>
    <row r="1525" spans="1:23" ht="12.5" x14ac:dyDescent="0.25">
      <c r="A1525" s="2" t="s">
        <v>2739</v>
      </c>
      <c r="B1525" s="2">
        <v>107</v>
      </c>
      <c r="C1525" s="2">
        <v>55210049</v>
      </c>
      <c r="D1525" s="2" t="s">
        <v>90</v>
      </c>
      <c r="E1525" s="2" t="s">
        <v>2740</v>
      </c>
      <c r="F1525" s="2" t="s">
        <v>14</v>
      </c>
      <c r="G1525" s="2" t="s">
        <v>15</v>
      </c>
      <c r="H1525" s="2">
        <v>27800000</v>
      </c>
      <c r="I1525" s="2">
        <v>5.4</v>
      </c>
      <c r="J1525" s="2">
        <f t="shared" si="10"/>
        <v>27410049</v>
      </c>
      <c r="K1525" s="2">
        <f t="shared" si="11"/>
        <v>-1.9682261443890334E-2</v>
      </c>
      <c r="L1525" s="2" t="str">
        <f>IF(ISNUMBER(SEARCH("|",IMDB_Movies!$D1525)),LEFT(IMDB_Movies!$D1525,SEARCH("|",IMDB_Movies!$D1525)-1),IMDB_Movies!$D1525)</f>
        <v>Action</v>
      </c>
      <c r="V1525" s="2"/>
      <c r="W1525" s="2"/>
    </row>
    <row r="1526" spans="1:23" ht="12.5" x14ac:dyDescent="0.25">
      <c r="A1526" s="2" t="s">
        <v>1988</v>
      </c>
      <c r="B1526" s="2">
        <v>99</v>
      </c>
      <c r="C1526" s="2">
        <v>51432423</v>
      </c>
      <c r="D1526" s="2" t="s">
        <v>2741</v>
      </c>
      <c r="E1526" s="2" t="s">
        <v>2742</v>
      </c>
      <c r="F1526" s="2" t="s">
        <v>14</v>
      </c>
      <c r="G1526" s="2" t="s">
        <v>15</v>
      </c>
      <c r="H1526" s="2">
        <v>30000000</v>
      </c>
      <c r="I1526" s="2">
        <v>5.0999999999999996</v>
      </c>
      <c r="J1526" s="2">
        <f t="shared" si="10"/>
        <v>21432423</v>
      </c>
      <c r="K1526" s="2">
        <f t="shared" si="11"/>
        <v>-1.9687990813158505E-2</v>
      </c>
      <c r="L1526" s="2" t="str">
        <f>IF(ISNUMBER(SEARCH("|",IMDB_Movies!$D1526)),LEFT(IMDB_Movies!$D1526,SEARCH("|",IMDB_Movies!$D1526)-1),IMDB_Movies!$D1526)</f>
        <v>Comedy</v>
      </c>
      <c r="V1526" s="2"/>
      <c r="W1526" s="2"/>
    </row>
    <row r="1527" spans="1:23" ht="12.5" x14ac:dyDescent="0.25">
      <c r="A1527" s="2" t="s">
        <v>874</v>
      </c>
      <c r="B1527" s="2">
        <v>83</v>
      </c>
      <c r="C1527" s="2">
        <v>51109400</v>
      </c>
      <c r="D1527" s="2" t="s">
        <v>375</v>
      </c>
      <c r="E1527" s="2" t="s">
        <v>2743</v>
      </c>
      <c r="F1527" s="2" t="s">
        <v>14</v>
      </c>
      <c r="G1527" s="2" t="s">
        <v>15</v>
      </c>
      <c r="H1527" s="2">
        <v>30000000</v>
      </c>
      <c r="I1527" s="2">
        <v>6.4</v>
      </c>
      <c r="J1527" s="2">
        <f t="shared" si="10"/>
        <v>21109400</v>
      </c>
      <c r="K1527" s="2">
        <f t="shared" si="11"/>
        <v>-1.9695179892073051E-2</v>
      </c>
      <c r="L1527" s="2" t="str">
        <f>IF(ISNUMBER(SEARCH("|",IMDB_Movies!$D1527)),LEFT(IMDB_Movies!$D1527,SEARCH("|",IMDB_Movies!$D1527)-1),IMDB_Movies!$D1527)</f>
        <v>Comedy</v>
      </c>
      <c r="V1527" s="2"/>
      <c r="W1527" s="2"/>
    </row>
    <row r="1528" spans="1:23" ht="12.5" x14ac:dyDescent="0.25">
      <c r="A1528" s="2" t="s">
        <v>2064</v>
      </c>
      <c r="B1528" s="2">
        <v>131</v>
      </c>
      <c r="C1528" s="2">
        <v>50300000</v>
      </c>
      <c r="D1528" s="2" t="s">
        <v>20</v>
      </c>
      <c r="E1528" s="2" t="s">
        <v>2744</v>
      </c>
      <c r="F1528" s="2" t="s">
        <v>14</v>
      </c>
      <c r="G1528" s="2" t="s">
        <v>22</v>
      </c>
      <c r="H1528" s="2">
        <v>30000000</v>
      </c>
      <c r="I1528" s="2">
        <v>6.3</v>
      </c>
      <c r="J1528" s="2">
        <f t="shared" si="10"/>
        <v>20300000</v>
      </c>
      <c r="K1528" s="2">
        <f t="shared" si="11"/>
        <v>-1.9702262300835962E-2</v>
      </c>
      <c r="L1528" s="2" t="str">
        <f>IF(ISNUMBER(SEARCH("|",IMDB_Movies!$D1528)),LEFT(IMDB_Movies!$D1528,SEARCH("|",IMDB_Movies!$D1528)-1),IMDB_Movies!$D1528)</f>
        <v>Action</v>
      </c>
      <c r="V1528" s="2"/>
      <c r="W1528" s="2"/>
    </row>
    <row r="1529" spans="1:23" ht="12.5" x14ac:dyDescent="0.25">
      <c r="A1529" s="2" t="s">
        <v>2745</v>
      </c>
      <c r="B1529" s="2">
        <v>85</v>
      </c>
      <c r="C1529" s="2">
        <v>56068547</v>
      </c>
      <c r="D1529" s="2" t="s">
        <v>2746</v>
      </c>
      <c r="E1529" s="2" t="s">
        <v>2747</v>
      </c>
      <c r="F1529" s="2" t="s">
        <v>14</v>
      </c>
      <c r="G1529" s="2" t="s">
        <v>22</v>
      </c>
      <c r="H1529" s="2">
        <v>30000000</v>
      </c>
      <c r="I1529" s="2">
        <v>7.5</v>
      </c>
      <c r="J1529" s="2">
        <f t="shared" si="10"/>
        <v>26068547</v>
      </c>
      <c r="K1529" s="2">
        <f t="shared" si="11"/>
        <v>-1.9709067453222668E-2</v>
      </c>
      <c r="L1529" s="2" t="str">
        <f>IF(ISNUMBER(SEARCH("|",IMDB_Movies!$D1529)),LEFT(IMDB_Movies!$D1529,SEARCH("|",IMDB_Movies!$D1529)-1),IMDB_Movies!$D1529)</f>
        <v>Animation</v>
      </c>
      <c r="V1529" s="2"/>
      <c r="W1529" s="2"/>
    </row>
    <row r="1530" spans="1:23" ht="12.5" x14ac:dyDescent="0.25">
      <c r="A1530" s="2" t="s">
        <v>1851</v>
      </c>
      <c r="B1530" s="2">
        <v>126</v>
      </c>
      <c r="C1530" s="2">
        <v>53680848</v>
      </c>
      <c r="D1530" s="2" t="s">
        <v>85</v>
      </c>
      <c r="E1530" s="2" t="s">
        <v>2748</v>
      </c>
      <c r="F1530" s="2" t="s">
        <v>14</v>
      </c>
      <c r="G1530" s="2" t="s">
        <v>15</v>
      </c>
      <c r="H1530" s="2">
        <v>30000000</v>
      </c>
      <c r="I1530" s="2">
        <v>7.1</v>
      </c>
      <c r="J1530" s="2">
        <f t="shared" si="10"/>
        <v>23680848</v>
      </c>
      <c r="K1530" s="2">
        <f t="shared" si="11"/>
        <v>-1.9718010991175799E-2</v>
      </c>
      <c r="L1530" s="2" t="str">
        <f>IF(ISNUMBER(SEARCH("|",IMDB_Movies!$D1530)),LEFT(IMDB_Movies!$D1530,SEARCH("|",IMDB_Movies!$D1530)-1),IMDB_Movies!$D1530)</f>
        <v>Drama</v>
      </c>
      <c r="V1530" s="2"/>
      <c r="W1530" s="2"/>
    </row>
    <row r="1531" spans="1:23" ht="12.5" x14ac:dyDescent="0.25">
      <c r="A1531" s="2" t="s">
        <v>348</v>
      </c>
      <c r="B1531" s="2">
        <v>123</v>
      </c>
      <c r="C1531" s="2">
        <v>50921738</v>
      </c>
      <c r="D1531" s="2" t="s">
        <v>1643</v>
      </c>
      <c r="E1531" s="2" t="s">
        <v>2749</v>
      </c>
      <c r="F1531" s="2" t="s">
        <v>14</v>
      </c>
      <c r="G1531" s="2" t="s">
        <v>22</v>
      </c>
      <c r="H1531" s="2">
        <v>30000000</v>
      </c>
      <c r="I1531" s="2">
        <v>7.8</v>
      </c>
      <c r="J1531" s="2">
        <f t="shared" si="10"/>
        <v>20921738</v>
      </c>
      <c r="K1531" s="2">
        <f t="shared" si="11"/>
        <v>-1.9726056505202486E-2</v>
      </c>
      <c r="L1531" s="2" t="str">
        <f>IF(ISNUMBER(SEARCH("|",IMDB_Movies!$D1531)),LEFT(IMDB_Movies!$D1531,SEARCH("|",IMDB_Movies!$D1531)-1),IMDB_Movies!$D1531)</f>
        <v>Drama</v>
      </c>
      <c r="V1531" s="2"/>
      <c r="W1531" s="2"/>
    </row>
    <row r="1532" spans="1:23" ht="12.5" x14ac:dyDescent="0.25">
      <c r="A1532" s="2" t="s">
        <v>2728</v>
      </c>
      <c r="B1532" s="2">
        <v>105</v>
      </c>
      <c r="C1532" s="2">
        <v>53021560</v>
      </c>
      <c r="D1532" s="2" t="s">
        <v>514</v>
      </c>
      <c r="E1532" s="2" t="s">
        <v>2750</v>
      </c>
      <c r="F1532" s="2" t="s">
        <v>14</v>
      </c>
      <c r="G1532" s="2" t="s">
        <v>15</v>
      </c>
      <c r="H1532" s="2">
        <v>30000000</v>
      </c>
      <c r="I1532" s="2">
        <v>6.5</v>
      </c>
      <c r="J1532" s="2">
        <f t="shared" ref="J1532:J1786" si="12">(C1532-H1532)</f>
        <v>23021560</v>
      </c>
      <c r="K1532" s="2">
        <f t="shared" si="11"/>
        <v>-1.9733107032927882E-2</v>
      </c>
      <c r="L1532" s="2" t="str">
        <f>IF(ISNUMBER(SEARCH("|",IMDB_Movies!$D1532)),LEFT(IMDB_Movies!$D1532,SEARCH("|",IMDB_Movies!$D1532)-1),IMDB_Movies!$D1532)</f>
        <v>Comedy</v>
      </c>
      <c r="V1532" s="2"/>
      <c r="W1532" s="2"/>
    </row>
    <row r="1533" spans="1:23" ht="12.5" x14ac:dyDescent="0.25">
      <c r="A1533" s="2" t="s">
        <v>76</v>
      </c>
      <c r="B1533" s="2">
        <v>125</v>
      </c>
      <c r="C1533" s="2">
        <v>45645204</v>
      </c>
      <c r="D1533" s="2" t="s">
        <v>125</v>
      </c>
      <c r="E1533" s="2" t="s">
        <v>2751</v>
      </c>
      <c r="F1533" s="2" t="s">
        <v>14</v>
      </c>
      <c r="G1533" s="2" t="s">
        <v>15</v>
      </c>
      <c r="H1533" s="2">
        <v>30000000</v>
      </c>
      <c r="I1533" s="2">
        <v>6.6</v>
      </c>
      <c r="J1533" s="2">
        <f t="shared" si="12"/>
        <v>15645204</v>
      </c>
      <c r="K1533" s="2">
        <f t="shared" ref="K1533:K1787" si="13">CORREL(H1533:H5318,C1533:C5318)</f>
        <v>-1.9740926430307715E-2</v>
      </c>
      <c r="L1533" s="2" t="str">
        <f>IF(ISNUMBER(SEARCH("|",IMDB_Movies!$D1533)),LEFT(IMDB_Movies!$D1533,SEARCH("|",IMDB_Movies!$D1533)-1),IMDB_Movies!$D1533)</f>
        <v>Action</v>
      </c>
      <c r="V1533" s="2"/>
      <c r="W1533" s="2"/>
    </row>
    <row r="1534" spans="1:23" ht="12.5" x14ac:dyDescent="0.25">
      <c r="A1534" s="2" t="s">
        <v>99</v>
      </c>
      <c r="B1534" s="2">
        <v>77</v>
      </c>
      <c r="C1534" s="2">
        <v>53337608</v>
      </c>
      <c r="D1534" s="2" t="s">
        <v>2752</v>
      </c>
      <c r="E1534" s="2" t="s">
        <v>2753</v>
      </c>
      <c r="F1534" s="2" t="s">
        <v>14</v>
      </c>
      <c r="G1534" s="2" t="s">
        <v>15</v>
      </c>
      <c r="H1534" s="2">
        <v>40000000</v>
      </c>
      <c r="I1534" s="2">
        <v>7.4</v>
      </c>
      <c r="J1534" s="2">
        <f t="shared" si="12"/>
        <v>13337608</v>
      </c>
      <c r="K1534" s="2">
        <f t="shared" si="13"/>
        <v>-1.9746209727557855E-2</v>
      </c>
      <c r="L1534" s="2" t="str">
        <f>IF(ISNUMBER(SEARCH("|",IMDB_Movies!$D1534)),LEFT(IMDB_Movies!$D1534,SEARCH("|",IMDB_Movies!$D1534)-1),IMDB_Movies!$D1534)</f>
        <v>Animation</v>
      </c>
      <c r="V1534" s="2"/>
      <c r="W1534" s="2"/>
    </row>
    <row r="1535" spans="1:23" ht="12.5" x14ac:dyDescent="0.25">
      <c r="A1535" s="2" t="s">
        <v>1930</v>
      </c>
      <c r="B1535" s="2">
        <v>121</v>
      </c>
      <c r="C1535" s="2">
        <v>46875468</v>
      </c>
      <c r="D1535" s="2" t="s">
        <v>845</v>
      </c>
      <c r="E1535" s="2" t="s">
        <v>2754</v>
      </c>
      <c r="F1535" s="2" t="s">
        <v>14</v>
      </c>
      <c r="G1535" s="2" t="s">
        <v>15</v>
      </c>
      <c r="H1535" s="2">
        <v>30000000</v>
      </c>
      <c r="I1535" s="2">
        <v>7.6</v>
      </c>
      <c r="J1535" s="2">
        <f t="shared" si="12"/>
        <v>16875468</v>
      </c>
      <c r="K1535" s="2">
        <f t="shared" si="13"/>
        <v>-1.9766372436742317E-2</v>
      </c>
      <c r="L1535" s="2" t="str">
        <f>IF(ISNUMBER(SEARCH("|",IMDB_Movies!$D1535)),LEFT(IMDB_Movies!$D1535,SEARCH("|",IMDB_Movies!$D1535)-1),IMDB_Movies!$D1535)</f>
        <v>Action</v>
      </c>
      <c r="V1535" s="2"/>
      <c r="W1535" s="2"/>
    </row>
    <row r="1536" spans="1:23" ht="12.5" x14ac:dyDescent="0.25">
      <c r="A1536" s="2" t="s">
        <v>1071</v>
      </c>
      <c r="B1536" s="2">
        <v>124</v>
      </c>
      <c r="C1536" s="2">
        <v>52418902</v>
      </c>
      <c r="D1536" s="2" t="s">
        <v>1307</v>
      </c>
      <c r="E1536" s="2" t="s">
        <v>2755</v>
      </c>
      <c r="F1536" s="2" t="s">
        <v>14</v>
      </c>
      <c r="G1536" s="2" t="s">
        <v>15</v>
      </c>
      <c r="H1536" s="2">
        <v>30000000</v>
      </c>
      <c r="I1536" s="2">
        <v>7.5</v>
      </c>
      <c r="J1536" s="2">
        <f t="shared" si="12"/>
        <v>22418902</v>
      </c>
      <c r="K1536" s="2">
        <f t="shared" si="13"/>
        <v>-1.9772073979582916E-2</v>
      </c>
      <c r="L1536" s="2" t="str">
        <f>IF(ISNUMBER(SEARCH("|",IMDB_Movies!$D1536)),LEFT(IMDB_Movies!$D1536,SEARCH("|",IMDB_Movies!$D1536)-1),IMDB_Movies!$D1536)</f>
        <v>Drama</v>
      </c>
      <c r="V1536" s="2"/>
      <c r="W1536" s="2"/>
    </row>
    <row r="1537" spans="1:23" ht="12.5" x14ac:dyDescent="0.25">
      <c r="A1537" s="2" t="s">
        <v>39</v>
      </c>
      <c r="B1537" s="2">
        <v>99</v>
      </c>
      <c r="C1537" s="2">
        <v>42057340</v>
      </c>
      <c r="D1537" s="2" t="s">
        <v>2228</v>
      </c>
      <c r="E1537" s="2" t="s">
        <v>2756</v>
      </c>
      <c r="F1537" s="2" t="s">
        <v>14</v>
      </c>
      <c r="G1537" s="2" t="s">
        <v>15</v>
      </c>
      <c r="H1537" s="2">
        <v>30000000</v>
      </c>
      <c r="I1537" s="2">
        <v>6.6</v>
      </c>
      <c r="J1537" s="2">
        <f t="shared" si="12"/>
        <v>12057340</v>
      </c>
      <c r="K1537" s="2">
        <f t="shared" si="13"/>
        <v>-1.9779712063391436E-2</v>
      </c>
      <c r="L1537" s="2" t="str">
        <f>IF(ISNUMBER(SEARCH("|",IMDB_Movies!$D1537)),LEFT(IMDB_Movies!$D1537,SEARCH("|",IMDB_Movies!$D1537)-1),IMDB_Movies!$D1537)</f>
        <v>Horror</v>
      </c>
      <c r="V1537" s="2"/>
      <c r="W1537" s="2"/>
    </row>
    <row r="1538" spans="1:23" ht="12.5" x14ac:dyDescent="0.25">
      <c r="A1538" s="2" t="s">
        <v>2757</v>
      </c>
      <c r="B1538" s="2">
        <v>112</v>
      </c>
      <c r="C1538" s="2">
        <v>42478175</v>
      </c>
      <c r="D1538" s="2" t="s">
        <v>256</v>
      </c>
      <c r="E1538" s="2" t="s">
        <v>2758</v>
      </c>
      <c r="F1538" s="2" t="s">
        <v>14</v>
      </c>
      <c r="G1538" s="2" t="s">
        <v>15</v>
      </c>
      <c r="H1538" s="2">
        <v>25000000</v>
      </c>
      <c r="I1538" s="2">
        <v>7.2</v>
      </c>
      <c r="J1538" s="2">
        <f t="shared" si="12"/>
        <v>17478175</v>
      </c>
      <c r="K1538" s="2">
        <f t="shared" si="13"/>
        <v>-1.9783913941558012E-2</v>
      </c>
      <c r="L1538" s="2" t="str">
        <f>IF(ISNUMBER(SEARCH("|",IMDB_Movies!$D1538)),LEFT(IMDB_Movies!$D1538,SEARCH("|",IMDB_Movies!$D1538)-1),IMDB_Movies!$D1538)</f>
        <v>Drama</v>
      </c>
      <c r="V1538" s="2"/>
      <c r="W1538" s="2"/>
    </row>
    <row r="1539" spans="1:23" ht="12.5" x14ac:dyDescent="0.25">
      <c r="A1539" s="2" t="s">
        <v>2759</v>
      </c>
      <c r="B1539" s="2">
        <v>111</v>
      </c>
      <c r="C1539" s="2">
        <v>41407470</v>
      </c>
      <c r="D1539" s="2" t="s">
        <v>1357</v>
      </c>
      <c r="E1539" s="2" t="s">
        <v>2760</v>
      </c>
      <c r="F1539" s="2" t="s">
        <v>14</v>
      </c>
      <c r="G1539" s="2" t="s">
        <v>15</v>
      </c>
      <c r="H1539" s="2">
        <v>30000000</v>
      </c>
      <c r="I1539" s="2">
        <v>7.6</v>
      </c>
      <c r="J1539" s="2">
        <f t="shared" si="12"/>
        <v>11407470</v>
      </c>
      <c r="K1539" s="2">
        <f t="shared" si="13"/>
        <v>-1.9784438814630642E-2</v>
      </c>
      <c r="L1539" s="2" t="str">
        <f>IF(ISNUMBER(SEARCH("|",IMDB_Movies!$D1539)),LEFT(IMDB_Movies!$D1539,SEARCH("|",IMDB_Movies!$D1539)-1),IMDB_Movies!$D1539)</f>
        <v>Comedy</v>
      </c>
      <c r="V1539" s="2"/>
      <c r="W1539" s="2"/>
    </row>
    <row r="1540" spans="1:23" ht="12.5" x14ac:dyDescent="0.25">
      <c r="A1540" s="2" t="s">
        <v>395</v>
      </c>
      <c r="B1540" s="2">
        <v>107</v>
      </c>
      <c r="C1540" s="2">
        <v>42385520</v>
      </c>
      <c r="D1540" s="2" t="s">
        <v>2586</v>
      </c>
      <c r="E1540" s="2" t="s">
        <v>2761</v>
      </c>
      <c r="F1540" s="2" t="s">
        <v>14</v>
      </c>
      <c r="G1540" s="2" t="s">
        <v>15</v>
      </c>
      <c r="H1540" s="2">
        <v>30000000</v>
      </c>
      <c r="I1540" s="2">
        <v>6.2</v>
      </c>
      <c r="J1540" s="2">
        <f t="shared" si="12"/>
        <v>12385520</v>
      </c>
      <c r="K1540" s="2">
        <f t="shared" si="13"/>
        <v>-1.9788454901429501E-2</v>
      </c>
      <c r="L1540" s="2" t="str">
        <f>IF(ISNUMBER(SEARCH("|",IMDB_Movies!$D1540)),LEFT(IMDB_Movies!$D1540,SEARCH("|",IMDB_Movies!$D1540)-1),IMDB_Movies!$D1540)</f>
        <v>Drama</v>
      </c>
      <c r="V1540" s="2"/>
      <c r="W1540" s="2"/>
    </row>
    <row r="1541" spans="1:23" ht="12.5" x14ac:dyDescent="0.25">
      <c r="A1541" s="2" t="s">
        <v>1831</v>
      </c>
      <c r="B1541" s="2">
        <v>104</v>
      </c>
      <c r="C1541" s="2">
        <v>40118420</v>
      </c>
      <c r="D1541" s="2" t="s">
        <v>1672</v>
      </c>
      <c r="E1541" s="2" t="s">
        <v>2762</v>
      </c>
      <c r="F1541" s="2" t="s">
        <v>14</v>
      </c>
      <c r="G1541" s="2" t="s">
        <v>15</v>
      </c>
      <c r="H1541" s="2">
        <v>30000000</v>
      </c>
      <c r="I1541" s="2">
        <v>5.6</v>
      </c>
      <c r="J1541" s="2">
        <f t="shared" si="12"/>
        <v>10118420</v>
      </c>
      <c r="K1541" s="2">
        <f t="shared" si="13"/>
        <v>-1.9792765890787111E-2</v>
      </c>
      <c r="L1541" s="2" t="str">
        <f>IF(ISNUMBER(SEARCH("|",IMDB_Movies!$D1541)),LEFT(IMDB_Movies!$D1541,SEARCH("|",IMDB_Movies!$D1541)-1),IMDB_Movies!$D1541)</f>
        <v>Drama</v>
      </c>
      <c r="V1541" s="2"/>
      <c r="W1541" s="2"/>
    </row>
    <row r="1542" spans="1:23" ht="12.5" x14ac:dyDescent="0.25">
      <c r="A1542" s="2" t="s">
        <v>54</v>
      </c>
      <c r="B1542" s="2">
        <v>113</v>
      </c>
      <c r="C1542" s="2">
        <v>40137776</v>
      </c>
      <c r="D1542" s="2" t="s">
        <v>881</v>
      </c>
      <c r="E1542" s="2" t="s">
        <v>2763</v>
      </c>
      <c r="F1542" s="2" t="s">
        <v>14</v>
      </c>
      <c r="G1542" s="2" t="s">
        <v>15</v>
      </c>
      <c r="H1542" s="2">
        <v>38000000</v>
      </c>
      <c r="I1542" s="2">
        <v>7.6</v>
      </c>
      <c r="J1542" s="2">
        <f t="shared" si="12"/>
        <v>2137776</v>
      </c>
      <c r="K1542" s="2">
        <f t="shared" si="13"/>
        <v>-1.9796416250328758E-2</v>
      </c>
      <c r="L1542" s="2" t="str">
        <f>IF(ISNUMBER(SEARCH("|",IMDB_Movies!$D1542)),LEFT(IMDB_Movies!$D1542,SEARCH("|",IMDB_Movies!$D1542)-1),IMDB_Movies!$D1542)</f>
        <v>Comedy</v>
      </c>
      <c r="V1542" s="2"/>
      <c r="W1542" s="2"/>
    </row>
    <row r="1543" spans="1:23" ht="12.5" x14ac:dyDescent="0.25">
      <c r="A1543" s="2" t="s">
        <v>1227</v>
      </c>
      <c r="B1543" s="2">
        <v>113</v>
      </c>
      <c r="C1543" s="2">
        <v>39568996</v>
      </c>
      <c r="D1543" s="2" t="s">
        <v>2148</v>
      </c>
      <c r="E1543" s="2" t="s">
        <v>2764</v>
      </c>
      <c r="F1543" s="2" t="s">
        <v>14</v>
      </c>
      <c r="G1543" s="2" t="s">
        <v>15</v>
      </c>
      <c r="H1543" s="2">
        <v>32000000</v>
      </c>
      <c r="I1543" s="2">
        <v>6.6</v>
      </c>
      <c r="J1543" s="2">
        <f t="shared" si="12"/>
        <v>7568996</v>
      </c>
      <c r="K1543" s="2">
        <f t="shared" si="13"/>
        <v>-1.9805389641376611E-2</v>
      </c>
      <c r="L1543" s="2" t="str">
        <f>IF(ISNUMBER(SEARCH("|",IMDB_Movies!$D1543)),LEFT(IMDB_Movies!$D1543,SEARCH("|",IMDB_Movies!$D1543)-1),IMDB_Movies!$D1543)</f>
        <v>Horror</v>
      </c>
      <c r="V1543" s="2"/>
      <c r="W1543" s="2"/>
    </row>
    <row r="1544" spans="1:23" ht="12.5" x14ac:dyDescent="0.25">
      <c r="A1544" s="2" t="s">
        <v>2765</v>
      </c>
      <c r="B1544" s="2">
        <v>95</v>
      </c>
      <c r="C1544" s="2">
        <v>42043633</v>
      </c>
      <c r="D1544" s="2" t="s">
        <v>934</v>
      </c>
      <c r="E1544" s="2" t="s">
        <v>2766</v>
      </c>
      <c r="F1544" s="2" t="s">
        <v>14</v>
      </c>
      <c r="G1544" s="2" t="s">
        <v>15</v>
      </c>
      <c r="H1544" s="2">
        <v>30000000</v>
      </c>
      <c r="I1544" s="2">
        <v>7</v>
      </c>
      <c r="J1544" s="2">
        <f t="shared" si="12"/>
        <v>12043633</v>
      </c>
      <c r="K1544" s="2">
        <f t="shared" si="13"/>
        <v>-1.9810173665066103E-2</v>
      </c>
      <c r="L1544" s="2" t="str">
        <f>IF(ISNUMBER(SEARCH("|",IMDB_Movies!$D1544)),LEFT(IMDB_Movies!$D1544,SEARCH("|",IMDB_Movies!$D1544)-1),IMDB_Movies!$D1544)</f>
        <v>Fantasy</v>
      </c>
      <c r="V1544" s="2"/>
      <c r="W1544" s="2"/>
    </row>
    <row r="1545" spans="1:23" ht="12.5" x14ac:dyDescent="0.25">
      <c r="A1545" s="2" t="s">
        <v>2767</v>
      </c>
      <c r="B1545" s="2">
        <v>86</v>
      </c>
      <c r="C1545" s="2">
        <v>38232624</v>
      </c>
      <c r="D1545" s="2" t="s">
        <v>709</v>
      </c>
      <c r="E1545" s="2" t="s">
        <v>2768</v>
      </c>
      <c r="F1545" s="2" t="s">
        <v>14</v>
      </c>
      <c r="G1545" s="2" t="s">
        <v>15</v>
      </c>
      <c r="H1545" s="2">
        <v>30000000</v>
      </c>
      <c r="I1545" s="2">
        <v>2.7</v>
      </c>
      <c r="J1545" s="2">
        <f t="shared" si="12"/>
        <v>8232624</v>
      </c>
      <c r="K1545" s="2">
        <f t="shared" si="13"/>
        <v>-1.9814401829663101E-2</v>
      </c>
      <c r="L1545" s="2" t="str">
        <f>IF(ISNUMBER(SEARCH("|",IMDB_Movies!$D1545)),LEFT(IMDB_Movies!$D1545,SEARCH("|",IMDB_Movies!$D1545)-1),IMDB_Movies!$D1545)</f>
        <v>Comedy</v>
      </c>
      <c r="V1545" s="2"/>
      <c r="W1545" s="2"/>
    </row>
    <row r="1546" spans="1:23" ht="12.5" x14ac:dyDescent="0.25">
      <c r="A1546" s="2" t="s">
        <v>862</v>
      </c>
      <c r="B1546" s="2">
        <v>126</v>
      </c>
      <c r="C1546" s="2">
        <v>38413606</v>
      </c>
      <c r="D1546" s="2" t="s">
        <v>150</v>
      </c>
      <c r="E1546" s="2" t="s">
        <v>2769</v>
      </c>
      <c r="F1546" s="2" t="s">
        <v>14</v>
      </c>
      <c r="G1546" s="2" t="s">
        <v>15</v>
      </c>
      <c r="H1546" s="2">
        <v>30000000</v>
      </c>
      <c r="I1546" s="2">
        <v>7.6</v>
      </c>
      <c r="J1546" s="2">
        <f t="shared" si="12"/>
        <v>8413606</v>
      </c>
      <c r="K1546" s="2">
        <f t="shared" si="13"/>
        <v>-1.981754126807268E-2</v>
      </c>
      <c r="L1546" s="2" t="str">
        <f>IF(ISNUMBER(SEARCH("|",IMDB_Movies!$D1546)),LEFT(IMDB_Movies!$D1546,SEARCH("|",IMDB_Movies!$D1546)-1),IMDB_Movies!$D1546)</f>
        <v>Action</v>
      </c>
      <c r="V1546" s="2"/>
      <c r="W1546" s="2"/>
    </row>
    <row r="1547" spans="1:23" ht="12.5" x14ac:dyDescent="0.25">
      <c r="A1547" s="2" t="s">
        <v>2770</v>
      </c>
      <c r="B1547" s="2">
        <v>101</v>
      </c>
      <c r="C1547" s="2">
        <v>38122105</v>
      </c>
      <c r="D1547" s="2" t="s">
        <v>509</v>
      </c>
      <c r="E1547" s="2" t="s">
        <v>2771</v>
      </c>
      <c r="F1547" s="2" t="s">
        <v>14</v>
      </c>
      <c r="G1547" s="2" t="s">
        <v>15</v>
      </c>
      <c r="H1547" s="2">
        <v>27000000</v>
      </c>
      <c r="I1547" s="2">
        <v>6.6</v>
      </c>
      <c r="J1547" s="2">
        <f t="shared" si="12"/>
        <v>11122105</v>
      </c>
      <c r="K1547" s="2">
        <f t="shared" si="13"/>
        <v>-1.9820733472510031E-2</v>
      </c>
      <c r="L1547" s="2" t="str">
        <f>IF(ISNUMBER(SEARCH("|",IMDB_Movies!$D1547)),LEFT(IMDB_Movies!$D1547,SEARCH("|",IMDB_Movies!$D1547)-1),IMDB_Movies!$D1547)</f>
        <v>Action</v>
      </c>
      <c r="V1547" s="2"/>
      <c r="W1547" s="2"/>
    </row>
    <row r="1548" spans="1:23" ht="12.5" x14ac:dyDescent="0.25">
      <c r="A1548" s="2" t="s">
        <v>703</v>
      </c>
      <c r="B1548" s="2">
        <v>102</v>
      </c>
      <c r="C1548" s="2">
        <v>38747385</v>
      </c>
      <c r="D1548" s="2" t="s">
        <v>2772</v>
      </c>
      <c r="E1548" s="2" t="s">
        <v>2773</v>
      </c>
      <c r="F1548" s="2" t="s">
        <v>14</v>
      </c>
      <c r="G1548" s="2" t="s">
        <v>15</v>
      </c>
      <c r="H1548" s="2">
        <v>25000000</v>
      </c>
      <c r="I1548" s="2">
        <v>6.9</v>
      </c>
      <c r="J1548" s="2">
        <f t="shared" si="12"/>
        <v>13747385</v>
      </c>
      <c r="K1548" s="2">
        <f t="shared" si="13"/>
        <v>-1.9822109788447013E-2</v>
      </c>
      <c r="L1548" s="2" t="str">
        <f>IF(ISNUMBER(SEARCH("|",IMDB_Movies!$D1548)),LEFT(IMDB_Movies!$D1548,SEARCH("|",IMDB_Movies!$D1548)-1),IMDB_Movies!$D1548)</f>
        <v>Comedy</v>
      </c>
      <c r="V1548" s="2"/>
      <c r="W1548" s="2"/>
    </row>
    <row r="1549" spans="1:23" ht="12.5" x14ac:dyDescent="0.25">
      <c r="A1549" s="2" t="s">
        <v>348</v>
      </c>
      <c r="B1549" s="2">
        <v>111</v>
      </c>
      <c r="C1549" s="2">
        <v>40247512</v>
      </c>
      <c r="D1549" s="2" t="s">
        <v>342</v>
      </c>
      <c r="E1549" s="2" t="s">
        <v>2774</v>
      </c>
      <c r="F1549" s="2" t="s">
        <v>14</v>
      </c>
      <c r="G1549" s="2" t="s">
        <v>15</v>
      </c>
      <c r="H1549" s="2">
        <v>30000000</v>
      </c>
      <c r="I1549" s="2">
        <v>6.8</v>
      </c>
      <c r="J1549" s="2">
        <f t="shared" si="12"/>
        <v>10247512</v>
      </c>
      <c r="K1549" s="2">
        <f t="shared" si="13"/>
        <v>-1.9822367866500282E-2</v>
      </c>
      <c r="L1549" s="2" t="str">
        <f>IF(ISNUMBER(SEARCH("|",IMDB_Movies!$D1549)),LEFT(IMDB_Movies!$D1549,SEARCH("|",IMDB_Movies!$D1549)-1),IMDB_Movies!$D1549)</f>
        <v>Action</v>
      </c>
      <c r="V1549" s="2"/>
      <c r="W1549" s="2"/>
    </row>
    <row r="1550" spans="1:23" ht="12.5" x14ac:dyDescent="0.25">
      <c r="A1550" s="2" t="s">
        <v>2775</v>
      </c>
      <c r="B1550" s="2">
        <v>95</v>
      </c>
      <c r="C1550" s="2">
        <v>35927406</v>
      </c>
      <c r="D1550" s="2" t="s">
        <v>102</v>
      </c>
      <c r="E1550" s="2" t="s">
        <v>2776</v>
      </c>
      <c r="F1550" s="2" t="s">
        <v>14</v>
      </c>
      <c r="G1550" s="2" t="s">
        <v>15</v>
      </c>
      <c r="H1550" s="2">
        <v>30000000</v>
      </c>
      <c r="I1550" s="2">
        <v>3.7</v>
      </c>
      <c r="J1550" s="2">
        <f t="shared" si="12"/>
        <v>5927406</v>
      </c>
      <c r="K1550" s="2">
        <f t="shared" si="13"/>
        <v>-1.9826083940299062E-2</v>
      </c>
      <c r="L1550" s="2" t="str">
        <f>IF(ISNUMBER(SEARCH("|",IMDB_Movies!$D1550)),LEFT(IMDB_Movies!$D1550,SEARCH("|",IMDB_Movies!$D1550)-1),IMDB_Movies!$D1550)</f>
        <v>Action</v>
      </c>
      <c r="V1550" s="2"/>
      <c r="W1550" s="2"/>
    </row>
    <row r="1551" spans="1:23" ht="12.5" x14ac:dyDescent="0.25">
      <c r="A1551" s="2" t="s">
        <v>2777</v>
      </c>
      <c r="B1551" s="2">
        <v>98</v>
      </c>
      <c r="C1551" s="2">
        <v>35565975</v>
      </c>
      <c r="D1551" s="2" t="s">
        <v>514</v>
      </c>
      <c r="E1551" s="2" t="s">
        <v>2778</v>
      </c>
      <c r="F1551" s="2" t="s">
        <v>14</v>
      </c>
      <c r="G1551" s="2" t="s">
        <v>15</v>
      </c>
      <c r="H1551" s="2">
        <v>30000000</v>
      </c>
      <c r="I1551" s="2">
        <v>6.1</v>
      </c>
      <c r="J1551" s="2">
        <f t="shared" si="12"/>
        <v>5565975</v>
      </c>
      <c r="K1551" s="2">
        <f t="shared" si="13"/>
        <v>-1.9828621155214037E-2</v>
      </c>
      <c r="L1551" s="2" t="str">
        <f>IF(ISNUMBER(SEARCH("|",IMDB_Movies!$D1551)),LEFT(IMDB_Movies!$D1551,SEARCH("|",IMDB_Movies!$D1551)-1),IMDB_Movies!$D1551)</f>
        <v>Comedy</v>
      </c>
      <c r="V1551" s="2"/>
      <c r="W1551" s="2"/>
    </row>
    <row r="1552" spans="1:23" ht="12.5" x14ac:dyDescent="0.25">
      <c r="A1552" s="2" t="s">
        <v>2779</v>
      </c>
      <c r="B1552" s="2">
        <v>100</v>
      </c>
      <c r="C1552" s="2">
        <v>35266619</v>
      </c>
      <c r="D1552" s="2" t="s">
        <v>1716</v>
      </c>
      <c r="E1552" s="2" t="s">
        <v>2780</v>
      </c>
      <c r="F1552" s="2" t="s">
        <v>14</v>
      </c>
      <c r="G1552" s="2" t="s">
        <v>15</v>
      </c>
      <c r="H1552" s="2">
        <v>30000000</v>
      </c>
      <c r="I1552" s="2">
        <v>5.9</v>
      </c>
      <c r="J1552" s="2">
        <f t="shared" si="12"/>
        <v>5266619</v>
      </c>
      <c r="K1552" s="2">
        <f t="shared" si="13"/>
        <v>-1.9831067418983404E-2</v>
      </c>
      <c r="L1552" s="2" t="str">
        <f>IF(ISNUMBER(SEARCH("|",IMDB_Movies!$D1552)),LEFT(IMDB_Movies!$D1552,SEARCH("|",IMDB_Movies!$D1552)-1),IMDB_Movies!$D1552)</f>
        <v>Drama</v>
      </c>
      <c r="V1552" s="2"/>
      <c r="W1552" s="2"/>
    </row>
    <row r="1553" spans="1:23" ht="12.5" x14ac:dyDescent="0.25">
      <c r="A1553" s="2" t="s">
        <v>2781</v>
      </c>
      <c r="B1553" s="2">
        <v>118</v>
      </c>
      <c r="C1553" s="2">
        <v>34703228</v>
      </c>
      <c r="D1553" s="2" t="s">
        <v>2082</v>
      </c>
      <c r="E1553" s="2" t="s">
        <v>2782</v>
      </c>
      <c r="F1553" s="2" t="s">
        <v>14</v>
      </c>
      <c r="G1553" s="2" t="s">
        <v>15</v>
      </c>
      <c r="H1553" s="2">
        <v>30000000</v>
      </c>
      <c r="I1553" s="2">
        <v>6.7</v>
      </c>
      <c r="J1553" s="2">
        <f t="shared" si="12"/>
        <v>4703228</v>
      </c>
      <c r="K1553" s="2">
        <f t="shared" si="13"/>
        <v>-1.9833439290899233E-2</v>
      </c>
      <c r="L1553" s="2" t="str">
        <f>IF(ISNUMBER(SEARCH("|",IMDB_Movies!$D1553)),LEFT(IMDB_Movies!$D1553,SEARCH("|",IMDB_Movies!$D1553)-1),IMDB_Movies!$D1553)</f>
        <v>Drama</v>
      </c>
      <c r="V1553" s="2"/>
      <c r="W1553" s="2"/>
    </row>
    <row r="1554" spans="1:23" ht="12.5" x14ac:dyDescent="0.25">
      <c r="A1554" s="2" t="s">
        <v>2783</v>
      </c>
      <c r="B1554" s="2">
        <v>125</v>
      </c>
      <c r="C1554" s="2">
        <v>38432823</v>
      </c>
      <c r="D1554" s="2" t="s">
        <v>2784</v>
      </c>
      <c r="E1554" s="2" t="s">
        <v>2785</v>
      </c>
      <c r="F1554" s="2" t="s">
        <v>14</v>
      </c>
      <c r="G1554" s="2" t="s">
        <v>15</v>
      </c>
      <c r="H1554" s="2">
        <v>30000000</v>
      </c>
      <c r="I1554" s="2">
        <v>6.9</v>
      </c>
      <c r="J1554" s="2">
        <f t="shared" si="12"/>
        <v>8432823</v>
      </c>
      <c r="K1554" s="2">
        <f t="shared" si="13"/>
        <v>-1.9835670601112836E-2</v>
      </c>
      <c r="L1554" s="2" t="str">
        <f>IF(ISNUMBER(SEARCH("|",IMDB_Movies!$D1554)),LEFT(IMDB_Movies!$D1554,SEARCH("|",IMDB_Movies!$D1554)-1),IMDB_Movies!$D1554)</f>
        <v>Crime</v>
      </c>
      <c r="V1554" s="2"/>
      <c r="W1554" s="2"/>
    </row>
    <row r="1555" spans="1:23" ht="12.5" x14ac:dyDescent="0.25">
      <c r="A1555" s="2" t="s">
        <v>1570</v>
      </c>
      <c r="B1555" s="2">
        <v>94</v>
      </c>
      <c r="C1555" s="2">
        <v>32095318</v>
      </c>
      <c r="D1555" s="2" t="s">
        <v>375</v>
      </c>
      <c r="E1555" s="2" t="s">
        <v>2786</v>
      </c>
      <c r="F1555" s="2" t="s">
        <v>14</v>
      </c>
      <c r="G1555" s="2" t="s">
        <v>15</v>
      </c>
      <c r="H1555" s="2">
        <v>45000000</v>
      </c>
      <c r="I1555" s="2">
        <v>5.5</v>
      </c>
      <c r="J1555" s="2">
        <f t="shared" si="12"/>
        <v>-12904682</v>
      </c>
      <c r="K1555" s="2">
        <f t="shared" si="13"/>
        <v>-1.9838889072463613E-2</v>
      </c>
      <c r="L1555" s="2" t="str">
        <f>IF(ISNUMBER(SEARCH("|",IMDB_Movies!$D1555)),LEFT(IMDB_Movies!$D1555,SEARCH("|",IMDB_Movies!$D1555)-1),IMDB_Movies!$D1555)</f>
        <v>Comedy</v>
      </c>
      <c r="V1555" s="2"/>
      <c r="W1555" s="2"/>
    </row>
    <row r="1556" spans="1:23" ht="12.5" x14ac:dyDescent="0.25">
      <c r="A1556" s="2" t="s">
        <v>2787</v>
      </c>
      <c r="B1556" s="2">
        <v>79</v>
      </c>
      <c r="C1556" s="2">
        <v>31743332</v>
      </c>
      <c r="D1556" s="2" t="s">
        <v>2788</v>
      </c>
      <c r="E1556" s="2" t="s">
        <v>2789</v>
      </c>
      <c r="F1556" s="2" t="s">
        <v>14</v>
      </c>
      <c r="G1556" s="2" t="s">
        <v>15</v>
      </c>
      <c r="H1556" s="2">
        <v>30000000</v>
      </c>
      <c r="I1556" s="2">
        <v>7.1</v>
      </c>
      <c r="J1556" s="2">
        <f t="shared" si="12"/>
        <v>1743332</v>
      </c>
      <c r="K1556" s="2">
        <f t="shared" si="13"/>
        <v>-1.9845391510747479E-2</v>
      </c>
      <c r="L1556" s="2" t="str">
        <f>IF(ISNUMBER(SEARCH("|",IMDB_Movies!$D1556)),LEFT(IMDB_Movies!$D1556,SEARCH("|",IMDB_Movies!$D1556)-1),IMDB_Movies!$D1556)</f>
        <v>Action</v>
      </c>
      <c r="V1556" s="2"/>
      <c r="W1556" s="2"/>
    </row>
    <row r="1557" spans="1:23" ht="12.5" x14ac:dyDescent="0.25">
      <c r="A1557" s="2" t="s">
        <v>549</v>
      </c>
      <c r="B1557" s="2">
        <v>106</v>
      </c>
      <c r="C1557" s="2">
        <v>32154410</v>
      </c>
      <c r="D1557" s="2" t="s">
        <v>763</v>
      </c>
      <c r="E1557" s="2" t="s">
        <v>2790</v>
      </c>
      <c r="F1557" s="2" t="s">
        <v>14</v>
      </c>
      <c r="G1557" s="2" t="s">
        <v>15</v>
      </c>
      <c r="H1557" s="2">
        <v>30000000</v>
      </c>
      <c r="I1557" s="2">
        <v>7.1</v>
      </c>
      <c r="J1557" s="2">
        <f t="shared" si="12"/>
        <v>2154410</v>
      </c>
      <c r="K1557" s="2">
        <f t="shared" si="13"/>
        <v>-1.9846914845773982E-2</v>
      </c>
      <c r="L1557" s="2" t="str">
        <f>IF(ISNUMBER(SEARCH("|",IMDB_Movies!$D1557)),LEFT(IMDB_Movies!$D1557,SEARCH("|",IMDB_Movies!$D1557)-1),IMDB_Movies!$D1557)</f>
        <v>Crime</v>
      </c>
      <c r="V1557" s="2"/>
      <c r="W1557" s="2"/>
    </row>
    <row r="1558" spans="1:23" ht="12.5" x14ac:dyDescent="0.25">
      <c r="A1558" s="2" t="s">
        <v>2791</v>
      </c>
      <c r="B1558" s="2">
        <v>63</v>
      </c>
      <c r="C1558" s="2">
        <v>26687172</v>
      </c>
      <c r="D1558" s="2" t="s">
        <v>467</v>
      </c>
      <c r="E1558" s="2" t="s">
        <v>2792</v>
      </c>
      <c r="F1558" s="2" t="s">
        <v>14</v>
      </c>
      <c r="G1558" s="2" t="s">
        <v>15</v>
      </c>
      <c r="H1558" s="2">
        <v>30000000</v>
      </c>
      <c r="I1558" s="2">
        <v>7.3</v>
      </c>
      <c r="J1558" s="2">
        <f t="shared" si="12"/>
        <v>-3312828</v>
      </c>
      <c r="K1558" s="2">
        <f t="shared" si="13"/>
        <v>-1.9848535762848743E-2</v>
      </c>
      <c r="L1558" s="2" t="str">
        <f>IF(ISNUMBER(SEARCH("|",IMDB_Movies!$D1558)),LEFT(IMDB_Movies!$D1558,SEARCH("|",IMDB_Movies!$D1558)-1),IMDB_Movies!$D1558)</f>
        <v>Adventure</v>
      </c>
      <c r="V1558" s="2"/>
      <c r="W1558" s="2"/>
    </row>
    <row r="1559" spans="1:23" ht="12.5" x14ac:dyDescent="0.25">
      <c r="A1559" s="2" t="s">
        <v>2793</v>
      </c>
      <c r="B1559" s="2">
        <v>85</v>
      </c>
      <c r="C1559" s="2">
        <v>26096584</v>
      </c>
      <c r="D1559" s="2" t="s">
        <v>709</v>
      </c>
      <c r="E1559" s="2" t="s">
        <v>2794</v>
      </c>
      <c r="F1559" s="2" t="s">
        <v>14</v>
      </c>
      <c r="G1559" s="2" t="s">
        <v>15</v>
      </c>
      <c r="H1559" s="2">
        <v>19000000</v>
      </c>
      <c r="I1559" s="2">
        <v>3.4</v>
      </c>
      <c r="J1559" s="2">
        <f t="shared" si="12"/>
        <v>7096584</v>
      </c>
      <c r="K1559" s="2">
        <f t="shared" si="13"/>
        <v>-1.9848970506786238E-2</v>
      </c>
      <c r="L1559" s="2" t="str">
        <f>IF(ISNUMBER(SEARCH("|",IMDB_Movies!$D1559)),LEFT(IMDB_Movies!$D1559,SEARCH("|",IMDB_Movies!$D1559)-1),IMDB_Movies!$D1559)</f>
        <v>Comedy</v>
      </c>
      <c r="V1559" s="2"/>
      <c r="W1559" s="2"/>
    </row>
    <row r="1560" spans="1:23" ht="12.5" x14ac:dyDescent="0.25">
      <c r="A1560" s="2" t="s">
        <v>1891</v>
      </c>
      <c r="B1560" s="2">
        <v>108</v>
      </c>
      <c r="C1560" s="2">
        <v>26525834</v>
      </c>
      <c r="D1560" s="2" t="s">
        <v>514</v>
      </c>
      <c r="E1560" s="2" t="s">
        <v>2795</v>
      </c>
      <c r="F1560" s="2" t="s">
        <v>14</v>
      </c>
      <c r="G1560" s="2" t="s">
        <v>15</v>
      </c>
      <c r="H1560" s="2">
        <v>30000000</v>
      </c>
      <c r="I1560" s="2">
        <v>6.8</v>
      </c>
      <c r="J1560" s="2">
        <f t="shared" si="12"/>
        <v>-3474166</v>
      </c>
      <c r="K1560" s="2">
        <f t="shared" si="13"/>
        <v>-1.9848507613083308E-2</v>
      </c>
      <c r="L1560" s="2" t="str">
        <f>IF(ISNUMBER(SEARCH("|",IMDB_Movies!$D1560)),LEFT(IMDB_Movies!$D1560,SEARCH("|",IMDB_Movies!$D1560)-1),IMDB_Movies!$D1560)</f>
        <v>Comedy</v>
      </c>
      <c r="V1560" s="2"/>
      <c r="W1560" s="2"/>
    </row>
    <row r="1561" spans="1:23" ht="12.5" x14ac:dyDescent="0.25">
      <c r="A1561" s="2" t="s">
        <v>2796</v>
      </c>
      <c r="B1561" s="2">
        <v>139</v>
      </c>
      <c r="C1561" s="2">
        <v>30513940</v>
      </c>
      <c r="D1561" s="2" t="s">
        <v>1473</v>
      </c>
      <c r="E1561" s="2" t="s">
        <v>2797</v>
      </c>
      <c r="F1561" s="2" t="s">
        <v>14</v>
      </c>
      <c r="G1561" s="2" t="s">
        <v>15</v>
      </c>
      <c r="H1561" s="2">
        <v>30000000</v>
      </c>
      <c r="I1561" s="2">
        <v>6.9</v>
      </c>
      <c r="J1561" s="2">
        <f t="shared" si="12"/>
        <v>513940</v>
      </c>
      <c r="K1561" s="2">
        <f t="shared" si="13"/>
        <v>-1.9848910594608516E-2</v>
      </c>
      <c r="L1561" s="2" t="str">
        <f>IF(ISNUMBER(SEARCH("|",IMDB_Movies!$D1561)),LEFT(IMDB_Movies!$D1561,SEARCH("|",IMDB_Movies!$D1561)-1),IMDB_Movies!$D1561)</f>
        <v>Biography</v>
      </c>
      <c r="V1561" s="2"/>
      <c r="W1561" s="2"/>
    </row>
    <row r="1562" spans="1:23" ht="12.5" x14ac:dyDescent="0.25">
      <c r="A1562" s="2" t="s">
        <v>1790</v>
      </c>
      <c r="B1562" s="2">
        <v>127</v>
      </c>
      <c r="C1562" s="2">
        <v>23209440</v>
      </c>
      <c r="D1562" s="2" t="s">
        <v>1180</v>
      </c>
      <c r="E1562" s="2" t="s">
        <v>2798</v>
      </c>
      <c r="F1562" s="2" t="s">
        <v>14</v>
      </c>
      <c r="G1562" s="2" t="s">
        <v>15</v>
      </c>
      <c r="H1562" s="2">
        <v>30000000</v>
      </c>
      <c r="I1562" s="2">
        <v>7</v>
      </c>
      <c r="J1562" s="2">
        <f t="shared" si="12"/>
        <v>-6790560</v>
      </c>
      <c r="K1562" s="2">
        <f t="shared" si="13"/>
        <v>-1.9850156543909335E-2</v>
      </c>
      <c r="L1562" s="2" t="str">
        <f>IF(ISNUMBER(SEARCH("|",IMDB_Movies!$D1562)),LEFT(IMDB_Movies!$D1562,SEARCH("|",IMDB_Movies!$D1562)-1),IMDB_Movies!$D1562)</f>
        <v>Drama</v>
      </c>
      <c r="V1562" s="2"/>
      <c r="W1562" s="2"/>
    </row>
    <row r="1563" spans="1:23" ht="12.5" x14ac:dyDescent="0.25">
      <c r="A1563" s="2" t="s">
        <v>2799</v>
      </c>
      <c r="B1563" s="2">
        <v>106</v>
      </c>
      <c r="C1563" s="2">
        <v>24048000</v>
      </c>
      <c r="D1563" s="2" t="s">
        <v>509</v>
      </c>
      <c r="E1563" s="2" t="s">
        <v>2800</v>
      </c>
      <c r="F1563" s="2" t="s">
        <v>14</v>
      </c>
      <c r="G1563" s="2" t="s">
        <v>15</v>
      </c>
      <c r="H1563" s="2">
        <v>30000000</v>
      </c>
      <c r="I1563" s="2">
        <v>5.5</v>
      </c>
      <c r="J1563" s="2">
        <f t="shared" si="12"/>
        <v>-5952000</v>
      </c>
      <c r="K1563" s="2">
        <f t="shared" si="13"/>
        <v>-1.984994038318981E-2</v>
      </c>
      <c r="L1563" s="2" t="str">
        <f>IF(ISNUMBER(SEARCH("|",IMDB_Movies!$D1563)),LEFT(IMDB_Movies!$D1563,SEARCH("|",IMDB_Movies!$D1563)-1),IMDB_Movies!$D1563)</f>
        <v>Action</v>
      </c>
      <c r="V1563" s="2"/>
      <c r="W1563" s="2"/>
    </row>
    <row r="1564" spans="1:23" ht="12.5" x14ac:dyDescent="0.25">
      <c r="A1564" s="2" t="s">
        <v>947</v>
      </c>
      <c r="B1564" s="2">
        <v>95</v>
      </c>
      <c r="C1564" s="2">
        <v>22526144</v>
      </c>
      <c r="D1564" s="2" t="s">
        <v>875</v>
      </c>
      <c r="E1564" s="2" t="s">
        <v>2801</v>
      </c>
      <c r="F1564" s="2" t="s">
        <v>14</v>
      </c>
      <c r="G1564" s="2" t="s">
        <v>15</v>
      </c>
      <c r="H1564" s="2">
        <v>30000000</v>
      </c>
      <c r="I1564" s="2">
        <v>5.0999999999999996</v>
      </c>
      <c r="J1564" s="2">
        <f t="shared" si="12"/>
        <v>-7473856</v>
      </c>
      <c r="K1564" s="2">
        <f t="shared" si="13"/>
        <v>-1.9849873989941712E-2</v>
      </c>
      <c r="L1564" s="2" t="str">
        <f>IF(ISNUMBER(SEARCH("|",IMDB_Movies!$D1564)),LEFT(IMDB_Movies!$D1564,SEARCH("|",IMDB_Movies!$D1564)-1),IMDB_Movies!$D1564)</f>
        <v>Comedy</v>
      </c>
      <c r="V1564" s="2"/>
      <c r="W1564" s="2"/>
    </row>
    <row r="1565" spans="1:23" ht="12.5" x14ac:dyDescent="0.25">
      <c r="A1565" s="2" t="s">
        <v>941</v>
      </c>
      <c r="B1565" s="2">
        <v>118</v>
      </c>
      <c r="C1565" s="2">
        <v>30523568</v>
      </c>
      <c r="D1565" s="2" t="s">
        <v>1050</v>
      </c>
      <c r="E1565" s="2" t="s">
        <v>2802</v>
      </c>
      <c r="F1565" s="2" t="s">
        <v>14</v>
      </c>
      <c r="G1565" s="2" t="s">
        <v>15</v>
      </c>
      <c r="H1565" s="2">
        <v>30000000</v>
      </c>
      <c r="I1565" s="2">
        <v>6.2</v>
      </c>
      <c r="J1565" s="2">
        <f t="shared" si="12"/>
        <v>523568</v>
      </c>
      <c r="K1565" s="2">
        <f t="shared" si="13"/>
        <v>-1.9849538723158137E-2</v>
      </c>
      <c r="L1565" s="2" t="str">
        <f>IF(ISNUMBER(SEARCH("|",IMDB_Movies!$D1565)),LEFT(IMDB_Movies!$D1565,SEARCH("|",IMDB_Movies!$D1565)-1),IMDB_Movies!$D1565)</f>
        <v>Horror</v>
      </c>
      <c r="V1565" s="2"/>
      <c r="W1565" s="2"/>
    </row>
    <row r="1566" spans="1:23" ht="12.5" x14ac:dyDescent="0.25">
      <c r="A1566" s="2" t="s">
        <v>2803</v>
      </c>
      <c r="B1566" s="2">
        <v>108</v>
      </c>
      <c r="C1566" s="2">
        <v>23070045</v>
      </c>
      <c r="D1566" s="2" t="s">
        <v>652</v>
      </c>
      <c r="E1566" s="2" t="s">
        <v>2804</v>
      </c>
      <c r="F1566" s="2" t="s">
        <v>14</v>
      </c>
      <c r="G1566" s="2" t="s">
        <v>15</v>
      </c>
      <c r="H1566" s="2">
        <v>30000000</v>
      </c>
      <c r="I1566" s="2">
        <v>5.9</v>
      </c>
      <c r="J1566" s="2">
        <f t="shared" si="12"/>
        <v>-6929955</v>
      </c>
      <c r="K1566" s="2">
        <f t="shared" si="13"/>
        <v>-1.9850789139395222E-2</v>
      </c>
      <c r="L1566" s="2" t="str">
        <f>IF(ISNUMBER(SEARCH("|",IMDB_Movies!$D1566)),LEFT(IMDB_Movies!$D1566,SEARCH("|",IMDB_Movies!$D1566)-1),IMDB_Movies!$D1566)</f>
        <v>Adventure</v>
      </c>
      <c r="V1566" s="2"/>
      <c r="W1566" s="2"/>
    </row>
    <row r="1567" spans="1:23" ht="12.5" x14ac:dyDescent="0.25">
      <c r="A1567" s="2" t="s">
        <v>2805</v>
      </c>
      <c r="B1567" s="2">
        <v>105</v>
      </c>
      <c r="C1567" s="2">
        <v>20422207</v>
      </c>
      <c r="D1567" s="2" t="s">
        <v>514</v>
      </c>
      <c r="E1567" s="2" t="s">
        <v>2806</v>
      </c>
      <c r="F1567" s="2" t="s">
        <v>14</v>
      </c>
      <c r="G1567" s="2" t="s">
        <v>15</v>
      </c>
      <c r="H1567" s="2">
        <v>35000000</v>
      </c>
      <c r="I1567" s="2">
        <v>5.2</v>
      </c>
      <c r="J1567" s="2">
        <f t="shared" si="12"/>
        <v>-14577793</v>
      </c>
      <c r="K1567" s="2">
        <f t="shared" si="13"/>
        <v>-1.9850548280661452E-2</v>
      </c>
      <c r="L1567" s="2" t="str">
        <f>IF(ISNUMBER(SEARCH("|",IMDB_Movies!$D1567)),LEFT(IMDB_Movies!$D1567,SEARCH("|",IMDB_Movies!$D1567)-1),IMDB_Movies!$D1567)</f>
        <v>Comedy</v>
      </c>
      <c r="V1567" s="2"/>
      <c r="W1567" s="2"/>
    </row>
    <row r="1568" spans="1:23" ht="12.5" x14ac:dyDescent="0.25">
      <c r="A1568" s="2" t="s">
        <v>2449</v>
      </c>
      <c r="B1568" s="2">
        <v>131</v>
      </c>
      <c r="C1568" s="2">
        <v>28644770</v>
      </c>
      <c r="D1568" s="2" t="s">
        <v>600</v>
      </c>
      <c r="E1568" s="2" t="s">
        <v>2807</v>
      </c>
      <c r="F1568" s="2" t="s">
        <v>14</v>
      </c>
      <c r="G1568" s="2" t="s">
        <v>15</v>
      </c>
      <c r="H1568" s="2">
        <v>30000000</v>
      </c>
      <c r="I1568" s="2">
        <v>6.2</v>
      </c>
      <c r="J1568" s="2">
        <f t="shared" si="12"/>
        <v>-1355230</v>
      </c>
      <c r="K1568" s="2">
        <f t="shared" si="13"/>
        <v>-1.9849021763452841E-2</v>
      </c>
      <c r="L1568" s="2" t="str">
        <f>IF(ISNUMBER(SEARCH("|",IMDB_Movies!$D1568)),LEFT(IMDB_Movies!$D1568,SEARCH("|",IMDB_Movies!$D1568)-1),IMDB_Movies!$D1568)</f>
        <v>Comedy</v>
      </c>
      <c r="V1568" s="2"/>
      <c r="W1568" s="2"/>
    </row>
    <row r="1569" spans="1:23" ht="12.5" x14ac:dyDescent="0.25">
      <c r="A1569" s="2" t="s">
        <v>2808</v>
      </c>
      <c r="B1569" s="2">
        <v>104</v>
      </c>
      <c r="C1569" s="2">
        <v>21800302</v>
      </c>
      <c r="D1569" s="2" t="s">
        <v>1537</v>
      </c>
      <c r="E1569" s="2" t="s">
        <v>2809</v>
      </c>
      <c r="F1569" s="2" t="s">
        <v>14</v>
      </c>
      <c r="G1569" s="2" t="s">
        <v>15</v>
      </c>
      <c r="H1569" s="2">
        <v>30000000</v>
      </c>
      <c r="I1569" s="2">
        <v>5.5</v>
      </c>
      <c r="J1569" s="2">
        <f t="shared" si="12"/>
        <v>-8199698</v>
      </c>
      <c r="K1569" s="2">
        <f t="shared" si="13"/>
        <v>-1.9849862787331762E-2</v>
      </c>
      <c r="L1569" s="2" t="str">
        <f>IF(ISNUMBER(SEARCH("|",IMDB_Movies!$D1569)),LEFT(IMDB_Movies!$D1569,SEARCH("|",IMDB_Movies!$D1569)-1),IMDB_Movies!$D1569)</f>
        <v>Comedy</v>
      </c>
      <c r="V1569" s="2"/>
      <c r="W1569" s="2"/>
    </row>
    <row r="1570" spans="1:23" ht="12.5" x14ac:dyDescent="0.25">
      <c r="A1570" s="2" t="s">
        <v>2810</v>
      </c>
      <c r="B1570" s="2">
        <v>133</v>
      </c>
      <c r="C1570" s="2">
        <v>21129348</v>
      </c>
      <c r="D1570" s="2" t="s">
        <v>1791</v>
      </c>
      <c r="E1570" s="2" t="s">
        <v>2811</v>
      </c>
      <c r="F1570" s="2" t="s">
        <v>14</v>
      </c>
      <c r="G1570" s="2" t="s">
        <v>15</v>
      </c>
      <c r="H1570" s="2">
        <v>35000000</v>
      </c>
      <c r="I1570" s="2">
        <v>7.4</v>
      </c>
      <c r="J1570" s="2">
        <f t="shared" si="12"/>
        <v>-13870652</v>
      </c>
      <c r="K1570" s="2">
        <f t="shared" si="13"/>
        <v>-1.9849403649415991E-2</v>
      </c>
      <c r="L1570" s="2" t="str">
        <f>IF(ISNUMBER(SEARCH("|",IMDB_Movies!$D1570)),LEFT(IMDB_Movies!$D1570,SEARCH("|",IMDB_Movies!$D1570)-1),IMDB_Movies!$D1570)</f>
        <v>Crime</v>
      </c>
      <c r="V1570" s="2"/>
      <c r="W1570" s="2"/>
    </row>
    <row r="1571" spans="1:23" ht="12.5" x14ac:dyDescent="0.25">
      <c r="A1571" s="2" t="s">
        <v>2812</v>
      </c>
      <c r="B1571" s="2">
        <v>94</v>
      </c>
      <c r="C1571" s="2">
        <v>18500966</v>
      </c>
      <c r="D1571" s="2" t="s">
        <v>790</v>
      </c>
      <c r="E1571" s="2" t="s">
        <v>2813</v>
      </c>
      <c r="F1571" s="2" t="s">
        <v>14</v>
      </c>
      <c r="G1571" s="2" t="s">
        <v>15</v>
      </c>
      <c r="H1571" s="2">
        <v>30000000</v>
      </c>
      <c r="I1571" s="2">
        <v>4.4000000000000004</v>
      </c>
      <c r="J1571" s="2">
        <f t="shared" si="12"/>
        <v>-11499034</v>
      </c>
      <c r="K1571" s="2">
        <f t="shared" si="13"/>
        <v>-1.9848138988701691E-2</v>
      </c>
      <c r="L1571" s="2" t="str">
        <f>IF(ISNUMBER(SEARCH("|",IMDB_Movies!$D1571)),LEFT(IMDB_Movies!$D1571,SEARCH("|",IMDB_Movies!$D1571)-1),IMDB_Movies!$D1571)</f>
        <v>Action</v>
      </c>
      <c r="V1571" s="2"/>
      <c r="W1571" s="2"/>
    </row>
    <row r="1572" spans="1:23" ht="12.5" x14ac:dyDescent="0.25">
      <c r="A1572" s="2" t="s">
        <v>2814</v>
      </c>
      <c r="B1572" s="2">
        <v>109</v>
      </c>
      <c r="C1572" s="2">
        <v>19976073</v>
      </c>
      <c r="D1572" s="2" t="s">
        <v>177</v>
      </c>
      <c r="E1572" s="2" t="s">
        <v>2815</v>
      </c>
      <c r="F1572" s="2" t="s">
        <v>14</v>
      </c>
      <c r="G1572" s="2" t="s">
        <v>15</v>
      </c>
      <c r="H1572" s="2">
        <v>20000000</v>
      </c>
      <c r="I1572" s="2">
        <v>6.3</v>
      </c>
      <c r="J1572" s="2">
        <f t="shared" si="12"/>
        <v>-23927</v>
      </c>
      <c r="K1572" s="2">
        <f t="shared" si="13"/>
        <v>-1.9847162424919948E-2</v>
      </c>
      <c r="L1572" s="2" t="str">
        <f>IF(ISNUMBER(SEARCH("|",IMDB_Movies!$D1572)),LEFT(IMDB_Movies!$D1572,SEARCH("|",IMDB_Movies!$D1572)-1),IMDB_Movies!$D1572)</f>
        <v>Action</v>
      </c>
      <c r="V1572" s="2"/>
      <c r="W1572" s="2"/>
    </row>
    <row r="1573" spans="1:23" ht="12.5" x14ac:dyDescent="0.25">
      <c r="A1573" s="2" t="s">
        <v>1071</v>
      </c>
      <c r="B1573" s="2">
        <v>96</v>
      </c>
      <c r="C1573" s="2">
        <v>18967571</v>
      </c>
      <c r="D1573" s="2" t="s">
        <v>125</v>
      </c>
      <c r="E1573" s="2" t="s">
        <v>2816</v>
      </c>
      <c r="F1573" s="2" t="s">
        <v>14</v>
      </c>
      <c r="G1573" s="2" t="s">
        <v>15</v>
      </c>
      <c r="H1573" s="2">
        <v>30000000</v>
      </c>
      <c r="I1573" s="2">
        <v>6.1</v>
      </c>
      <c r="J1573" s="2">
        <f t="shared" si="12"/>
        <v>-11032429</v>
      </c>
      <c r="K1573" s="2">
        <f t="shared" si="13"/>
        <v>-1.9848295158379846E-2</v>
      </c>
      <c r="L1573" s="2" t="str">
        <f>IF(ISNUMBER(SEARCH("|",IMDB_Movies!$D1573)),LEFT(IMDB_Movies!$D1573,SEARCH("|",IMDB_Movies!$D1573)-1),IMDB_Movies!$D1573)</f>
        <v>Action</v>
      </c>
      <c r="V1573" s="2"/>
      <c r="W1573" s="2"/>
    </row>
    <row r="1574" spans="1:23" ht="12.5" x14ac:dyDescent="0.25">
      <c r="A1574" s="2" t="s">
        <v>2817</v>
      </c>
      <c r="B1574" s="2">
        <v>105</v>
      </c>
      <c r="C1574" s="2">
        <v>17100000</v>
      </c>
      <c r="D1574" s="2" t="s">
        <v>2818</v>
      </c>
      <c r="E1574" s="2" t="s">
        <v>2819</v>
      </c>
      <c r="F1574" s="2" t="s">
        <v>14</v>
      </c>
      <c r="G1574" s="2" t="s">
        <v>15</v>
      </c>
      <c r="H1574" s="2">
        <v>25000000</v>
      </c>
      <c r="I1574" s="2">
        <v>5.3</v>
      </c>
      <c r="J1574" s="2">
        <f t="shared" si="12"/>
        <v>-7900000</v>
      </c>
      <c r="K1574" s="2">
        <f t="shared" si="13"/>
        <v>-1.9847386635483362E-2</v>
      </c>
      <c r="L1574" s="2" t="str">
        <f>IF(ISNUMBER(SEARCH("|",IMDB_Movies!$D1574)),LEFT(IMDB_Movies!$D1574,SEARCH("|",IMDB_Movies!$D1574)-1),IMDB_Movies!$D1574)</f>
        <v>Action</v>
      </c>
      <c r="V1574" s="2"/>
      <c r="W1574" s="2"/>
    </row>
    <row r="1575" spans="1:23" ht="12.5" x14ac:dyDescent="0.25">
      <c r="A1575" s="2" t="s">
        <v>2820</v>
      </c>
      <c r="B1575" s="2">
        <v>99</v>
      </c>
      <c r="C1575" s="2">
        <v>17266505</v>
      </c>
      <c r="D1575" s="2" t="s">
        <v>2821</v>
      </c>
      <c r="E1575" s="2" t="s">
        <v>2822</v>
      </c>
      <c r="F1575" s="2" t="s">
        <v>14</v>
      </c>
      <c r="G1575" s="2" t="s">
        <v>15</v>
      </c>
      <c r="H1575" s="2">
        <v>30000000</v>
      </c>
      <c r="I1575" s="2">
        <v>5.4</v>
      </c>
      <c r="J1575" s="2">
        <f t="shared" si="12"/>
        <v>-12733495</v>
      </c>
      <c r="K1575" s="2">
        <f t="shared" si="13"/>
        <v>-1.9847765848758029E-2</v>
      </c>
      <c r="L1575" s="2" t="str">
        <f>IF(ISNUMBER(SEARCH("|",IMDB_Movies!$D1575)),LEFT(IMDB_Movies!$D1575,SEARCH("|",IMDB_Movies!$D1575)-1),IMDB_Movies!$D1575)</f>
        <v>Action</v>
      </c>
      <c r="V1575" s="2"/>
      <c r="W1575" s="2"/>
    </row>
    <row r="1576" spans="1:23" ht="12.5" x14ac:dyDescent="0.25">
      <c r="A1576" s="2" t="s">
        <v>377</v>
      </c>
      <c r="B1576" s="2">
        <v>112</v>
      </c>
      <c r="C1576" s="2">
        <v>32357532</v>
      </c>
      <c r="D1576" s="2" t="s">
        <v>514</v>
      </c>
      <c r="E1576" s="2" t="s">
        <v>2823</v>
      </c>
      <c r="F1576" s="2" t="s">
        <v>14</v>
      </c>
      <c r="G1576" s="2" t="s">
        <v>15</v>
      </c>
      <c r="H1576" s="2">
        <v>30000000</v>
      </c>
      <c r="I1576" s="2">
        <v>6.7</v>
      </c>
      <c r="J1576" s="2">
        <f t="shared" si="12"/>
        <v>2357532</v>
      </c>
      <c r="K1576" s="2">
        <f t="shared" si="13"/>
        <v>-1.9846612982858999E-2</v>
      </c>
      <c r="L1576" s="2" t="str">
        <f>IF(ISNUMBER(SEARCH("|",IMDB_Movies!$D1576)),LEFT(IMDB_Movies!$D1576,SEARCH("|",IMDB_Movies!$D1576)-1),IMDB_Movies!$D1576)</f>
        <v>Comedy</v>
      </c>
      <c r="V1576" s="2"/>
      <c r="W1576" s="2"/>
    </row>
    <row r="1577" spans="1:23" ht="12.5" x14ac:dyDescent="0.25">
      <c r="A1577" s="2" t="s">
        <v>1421</v>
      </c>
      <c r="B1577" s="2">
        <v>108</v>
      </c>
      <c r="C1577" s="2">
        <v>16930884</v>
      </c>
      <c r="D1577" s="2" t="s">
        <v>770</v>
      </c>
      <c r="E1577" s="2" t="s">
        <v>2824</v>
      </c>
      <c r="F1577" s="2" t="s">
        <v>14</v>
      </c>
      <c r="G1577" s="2" t="s">
        <v>15</v>
      </c>
      <c r="H1577" s="2">
        <v>30000000</v>
      </c>
      <c r="I1577" s="2">
        <v>5.9</v>
      </c>
      <c r="J1577" s="2">
        <f t="shared" si="12"/>
        <v>-13069116</v>
      </c>
      <c r="K1577" s="2">
        <f t="shared" si="13"/>
        <v>-1.9848290470912446E-2</v>
      </c>
      <c r="L1577" s="2" t="str">
        <f>IF(ISNUMBER(SEARCH("|",IMDB_Movies!$D1577)),LEFT(IMDB_Movies!$D1577,SEARCH("|",IMDB_Movies!$D1577)-1),IMDB_Movies!$D1577)</f>
        <v>Crime</v>
      </c>
      <c r="V1577" s="2"/>
      <c r="W1577" s="2"/>
    </row>
    <row r="1578" spans="1:23" ht="12.5" x14ac:dyDescent="0.25">
      <c r="A1578" s="2" t="s">
        <v>2825</v>
      </c>
      <c r="B1578" s="2">
        <v>126</v>
      </c>
      <c r="C1578" s="2">
        <v>18324242</v>
      </c>
      <c r="D1578" s="2" t="s">
        <v>1180</v>
      </c>
      <c r="E1578" s="2" t="s">
        <v>2826</v>
      </c>
      <c r="F1578" s="2" t="s">
        <v>14</v>
      </c>
      <c r="G1578" s="2" t="s">
        <v>15</v>
      </c>
      <c r="H1578" s="2">
        <v>35000000</v>
      </c>
      <c r="I1578" s="2">
        <v>7.3</v>
      </c>
      <c r="J1578" s="2">
        <f t="shared" si="12"/>
        <v>-16675758</v>
      </c>
      <c r="K1578" s="2">
        <f t="shared" si="13"/>
        <v>-1.9847090703170828E-2</v>
      </c>
      <c r="L1578" s="2" t="str">
        <f>IF(ISNUMBER(SEARCH("|",IMDB_Movies!$D1578)),LEFT(IMDB_Movies!$D1578,SEARCH("|",IMDB_Movies!$D1578)-1),IMDB_Movies!$D1578)</f>
        <v>Drama</v>
      </c>
      <c r="V1578" s="2"/>
      <c r="W1578" s="2"/>
    </row>
    <row r="1579" spans="1:23" ht="12.5" x14ac:dyDescent="0.25">
      <c r="A1579" s="2" t="s">
        <v>1774</v>
      </c>
      <c r="B1579" s="2">
        <v>98</v>
      </c>
      <c r="C1579" s="2">
        <v>16323969</v>
      </c>
      <c r="D1579" s="2" t="s">
        <v>2009</v>
      </c>
      <c r="E1579" s="2" t="s">
        <v>2827</v>
      </c>
      <c r="F1579" s="2" t="s">
        <v>14</v>
      </c>
      <c r="G1579" s="2" t="s">
        <v>15</v>
      </c>
      <c r="H1579" s="2">
        <v>40000000</v>
      </c>
      <c r="I1579" s="2">
        <v>5.5</v>
      </c>
      <c r="J1579" s="2">
        <f t="shared" si="12"/>
        <v>-23676031</v>
      </c>
      <c r="K1579" s="2">
        <f t="shared" si="13"/>
        <v>-1.9844791480236545E-2</v>
      </c>
      <c r="L1579" s="2" t="str">
        <f>IF(ISNUMBER(SEARCH("|",IMDB_Movies!$D1579)),LEFT(IMDB_Movies!$D1579,SEARCH("|",IMDB_Movies!$D1579)-1),IMDB_Movies!$D1579)</f>
        <v>Comedy</v>
      </c>
      <c r="V1579" s="2"/>
      <c r="W1579" s="2"/>
    </row>
    <row r="1580" spans="1:23" ht="12.5" x14ac:dyDescent="0.25">
      <c r="A1580" s="2" t="s">
        <v>2828</v>
      </c>
      <c r="B1580" s="2">
        <v>104</v>
      </c>
      <c r="C1580" s="2">
        <v>16999046</v>
      </c>
      <c r="D1580" s="2" t="s">
        <v>292</v>
      </c>
      <c r="E1580" s="2" t="s">
        <v>2829</v>
      </c>
      <c r="F1580" s="2" t="s">
        <v>14</v>
      </c>
      <c r="G1580" s="2" t="s">
        <v>104</v>
      </c>
      <c r="H1580" s="2">
        <v>26000000</v>
      </c>
      <c r="I1580" s="2">
        <v>5.8</v>
      </c>
      <c r="J1580" s="2">
        <f t="shared" si="12"/>
        <v>-9000954</v>
      </c>
      <c r="K1580" s="2">
        <f t="shared" si="13"/>
        <v>-1.9840073356535912E-2</v>
      </c>
      <c r="L1580" s="2" t="str">
        <f>IF(ISNUMBER(SEARCH("|",IMDB_Movies!$D1580)),LEFT(IMDB_Movies!$D1580,SEARCH("|",IMDB_Movies!$D1580)-1),IMDB_Movies!$D1580)</f>
        <v>Drama</v>
      </c>
      <c r="V1580" s="2"/>
      <c r="W1580" s="2"/>
    </row>
    <row r="1581" spans="1:23" ht="12.5" x14ac:dyDescent="0.25">
      <c r="A1581" s="2" t="s">
        <v>2830</v>
      </c>
      <c r="B1581" s="2">
        <v>110</v>
      </c>
      <c r="C1581" s="2">
        <v>16295774</v>
      </c>
      <c r="D1581" s="2" t="s">
        <v>1523</v>
      </c>
      <c r="E1581" s="2" t="s">
        <v>2831</v>
      </c>
      <c r="F1581" s="2" t="s">
        <v>14</v>
      </c>
      <c r="G1581" s="2" t="s">
        <v>15</v>
      </c>
      <c r="H1581" s="2">
        <v>35000000</v>
      </c>
      <c r="I1581" s="2">
        <v>4.5999999999999996</v>
      </c>
      <c r="J1581" s="2">
        <f t="shared" si="12"/>
        <v>-18704226</v>
      </c>
      <c r="K1581" s="2">
        <f t="shared" si="13"/>
        <v>-1.9840140118197951E-2</v>
      </c>
      <c r="L1581" s="2" t="str">
        <f>IF(ISNUMBER(SEARCH("|",IMDB_Movies!$D1581)),LEFT(IMDB_Movies!$D1581,SEARCH("|",IMDB_Movies!$D1581)-1),IMDB_Movies!$D1581)</f>
        <v>Action</v>
      </c>
      <c r="V1581" s="2"/>
      <c r="W1581" s="2"/>
    </row>
    <row r="1582" spans="1:23" ht="12.5" x14ac:dyDescent="0.25">
      <c r="A1582" s="2" t="s">
        <v>2832</v>
      </c>
      <c r="B1582" s="2">
        <v>130</v>
      </c>
      <c r="C1582" s="2">
        <v>15709385</v>
      </c>
      <c r="D1582" s="2" t="s">
        <v>763</v>
      </c>
      <c r="E1582" s="2" t="s">
        <v>2833</v>
      </c>
      <c r="F1582" s="2" t="s">
        <v>14</v>
      </c>
      <c r="G1582" s="2" t="s">
        <v>15</v>
      </c>
      <c r="H1582" s="2">
        <v>30000000</v>
      </c>
      <c r="I1582" s="2">
        <v>6.7</v>
      </c>
      <c r="J1582" s="2">
        <f t="shared" si="12"/>
        <v>-14290615</v>
      </c>
      <c r="K1582" s="2">
        <f t="shared" si="13"/>
        <v>-1.9837123417770275E-2</v>
      </c>
      <c r="L1582" s="2" t="str">
        <f>IF(ISNUMBER(SEARCH("|",IMDB_Movies!$D1582)),LEFT(IMDB_Movies!$D1582,SEARCH("|",IMDB_Movies!$D1582)-1),IMDB_Movies!$D1582)</f>
        <v>Crime</v>
      </c>
      <c r="V1582" s="2"/>
      <c r="W1582" s="2"/>
    </row>
    <row r="1583" spans="1:23" ht="12.5" x14ac:dyDescent="0.25">
      <c r="A1583" s="2" t="s">
        <v>2834</v>
      </c>
      <c r="B1583" s="2">
        <v>93</v>
      </c>
      <c r="C1583" s="2">
        <v>14888028</v>
      </c>
      <c r="D1583" s="2" t="s">
        <v>2835</v>
      </c>
      <c r="E1583" s="2" t="s">
        <v>2836</v>
      </c>
      <c r="F1583" s="2" t="s">
        <v>14</v>
      </c>
      <c r="G1583" s="2" t="s">
        <v>15</v>
      </c>
      <c r="H1583" s="2">
        <v>30000000</v>
      </c>
      <c r="I1583" s="2">
        <v>5.0999999999999996</v>
      </c>
      <c r="J1583" s="2">
        <f t="shared" si="12"/>
        <v>-15111972</v>
      </c>
      <c r="K1583" s="2">
        <f t="shared" si="13"/>
        <v>-1.983575483595193E-2</v>
      </c>
      <c r="L1583" s="2" t="str">
        <f>IF(ISNUMBER(SEARCH("|",IMDB_Movies!$D1583)),LEFT(IMDB_Movies!$D1583,SEARCH("|",IMDB_Movies!$D1583)-1),IMDB_Movies!$D1583)</f>
        <v>Adventure</v>
      </c>
      <c r="V1583" s="2"/>
      <c r="W1583" s="2"/>
    </row>
    <row r="1584" spans="1:23" ht="12.5" x14ac:dyDescent="0.25">
      <c r="A1584" s="2" t="s">
        <v>1340</v>
      </c>
      <c r="B1584" s="2">
        <v>96</v>
      </c>
      <c r="C1584" s="2">
        <v>14208384</v>
      </c>
      <c r="D1584" s="2" t="s">
        <v>600</v>
      </c>
      <c r="E1584" s="2" t="s">
        <v>2837</v>
      </c>
      <c r="F1584" s="2" t="s">
        <v>14</v>
      </c>
      <c r="G1584" s="2" t="s">
        <v>15</v>
      </c>
      <c r="H1584" s="2">
        <v>30000000</v>
      </c>
      <c r="I1584" s="2">
        <v>5.6</v>
      </c>
      <c r="J1584" s="2">
        <f t="shared" si="12"/>
        <v>-15791616</v>
      </c>
      <c r="K1584" s="2">
        <f t="shared" si="13"/>
        <v>-1.9834282320463362E-2</v>
      </c>
      <c r="L1584" s="2" t="str">
        <f>IF(ISNUMBER(SEARCH("|",IMDB_Movies!$D1584)),LEFT(IMDB_Movies!$D1584,SEARCH("|",IMDB_Movies!$D1584)-1),IMDB_Movies!$D1584)</f>
        <v>Comedy</v>
      </c>
      <c r="V1584" s="2"/>
      <c r="W1584" s="2"/>
    </row>
    <row r="1585" spans="1:23" ht="12.5" x14ac:dyDescent="0.25">
      <c r="A1585" s="2" t="s">
        <v>2033</v>
      </c>
      <c r="B1585" s="2">
        <v>114</v>
      </c>
      <c r="C1585" s="2">
        <v>12831121</v>
      </c>
      <c r="D1585" s="2" t="s">
        <v>1137</v>
      </c>
      <c r="E1585" s="2" t="s">
        <v>2838</v>
      </c>
      <c r="F1585" s="2" t="s">
        <v>14</v>
      </c>
      <c r="G1585" s="2" t="s">
        <v>15</v>
      </c>
      <c r="H1585" s="2">
        <v>30000000</v>
      </c>
      <c r="I1585" s="2">
        <v>7</v>
      </c>
      <c r="J1585" s="2">
        <f t="shared" si="12"/>
        <v>-17168879</v>
      </c>
      <c r="K1585" s="2">
        <f t="shared" si="13"/>
        <v>-1.9832726838954189E-2</v>
      </c>
      <c r="L1585" s="2" t="str">
        <f>IF(ISNUMBER(SEARCH("|",IMDB_Movies!$D1585)),LEFT(IMDB_Movies!$D1585,SEARCH("|",IMDB_Movies!$D1585)-1),IMDB_Movies!$D1585)</f>
        <v>Drama</v>
      </c>
      <c r="V1585" s="2"/>
      <c r="W1585" s="2"/>
    </row>
    <row r="1586" spans="1:23" ht="12.5" x14ac:dyDescent="0.25">
      <c r="A1586" s="2" t="s">
        <v>2839</v>
      </c>
      <c r="B1586" s="2">
        <v>106</v>
      </c>
      <c r="C1586" s="2">
        <v>18298649</v>
      </c>
      <c r="D1586" s="2" t="s">
        <v>2514</v>
      </c>
      <c r="E1586" s="2" t="s">
        <v>2840</v>
      </c>
      <c r="F1586" s="2" t="s">
        <v>14</v>
      </c>
      <c r="G1586" s="2" t="s">
        <v>15</v>
      </c>
      <c r="H1586" s="2">
        <v>30000000</v>
      </c>
      <c r="I1586" s="2">
        <v>6.4</v>
      </c>
      <c r="J1586" s="2">
        <f t="shared" si="12"/>
        <v>-11701351</v>
      </c>
      <c r="K1586" s="2">
        <f t="shared" si="13"/>
        <v>-1.9831013921264674E-2</v>
      </c>
      <c r="L1586" s="2" t="str">
        <f>IF(ISNUMBER(SEARCH("|",IMDB_Movies!$D1586)),LEFT(IMDB_Movies!$D1586,SEARCH("|",IMDB_Movies!$D1586)-1),IMDB_Movies!$D1586)</f>
        <v>Comedy</v>
      </c>
      <c r="V1586" s="2"/>
      <c r="W1586" s="2"/>
    </row>
    <row r="1587" spans="1:23" ht="12.5" x14ac:dyDescent="0.25">
      <c r="A1587" s="2" t="s">
        <v>1683</v>
      </c>
      <c r="B1587" s="2">
        <v>150</v>
      </c>
      <c r="C1587" s="2">
        <v>12712093</v>
      </c>
      <c r="D1587" s="2" t="s">
        <v>2054</v>
      </c>
      <c r="E1587" s="2" t="s">
        <v>2841</v>
      </c>
      <c r="F1587" s="2" t="s">
        <v>14</v>
      </c>
      <c r="G1587" s="2" t="s">
        <v>15</v>
      </c>
      <c r="H1587" s="2">
        <v>30000000</v>
      </c>
      <c r="I1587" s="2">
        <v>6.7</v>
      </c>
      <c r="J1587" s="2">
        <f t="shared" si="12"/>
        <v>-17287907</v>
      </c>
      <c r="K1587" s="2">
        <f t="shared" si="13"/>
        <v>-1.9829993420719564E-2</v>
      </c>
      <c r="L1587" s="2" t="str">
        <f>IF(ISNUMBER(SEARCH("|",IMDB_Movies!$D1587)),LEFT(IMDB_Movies!$D1587,SEARCH("|",IMDB_Movies!$D1587)-1),IMDB_Movies!$D1587)</f>
        <v>Biography</v>
      </c>
      <c r="V1587" s="2"/>
      <c r="W1587" s="2"/>
    </row>
    <row r="1588" spans="1:23" ht="12.5" x14ac:dyDescent="0.25">
      <c r="A1588" s="2" t="s">
        <v>2842</v>
      </c>
      <c r="B1588" s="2">
        <v>100</v>
      </c>
      <c r="C1588" s="2">
        <v>11576087</v>
      </c>
      <c r="D1588" s="2" t="s">
        <v>28</v>
      </c>
      <c r="E1588" s="2" t="s">
        <v>2843</v>
      </c>
      <c r="F1588" s="2" t="s">
        <v>14</v>
      </c>
      <c r="G1588" s="2" t="s">
        <v>15</v>
      </c>
      <c r="H1588" s="2">
        <v>30000000</v>
      </c>
      <c r="I1588" s="2">
        <v>4.0999999999999996</v>
      </c>
      <c r="J1588" s="2">
        <f t="shared" si="12"/>
        <v>-18423913</v>
      </c>
      <c r="K1588" s="2">
        <f t="shared" si="13"/>
        <v>-1.9828264657288517E-2</v>
      </c>
      <c r="L1588" s="2" t="str">
        <f>IF(ISNUMBER(SEARCH("|",IMDB_Movies!$D1588)),LEFT(IMDB_Movies!$D1588,SEARCH("|",IMDB_Movies!$D1588)-1),IMDB_Movies!$D1588)</f>
        <v>Action</v>
      </c>
      <c r="V1588" s="2"/>
      <c r="W1588" s="2"/>
    </row>
    <row r="1589" spans="1:23" ht="12.5" x14ac:dyDescent="0.25">
      <c r="A1589" s="2" t="s">
        <v>1715</v>
      </c>
      <c r="B1589" s="2">
        <v>100</v>
      </c>
      <c r="C1589" s="2">
        <v>11900000</v>
      </c>
      <c r="D1589" s="2" t="s">
        <v>721</v>
      </c>
      <c r="E1589" s="2" t="s">
        <v>2844</v>
      </c>
      <c r="F1589" s="2" t="s">
        <v>14</v>
      </c>
      <c r="G1589" s="2" t="s">
        <v>15</v>
      </c>
      <c r="H1589" s="2">
        <v>30000000</v>
      </c>
      <c r="I1589" s="2">
        <v>5.5</v>
      </c>
      <c r="J1589" s="2">
        <f t="shared" si="12"/>
        <v>-18100000</v>
      </c>
      <c r="K1589" s="2">
        <f t="shared" si="13"/>
        <v>-1.9826415807969729E-2</v>
      </c>
      <c r="L1589" s="2" t="str">
        <f>IF(ISNUMBER(SEARCH("|",IMDB_Movies!$D1589)),LEFT(IMDB_Movies!$D1589,SEARCH("|",IMDB_Movies!$D1589)-1),IMDB_Movies!$D1589)</f>
        <v>Drama</v>
      </c>
      <c r="V1589" s="2"/>
      <c r="W1589" s="2"/>
    </row>
    <row r="1590" spans="1:23" ht="12.5" x14ac:dyDescent="0.25">
      <c r="A1590" s="2" t="s">
        <v>1863</v>
      </c>
      <c r="B1590" s="2">
        <v>100</v>
      </c>
      <c r="C1590" s="2">
        <v>9353573</v>
      </c>
      <c r="D1590" s="2" t="s">
        <v>102</v>
      </c>
      <c r="E1590" s="2" t="s">
        <v>2845</v>
      </c>
      <c r="F1590" s="2" t="s">
        <v>14</v>
      </c>
      <c r="G1590" s="2" t="s">
        <v>15</v>
      </c>
      <c r="H1590" s="2">
        <v>45000000</v>
      </c>
      <c r="I1590" s="2">
        <v>2.7</v>
      </c>
      <c r="J1590" s="2">
        <f t="shared" si="12"/>
        <v>-35646427</v>
      </c>
      <c r="K1590" s="2">
        <f t="shared" si="13"/>
        <v>-1.9824598101179865E-2</v>
      </c>
      <c r="L1590" s="2" t="str">
        <f>IF(ISNUMBER(SEARCH("|",IMDB_Movies!$D1590)),LEFT(IMDB_Movies!$D1590,SEARCH("|",IMDB_Movies!$D1590)-1),IMDB_Movies!$D1590)</f>
        <v>Action</v>
      </c>
      <c r="V1590" s="2"/>
      <c r="W1590" s="2"/>
    </row>
    <row r="1591" spans="1:23" ht="12.5" x14ac:dyDescent="0.25">
      <c r="A1591" s="2" t="s">
        <v>2846</v>
      </c>
      <c r="B1591" s="2">
        <v>107</v>
      </c>
      <c r="C1591" s="2">
        <v>12026670</v>
      </c>
      <c r="D1591" s="2" t="s">
        <v>125</v>
      </c>
      <c r="E1591" s="2" t="s">
        <v>2847</v>
      </c>
      <c r="F1591" s="2" t="s">
        <v>14</v>
      </c>
      <c r="G1591" s="2" t="s">
        <v>15</v>
      </c>
      <c r="H1591" s="2">
        <v>45000000</v>
      </c>
      <c r="I1591" s="2">
        <v>6.4</v>
      </c>
      <c r="J1591" s="2">
        <f t="shared" si="12"/>
        <v>-32973330</v>
      </c>
      <c r="K1591" s="2">
        <f t="shared" si="13"/>
        <v>-1.9812917105959137E-2</v>
      </c>
      <c r="L1591" s="2" t="str">
        <f>IF(ISNUMBER(SEARCH("|",IMDB_Movies!$D1591)),LEFT(IMDB_Movies!$D1591,SEARCH("|",IMDB_Movies!$D1591)-1),IMDB_Movies!$D1591)</f>
        <v>Action</v>
      </c>
      <c r="V1591" s="2"/>
      <c r="W1591" s="2"/>
    </row>
    <row r="1592" spans="1:23" ht="12.5" x14ac:dyDescent="0.25">
      <c r="A1592" s="2" t="s">
        <v>2848</v>
      </c>
      <c r="B1592" s="2">
        <v>102</v>
      </c>
      <c r="C1592" s="2">
        <v>14334645</v>
      </c>
      <c r="D1592" s="2" t="s">
        <v>1260</v>
      </c>
      <c r="E1592" s="2" t="s">
        <v>2849</v>
      </c>
      <c r="F1592" s="2" t="s">
        <v>14</v>
      </c>
      <c r="G1592" s="2" t="s">
        <v>15</v>
      </c>
      <c r="H1592" s="2">
        <v>25000000</v>
      </c>
      <c r="I1592" s="2">
        <v>4.8</v>
      </c>
      <c r="J1592" s="2">
        <f t="shared" si="12"/>
        <v>-10665355</v>
      </c>
      <c r="K1592" s="2">
        <f t="shared" si="13"/>
        <v>-1.9803182170293542E-2</v>
      </c>
      <c r="L1592" s="2" t="str">
        <f>IF(ISNUMBER(SEARCH("|",IMDB_Movies!$D1592)),LEFT(IMDB_Movies!$D1592,SEARCH("|",IMDB_Movies!$D1592)-1),IMDB_Movies!$D1592)</f>
        <v>Drama</v>
      </c>
      <c r="V1592" s="2"/>
      <c r="W1592" s="2"/>
    </row>
    <row r="1593" spans="1:23" ht="12.5" x14ac:dyDescent="0.25">
      <c r="A1593" s="2" t="s">
        <v>2850</v>
      </c>
      <c r="B1593" s="2">
        <v>101</v>
      </c>
      <c r="C1593" s="2">
        <v>12189514</v>
      </c>
      <c r="D1593" s="2" t="s">
        <v>600</v>
      </c>
      <c r="E1593" s="2" t="s">
        <v>2851</v>
      </c>
      <c r="F1593" s="2" t="s">
        <v>14</v>
      </c>
      <c r="G1593" s="2" t="s">
        <v>15</v>
      </c>
      <c r="H1593" s="2">
        <v>23000000</v>
      </c>
      <c r="I1593" s="2">
        <v>6.1</v>
      </c>
      <c r="J1593" s="2">
        <f t="shared" si="12"/>
        <v>-10810486</v>
      </c>
      <c r="K1593" s="2">
        <f t="shared" si="13"/>
        <v>-1.9803780326004231E-2</v>
      </c>
      <c r="L1593" s="2" t="str">
        <f>IF(ISNUMBER(SEARCH("|",IMDB_Movies!$D1593)),LEFT(IMDB_Movies!$D1593,SEARCH("|",IMDB_Movies!$D1593)-1),IMDB_Movies!$D1593)</f>
        <v>Comedy</v>
      </c>
      <c r="V1593" s="2"/>
      <c r="W1593" s="2"/>
    </row>
    <row r="1594" spans="1:23" ht="12.5" x14ac:dyDescent="0.25">
      <c r="A1594" s="2" t="s">
        <v>2852</v>
      </c>
      <c r="B1594" s="2">
        <v>86</v>
      </c>
      <c r="C1594" s="2">
        <v>10134754</v>
      </c>
      <c r="D1594" s="2" t="s">
        <v>1030</v>
      </c>
      <c r="E1594" s="2" t="s">
        <v>2853</v>
      </c>
      <c r="F1594" s="2" t="s">
        <v>14</v>
      </c>
      <c r="G1594" s="2" t="s">
        <v>15</v>
      </c>
      <c r="H1594" s="2">
        <v>30000000</v>
      </c>
      <c r="I1594" s="2">
        <v>4.8</v>
      </c>
      <c r="J1594" s="2">
        <f t="shared" si="12"/>
        <v>-19865246</v>
      </c>
      <c r="K1594" s="2">
        <f t="shared" si="13"/>
        <v>-1.9805639670529531E-2</v>
      </c>
      <c r="L1594" s="2" t="str">
        <f>IF(ISNUMBER(SEARCH("|",IMDB_Movies!$D1594)),LEFT(IMDB_Movies!$D1594,SEARCH("|",IMDB_Movies!$D1594)-1),IMDB_Movies!$D1594)</f>
        <v>Animation</v>
      </c>
      <c r="V1594" s="2"/>
      <c r="W1594" s="2"/>
    </row>
    <row r="1595" spans="1:23" ht="12.5" x14ac:dyDescent="0.25">
      <c r="A1595" s="2" t="s">
        <v>2527</v>
      </c>
      <c r="B1595" s="2">
        <v>108</v>
      </c>
      <c r="C1595" s="2">
        <v>8535575</v>
      </c>
      <c r="D1595" s="2" t="s">
        <v>1180</v>
      </c>
      <c r="E1595" s="2" t="s">
        <v>2854</v>
      </c>
      <c r="F1595" s="2" t="s">
        <v>14</v>
      </c>
      <c r="G1595" s="2" t="s">
        <v>15</v>
      </c>
      <c r="H1595" s="2">
        <v>30000000</v>
      </c>
      <c r="I1595" s="2">
        <v>7</v>
      </c>
      <c r="J1595" s="2">
        <f t="shared" si="12"/>
        <v>-21464425</v>
      </c>
      <c r="K1595" s="2">
        <f t="shared" si="13"/>
        <v>-1.9803636468658171E-2</v>
      </c>
      <c r="L1595" s="2" t="str">
        <f>IF(ISNUMBER(SEARCH("|",IMDB_Movies!$D1595)),LEFT(IMDB_Movies!$D1595,SEARCH("|",IMDB_Movies!$D1595)-1),IMDB_Movies!$D1595)</f>
        <v>Drama</v>
      </c>
      <c r="V1595" s="2"/>
      <c r="W1595" s="2"/>
    </row>
    <row r="1596" spans="1:23" ht="12.5" x14ac:dyDescent="0.25">
      <c r="A1596" s="2" t="s">
        <v>977</v>
      </c>
      <c r="B1596" s="2">
        <v>123</v>
      </c>
      <c r="C1596" s="2">
        <v>7689458</v>
      </c>
      <c r="D1596" s="2" t="s">
        <v>2855</v>
      </c>
      <c r="E1596" s="2" t="s">
        <v>2856</v>
      </c>
      <c r="F1596" s="2" t="s">
        <v>14</v>
      </c>
      <c r="G1596" s="2" t="s">
        <v>22</v>
      </c>
      <c r="H1596" s="2">
        <v>40000000</v>
      </c>
      <c r="I1596" s="2">
        <v>6.8</v>
      </c>
      <c r="J1596" s="2">
        <f t="shared" si="12"/>
        <v>-32310542</v>
      </c>
      <c r="K1596" s="2">
        <f t="shared" si="13"/>
        <v>-1.9801493259218393E-2</v>
      </c>
      <c r="L1596" s="2" t="str">
        <f>IF(ISNUMBER(SEARCH("|",IMDB_Movies!$D1596)),LEFT(IMDB_Movies!$D1596,SEARCH("|",IMDB_Movies!$D1596)-1),IMDB_Movies!$D1596)</f>
        <v>Adventure</v>
      </c>
      <c r="V1596" s="2"/>
      <c r="W1596" s="2"/>
    </row>
    <row r="1597" spans="1:23" ht="12.5" x14ac:dyDescent="0.25">
      <c r="A1597" s="2" t="s">
        <v>1913</v>
      </c>
      <c r="B1597" s="2">
        <v>88</v>
      </c>
      <c r="C1597" s="2">
        <v>19316646</v>
      </c>
      <c r="D1597" s="2" t="s">
        <v>550</v>
      </c>
      <c r="E1597" s="2" t="s">
        <v>2857</v>
      </c>
      <c r="F1597" s="2" t="s">
        <v>14</v>
      </c>
      <c r="G1597" s="2" t="s">
        <v>15</v>
      </c>
      <c r="H1597" s="2">
        <v>30000000</v>
      </c>
      <c r="I1597" s="2">
        <v>5.6</v>
      </c>
      <c r="J1597" s="2">
        <f t="shared" si="12"/>
        <v>-10683354</v>
      </c>
      <c r="K1597" s="2">
        <f t="shared" si="13"/>
        <v>-1.9792140848132689E-2</v>
      </c>
      <c r="L1597" s="2" t="str">
        <f>IF(ISNUMBER(SEARCH("|",IMDB_Movies!$D1597)),LEFT(IMDB_Movies!$D1597,SEARCH("|",IMDB_Movies!$D1597)-1),IMDB_Movies!$D1597)</f>
        <v>Crime</v>
      </c>
      <c r="V1597" s="2"/>
      <c r="W1597" s="2"/>
    </row>
    <row r="1598" spans="1:23" ht="12.5" x14ac:dyDescent="0.25">
      <c r="A1598" s="2" t="s">
        <v>1972</v>
      </c>
      <c r="B1598" s="2">
        <v>109</v>
      </c>
      <c r="C1598" s="2">
        <v>10965209</v>
      </c>
      <c r="D1598" s="2" t="s">
        <v>177</v>
      </c>
      <c r="E1598" s="2" t="s">
        <v>2858</v>
      </c>
      <c r="F1598" s="2" t="s">
        <v>14</v>
      </c>
      <c r="G1598" s="2" t="s">
        <v>15</v>
      </c>
      <c r="H1598" s="2">
        <v>30000000</v>
      </c>
      <c r="I1598" s="2">
        <v>6.1</v>
      </c>
      <c r="J1598" s="2">
        <f t="shared" si="12"/>
        <v>-19034791</v>
      </c>
      <c r="K1598" s="2">
        <f t="shared" si="13"/>
        <v>-1.9791253734974486E-2</v>
      </c>
      <c r="L1598" s="2" t="str">
        <f>IF(ISNUMBER(SEARCH("|",IMDB_Movies!$D1598)),LEFT(IMDB_Movies!$D1598,SEARCH("|",IMDB_Movies!$D1598)-1),IMDB_Movies!$D1598)</f>
        <v>Action</v>
      </c>
      <c r="V1598" s="2"/>
      <c r="W1598" s="2"/>
    </row>
    <row r="1599" spans="1:23" ht="12.5" x14ac:dyDescent="0.25">
      <c r="A1599" s="2" t="s">
        <v>377</v>
      </c>
      <c r="B1599" s="2">
        <v>122</v>
      </c>
      <c r="C1599" s="2">
        <v>26830000</v>
      </c>
      <c r="D1599" s="2" t="s">
        <v>706</v>
      </c>
      <c r="E1599" s="2" t="s">
        <v>2859</v>
      </c>
      <c r="F1599" s="2" t="s">
        <v>14</v>
      </c>
      <c r="G1599" s="2" t="s">
        <v>15</v>
      </c>
      <c r="H1599" s="2">
        <v>18000000</v>
      </c>
      <c r="I1599" s="2">
        <v>7.9</v>
      </c>
      <c r="J1599" s="2">
        <f t="shared" si="12"/>
        <v>8830000</v>
      </c>
      <c r="K1599" s="2">
        <f t="shared" si="13"/>
        <v>-1.9789318698554683E-2</v>
      </c>
      <c r="L1599" s="2" t="str">
        <f>IF(ISNUMBER(SEARCH("|",IMDB_Movies!$D1599)),LEFT(IMDB_Movies!$D1599,SEARCH("|",IMDB_Movies!$D1599)-1),IMDB_Movies!$D1599)</f>
        <v>Drama</v>
      </c>
      <c r="V1599" s="2"/>
      <c r="W1599" s="2"/>
    </row>
    <row r="1600" spans="1:23" ht="12.5" x14ac:dyDescent="0.25">
      <c r="A1600" s="2" t="s">
        <v>2860</v>
      </c>
      <c r="B1600" s="2">
        <v>251</v>
      </c>
      <c r="C1600" s="2">
        <v>5300000</v>
      </c>
      <c r="D1600" s="2" t="s">
        <v>694</v>
      </c>
      <c r="E1600" s="2" t="s">
        <v>2861</v>
      </c>
      <c r="F1600" s="2" t="s">
        <v>14</v>
      </c>
      <c r="G1600" s="2" t="s">
        <v>2862</v>
      </c>
      <c r="H1600" s="2">
        <v>30000000</v>
      </c>
      <c r="I1600" s="2">
        <v>8.4</v>
      </c>
      <c r="J1600" s="2">
        <f t="shared" si="12"/>
        <v>-24700000</v>
      </c>
      <c r="K1600" s="2">
        <f t="shared" si="13"/>
        <v>-1.9788600755921718E-2</v>
      </c>
      <c r="L1600" s="2" t="str">
        <f>IF(ISNUMBER(SEARCH("|",IMDB_Movies!$D1600)),LEFT(IMDB_Movies!$D1600,SEARCH("|",IMDB_Movies!$D1600)-1),IMDB_Movies!$D1600)</f>
        <v>Crime</v>
      </c>
      <c r="V1600" s="2"/>
      <c r="W1600" s="2"/>
    </row>
    <row r="1601" spans="1:23" ht="12.5" x14ac:dyDescent="0.25">
      <c r="A1601" s="2" t="s">
        <v>2863</v>
      </c>
      <c r="B1601" s="2">
        <v>118</v>
      </c>
      <c r="C1601" s="2">
        <v>10880926</v>
      </c>
      <c r="D1601" s="2" t="s">
        <v>177</v>
      </c>
      <c r="E1601" s="2" t="s">
        <v>2864</v>
      </c>
      <c r="F1601" s="2" t="s">
        <v>14</v>
      </c>
      <c r="G1601" s="2" t="s">
        <v>15</v>
      </c>
      <c r="H1601" s="2">
        <v>30000000</v>
      </c>
      <c r="I1601" s="2">
        <v>6.5</v>
      </c>
      <c r="J1601" s="2">
        <f t="shared" si="12"/>
        <v>-19119074</v>
      </c>
      <c r="K1601" s="2">
        <f t="shared" si="13"/>
        <v>-1.9786220387836662E-2</v>
      </c>
      <c r="L1601" s="2" t="str">
        <f>IF(ISNUMBER(SEARCH("|",IMDB_Movies!$D1601)),LEFT(IMDB_Movies!$D1601,SEARCH("|",IMDB_Movies!$D1601)-1),IMDB_Movies!$D1601)</f>
        <v>Action</v>
      </c>
      <c r="V1601" s="2"/>
      <c r="W1601" s="2"/>
    </row>
    <row r="1602" spans="1:23" ht="12.5" x14ac:dyDescent="0.25">
      <c r="A1602" s="2" t="s">
        <v>2865</v>
      </c>
      <c r="B1602" s="2">
        <v>131</v>
      </c>
      <c r="C1602" s="2">
        <v>3752725</v>
      </c>
      <c r="D1602" s="2" t="s">
        <v>85</v>
      </c>
      <c r="E1602" s="2" t="s">
        <v>2866</v>
      </c>
      <c r="F1602" s="2" t="s">
        <v>14</v>
      </c>
      <c r="G1602" s="2" t="s">
        <v>15</v>
      </c>
      <c r="H1602" s="2">
        <v>18000000</v>
      </c>
      <c r="I1602" s="2">
        <v>7.1</v>
      </c>
      <c r="J1602" s="2">
        <f t="shared" si="12"/>
        <v>-14247275</v>
      </c>
      <c r="K1602" s="2">
        <f t="shared" si="13"/>
        <v>-1.9784275177787764E-2</v>
      </c>
      <c r="L1602" s="2" t="str">
        <f>IF(ISNUMBER(SEARCH("|",IMDB_Movies!$D1602)),LEFT(IMDB_Movies!$D1602,SEARCH("|",IMDB_Movies!$D1602)-1),IMDB_Movies!$D1602)</f>
        <v>Drama</v>
      </c>
      <c r="V1602" s="2"/>
      <c r="W1602" s="2"/>
    </row>
    <row r="1603" spans="1:23" ht="12.5" x14ac:dyDescent="0.25">
      <c r="A1603" s="2" t="s">
        <v>1715</v>
      </c>
      <c r="B1603" s="2">
        <v>109</v>
      </c>
      <c r="C1603" s="2">
        <v>3517797</v>
      </c>
      <c r="D1603" s="2" t="s">
        <v>1952</v>
      </c>
      <c r="E1603" s="2" t="s">
        <v>2867</v>
      </c>
      <c r="F1603" s="2" t="s">
        <v>14</v>
      </c>
      <c r="G1603" s="2" t="s">
        <v>686</v>
      </c>
      <c r="H1603" s="2">
        <v>25000000</v>
      </c>
      <c r="I1603" s="2">
        <v>6.6</v>
      </c>
      <c r="J1603" s="2">
        <f t="shared" si="12"/>
        <v>-21482203</v>
      </c>
      <c r="K1603" s="2">
        <f t="shared" si="13"/>
        <v>-1.9792413423672977E-2</v>
      </c>
      <c r="L1603" s="2" t="str">
        <f>IF(ISNUMBER(SEARCH("|",IMDB_Movies!$D1603)),LEFT(IMDB_Movies!$D1603,SEARCH("|",IMDB_Movies!$D1603)-1),IMDB_Movies!$D1603)</f>
        <v>Action</v>
      </c>
      <c r="V1603" s="2"/>
      <c r="W1603" s="2"/>
    </row>
    <row r="1604" spans="1:23" ht="12.5" x14ac:dyDescent="0.25">
      <c r="A1604" s="2" t="s">
        <v>2719</v>
      </c>
      <c r="B1604" s="2">
        <v>88</v>
      </c>
      <c r="C1604" s="2">
        <v>2975649</v>
      </c>
      <c r="D1604" s="2" t="s">
        <v>2124</v>
      </c>
      <c r="E1604" s="2" t="s">
        <v>2868</v>
      </c>
      <c r="F1604" s="2" t="s">
        <v>14</v>
      </c>
      <c r="G1604" s="2" t="s">
        <v>22</v>
      </c>
      <c r="H1604" s="2">
        <v>30000000</v>
      </c>
      <c r="I1604" s="2">
        <v>7</v>
      </c>
      <c r="J1604" s="2">
        <f t="shared" si="12"/>
        <v>-27024351</v>
      </c>
      <c r="K1604" s="2">
        <f t="shared" si="13"/>
        <v>-1.9794405868389899E-2</v>
      </c>
      <c r="L1604" s="2" t="str">
        <f>IF(ISNUMBER(SEARCH("|",IMDB_Movies!$D1604)),LEFT(IMDB_Movies!$D1604,SEARCH("|",IMDB_Movies!$D1604)-1),IMDB_Movies!$D1604)</f>
        <v>Biography</v>
      </c>
      <c r="V1604" s="2"/>
      <c r="W1604" s="2"/>
    </row>
    <row r="1605" spans="1:23" ht="12.5" x14ac:dyDescent="0.25">
      <c r="A1605" s="2" t="s">
        <v>2869</v>
      </c>
      <c r="B1605" s="2">
        <v>103</v>
      </c>
      <c r="C1605" s="2">
        <v>668171</v>
      </c>
      <c r="D1605" s="2" t="s">
        <v>2306</v>
      </c>
      <c r="E1605" s="2" t="s">
        <v>2870</v>
      </c>
      <c r="F1605" s="2" t="s">
        <v>699</v>
      </c>
      <c r="G1605" s="2" t="s">
        <v>331</v>
      </c>
      <c r="H1605" s="2">
        <v>60000000</v>
      </c>
      <c r="I1605" s="2">
        <v>5.6</v>
      </c>
      <c r="J1605" s="2">
        <f t="shared" si="12"/>
        <v>-59331829</v>
      </c>
      <c r="K1605" s="2">
        <f t="shared" si="13"/>
        <v>-1.9791902942916825E-2</v>
      </c>
      <c r="L1605" s="2" t="str">
        <f>IF(ISNUMBER(SEARCH("|",IMDB_Movies!$D1605)),LEFT(IMDB_Movies!$D1605,SEARCH("|",IMDB_Movies!$D1605)-1),IMDB_Movies!$D1605)</f>
        <v>Action</v>
      </c>
      <c r="V1605" s="2"/>
      <c r="W1605" s="2"/>
    </row>
    <row r="1606" spans="1:23" ht="12.5" x14ac:dyDescent="0.25">
      <c r="A1606" s="2" t="s">
        <v>2871</v>
      </c>
      <c r="B1606" s="2">
        <v>87</v>
      </c>
      <c r="C1606" s="2">
        <v>480314</v>
      </c>
      <c r="D1606" s="2" t="s">
        <v>55</v>
      </c>
      <c r="E1606" s="2" t="s">
        <v>2872</v>
      </c>
      <c r="F1606" s="2" t="s">
        <v>14</v>
      </c>
      <c r="G1606" s="2" t="s">
        <v>15</v>
      </c>
      <c r="H1606" s="2">
        <v>21000000</v>
      </c>
      <c r="I1606" s="2">
        <v>4.8</v>
      </c>
      <c r="J1606" s="2">
        <f t="shared" si="12"/>
        <v>-20519686</v>
      </c>
      <c r="K1606" s="2">
        <f t="shared" si="13"/>
        <v>-1.9758883405383069E-2</v>
      </c>
      <c r="L1606" s="2" t="str">
        <f>IF(ISNUMBER(SEARCH("|",IMDB_Movies!$D1606)),LEFT(IMDB_Movies!$D1606,SEARCH("|",IMDB_Movies!$D1606)-1),IMDB_Movies!$D1606)</f>
        <v>Action</v>
      </c>
      <c r="V1606" s="2"/>
      <c r="W1606" s="2"/>
    </row>
    <row r="1607" spans="1:23" ht="12.5" x14ac:dyDescent="0.25">
      <c r="A1607" s="2" t="s">
        <v>2873</v>
      </c>
      <c r="B1607" s="2">
        <v>160</v>
      </c>
      <c r="C1607" s="2">
        <v>3904982</v>
      </c>
      <c r="D1607" s="2" t="s">
        <v>2874</v>
      </c>
      <c r="E1607" s="2" t="s">
        <v>2875</v>
      </c>
      <c r="F1607" s="2" t="s">
        <v>14</v>
      </c>
      <c r="G1607" s="2" t="s">
        <v>15</v>
      </c>
      <c r="H1607" s="2">
        <v>30000000</v>
      </c>
      <c r="I1607" s="2">
        <v>7.5</v>
      </c>
      <c r="J1607" s="2">
        <f t="shared" si="12"/>
        <v>-26095018</v>
      </c>
      <c r="K1607" s="2">
        <f t="shared" si="13"/>
        <v>-1.9765493557221396E-2</v>
      </c>
      <c r="L1607" s="2" t="str">
        <f>IF(ISNUMBER(SEARCH("|",IMDB_Movies!$D1607)),LEFT(IMDB_Movies!$D1607,SEARCH("|",IMDB_Movies!$D1607)-1),IMDB_Movies!$D1607)</f>
        <v>Biography</v>
      </c>
      <c r="V1607" s="2"/>
      <c r="W1607" s="2"/>
    </row>
    <row r="1608" spans="1:23" ht="12.5" x14ac:dyDescent="0.25">
      <c r="A1608" s="2" t="s">
        <v>2876</v>
      </c>
      <c r="B1608" s="2">
        <v>121</v>
      </c>
      <c r="C1608" s="2">
        <v>127437</v>
      </c>
      <c r="D1608" s="2" t="s">
        <v>406</v>
      </c>
      <c r="E1608" s="2" t="s">
        <v>2877</v>
      </c>
      <c r="F1608" s="2" t="s">
        <v>699</v>
      </c>
      <c r="G1608" s="2" t="s">
        <v>331</v>
      </c>
      <c r="H1608" s="2">
        <v>18000000</v>
      </c>
      <c r="I1608" s="2">
        <v>6</v>
      </c>
      <c r="J1608" s="2">
        <f t="shared" si="12"/>
        <v>-17872563</v>
      </c>
      <c r="K1608" s="2">
        <f t="shared" si="13"/>
        <v>-1.9763016632067885E-2</v>
      </c>
      <c r="L1608" s="2" t="str">
        <f>IF(ISNUMBER(SEARCH("|",IMDB_Movies!$D1608)),LEFT(IMDB_Movies!$D1608,SEARCH("|",IMDB_Movies!$D1608)-1),IMDB_Movies!$D1608)</f>
        <v>Action</v>
      </c>
      <c r="V1608" s="2"/>
      <c r="W1608" s="2"/>
    </row>
    <row r="1609" spans="1:23" ht="12.5" x14ac:dyDescent="0.25">
      <c r="A1609" s="2" t="s">
        <v>54</v>
      </c>
      <c r="B1609" s="2">
        <v>129</v>
      </c>
      <c r="C1609" s="2">
        <v>537580</v>
      </c>
      <c r="D1609" s="2" t="s">
        <v>2878</v>
      </c>
      <c r="E1609" s="2" t="s">
        <v>2879</v>
      </c>
      <c r="F1609" s="2" t="s">
        <v>14</v>
      </c>
      <c r="G1609" s="2" t="s">
        <v>15</v>
      </c>
      <c r="H1609" s="2">
        <v>30000000</v>
      </c>
      <c r="I1609" s="2">
        <v>6.8</v>
      </c>
      <c r="J1609" s="2">
        <f t="shared" si="12"/>
        <v>-29462420</v>
      </c>
      <c r="K1609" s="2">
        <f t="shared" si="13"/>
        <v>-1.9772886506324135E-2</v>
      </c>
      <c r="L1609" s="2" t="str">
        <f>IF(ISNUMBER(SEARCH("|",IMDB_Movies!$D1609)),LEFT(IMDB_Movies!$D1609,SEARCH("|",IMDB_Movies!$D1609)-1),IMDB_Movies!$D1609)</f>
        <v>Action</v>
      </c>
      <c r="V1609" s="2"/>
      <c r="W1609" s="2"/>
    </row>
    <row r="1610" spans="1:23" ht="12.5" x14ac:dyDescent="0.25">
      <c r="A1610" s="2" t="s">
        <v>2880</v>
      </c>
      <c r="B1610" s="2">
        <v>115</v>
      </c>
      <c r="C1610" s="2">
        <v>183436380</v>
      </c>
      <c r="D1610" s="2" t="s">
        <v>2525</v>
      </c>
      <c r="E1610" s="2" t="s">
        <v>2881</v>
      </c>
      <c r="F1610" s="2" t="s">
        <v>14</v>
      </c>
      <c r="G1610" s="2" t="s">
        <v>15</v>
      </c>
      <c r="H1610" s="2">
        <v>29000000</v>
      </c>
      <c r="I1610" s="2">
        <v>6.5</v>
      </c>
      <c r="J1610" s="2">
        <f t="shared" si="12"/>
        <v>154436380</v>
      </c>
      <c r="K1610" s="2">
        <f t="shared" si="13"/>
        <v>-1.977027754851161E-2</v>
      </c>
      <c r="L1610" s="2" t="str">
        <f>IF(ISNUMBER(SEARCH("|",IMDB_Movies!$D1610)),LEFT(IMDB_Movies!$D1610,SEARCH("|",IMDB_Movies!$D1610)-1),IMDB_Movies!$D1610)</f>
        <v>Comedy</v>
      </c>
      <c r="V1610" s="2"/>
      <c r="W1610" s="2"/>
    </row>
    <row r="1611" spans="1:23" ht="12.5" x14ac:dyDescent="0.25">
      <c r="A1611" s="2" t="s">
        <v>516</v>
      </c>
      <c r="B1611" s="2">
        <v>153</v>
      </c>
      <c r="C1611" s="2">
        <v>119518352</v>
      </c>
      <c r="D1611" s="2" t="s">
        <v>2882</v>
      </c>
      <c r="E1611" s="2" t="s">
        <v>2883</v>
      </c>
      <c r="F1611" s="2" t="s">
        <v>14</v>
      </c>
      <c r="G1611" s="2" t="s">
        <v>15</v>
      </c>
      <c r="H1611" s="2">
        <v>28000000</v>
      </c>
      <c r="I1611" s="2">
        <v>7.9</v>
      </c>
      <c r="J1611" s="2">
        <f t="shared" si="12"/>
        <v>91518352</v>
      </c>
      <c r="K1611" s="2">
        <f t="shared" si="13"/>
        <v>-1.98781242032352E-2</v>
      </c>
      <c r="L1611" s="2" t="str">
        <f>IF(ISNUMBER(SEARCH("|",IMDB_Movies!$D1611)),LEFT(IMDB_Movies!$D1611,SEARCH("|",IMDB_Movies!$D1611)-1),IMDB_Movies!$D1611)</f>
        <v>Biography</v>
      </c>
      <c r="V1611" s="2"/>
      <c r="W1611" s="2"/>
    </row>
    <row r="1612" spans="1:23" ht="12.5" x14ac:dyDescent="0.25">
      <c r="A1612" s="2" t="s">
        <v>2884</v>
      </c>
      <c r="B1612" s="2">
        <v>128</v>
      </c>
      <c r="C1612" s="2">
        <v>37036404</v>
      </c>
      <c r="D1612" s="2" t="s">
        <v>514</v>
      </c>
      <c r="E1612" s="2" t="s">
        <v>2885</v>
      </c>
      <c r="F1612" s="2" t="s">
        <v>14</v>
      </c>
      <c r="G1612" s="2" t="s">
        <v>15</v>
      </c>
      <c r="H1612" s="2">
        <v>30000000</v>
      </c>
      <c r="I1612" s="2">
        <v>6.4</v>
      </c>
      <c r="J1612" s="2">
        <f t="shared" si="12"/>
        <v>7036404</v>
      </c>
      <c r="K1612" s="2">
        <f t="shared" si="13"/>
        <v>-1.9918555916841042E-2</v>
      </c>
      <c r="L1612" s="2" t="str">
        <f>IF(ISNUMBER(SEARCH("|",IMDB_Movies!$D1612)),LEFT(IMDB_Movies!$D1612,SEARCH("|",IMDB_Movies!$D1612)-1),IMDB_Movies!$D1612)</f>
        <v>Comedy</v>
      </c>
      <c r="V1612" s="2"/>
      <c r="W1612" s="2"/>
    </row>
    <row r="1613" spans="1:23" ht="12.5" x14ac:dyDescent="0.25">
      <c r="A1613" s="2" t="s">
        <v>1734</v>
      </c>
      <c r="B1613" s="2">
        <v>89</v>
      </c>
      <c r="C1613" s="2">
        <v>22359293</v>
      </c>
      <c r="D1613" s="2" t="s">
        <v>294</v>
      </c>
      <c r="E1613" s="2" t="s">
        <v>2886</v>
      </c>
      <c r="F1613" s="2" t="s">
        <v>14</v>
      </c>
      <c r="G1613" s="2" t="s">
        <v>22</v>
      </c>
      <c r="H1613" s="2">
        <v>29000000</v>
      </c>
      <c r="I1613" s="2">
        <v>5.8</v>
      </c>
      <c r="J1613" s="2">
        <f t="shared" si="12"/>
        <v>-6640707</v>
      </c>
      <c r="K1613" s="2">
        <f t="shared" si="13"/>
        <v>-1.9921466782076295E-2</v>
      </c>
      <c r="L1613" s="2" t="str">
        <f>IF(ISNUMBER(SEARCH("|",IMDB_Movies!$D1613)),LEFT(IMDB_Movies!$D1613,SEARCH("|",IMDB_Movies!$D1613)-1),IMDB_Movies!$D1613)</f>
        <v>Adventure</v>
      </c>
      <c r="V1613" s="2"/>
      <c r="W1613" s="2"/>
    </row>
    <row r="1614" spans="1:23" ht="12.5" x14ac:dyDescent="0.25">
      <c r="A1614" s="2" t="s">
        <v>314</v>
      </c>
      <c r="B1614" s="2">
        <v>122</v>
      </c>
      <c r="C1614" s="2">
        <v>18593156</v>
      </c>
      <c r="D1614" s="2" t="s">
        <v>1180</v>
      </c>
      <c r="E1614" s="2" t="s">
        <v>2887</v>
      </c>
      <c r="F1614" s="2" t="s">
        <v>14</v>
      </c>
      <c r="G1614" s="2" t="s">
        <v>15</v>
      </c>
      <c r="H1614" s="2">
        <v>35000000</v>
      </c>
      <c r="I1614" s="2">
        <v>7.7</v>
      </c>
      <c r="J1614" s="2">
        <f t="shared" si="12"/>
        <v>-16406844</v>
      </c>
      <c r="K1614" s="2">
        <f t="shared" si="13"/>
        <v>-1.9921166458766855E-2</v>
      </c>
      <c r="L1614" s="2" t="str">
        <f>IF(ISNUMBER(SEARCH("|",IMDB_Movies!$D1614)),LEFT(IMDB_Movies!$D1614,SEARCH("|",IMDB_Movies!$D1614)-1),IMDB_Movies!$D1614)</f>
        <v>Drama</v>
      </c>
      <c r="V1614" s="2"/>
      <c r="W1614" s="2"/>
    </row>
    <row r="1615" spans="1:23" ht="12.5" x14ac:dyDescent="0.25">
      <c r="A1615" s="2" t="s">
        <v>2050</v>
      </c>
      <c r="B1615" s="2">
        <v>99</v>
      </c>
      <c r="C1615" s="2">
        <v>16930185</v>
      </c>
      <c r="D1615" s="2" t="s">
        <v>600</v>
      </c>
      <c r="E1615" s="2" t="s">
        <v>2888</v>
      </c>
      <c r="F1615" s="2" t="s">
        <v>14</v>
      </c>
      <c r="G1615" s="2" t="s">
        <v>287</v>
      </c>
      <c r="H1615" s="2">
        <v>29000000</v>
      </c>
      <c r="I1615" s="2">
        <v>5.3</v>
      </c>
      <c r="J1615" s="2">
        <f t="shared" si="12"/>
        <v>-12069815</v>
      </c>
      <c r="K1615" s="2">
        <f t="shared" si="13"/>
        <v>-1.9918899680666433E-2</v>
      </c>
      <c r="L1615" s="2" t="str">
        <f>IF(ISNUMBER(SEARCH("|",IMDB_Movies!$D1615)),LEFT(IMDB_Movies!$D1615,SEARCH("|",IMDB_Movies!$D1615)-1),IMDB_Movies!$D1615)</f>
        <v>Comedy</v>
      </c>
      <c r="V1615" s="2"/>
      <c r="W1615" s="2"/>
    </row>
    <row r="1616" spans="1:23" ht="12.5" x14ac:dyDescent="0.25">
      <c r="A1616" s="2" t="s">
        <v>2889</v>
      </c>
      <c r="B1616" s="2">
        <v>99</v>
      </c>
      <c r="C1616" s="2">
        <v>63034755</v>
      </c>
      <c r="D1616" s="2" t="s">
        <v>709</v>
      </c>
      <c r="E1616" s="2" t="s">
        <v>2890</v>
      </c>
      <c r="F1616" s="2" t="s">
        <v>14</v>
      </c>
      <c r="G1616" s="2" t="s">
        <v>15</v>
      </c>
      <c r="H1616" s="2">
        <v>29000000</v>
      </c>
      <c r="I1616" s="2">
        <v>5.3</v>
      </c>
      <c r="J1616" s="2">
        <f t="shared" si="12"/>
        <v>34034755</v>
      </c>
      <c r="K1616" s="2">
        <f t="shared" si="13"/>
        <v>-1.9917977188760264E-2</v>
      </c>
      <c r="L1616" s="2" t="str">
        <f>IF(ISNUMBER(SEARCH("|",IMDB_Movies!$D1616)),LEFT(IMDB_Movies!$D1616,SEARCH("|",IMDB_Movies!$D1616)-1),IMDB_Movies!$D1616)</f>
        <v>Comedy</v>
      </c>
      <c r="V1616" s="2"/>
      <c r="W1616" s="2"/>
    </row>
    <row r="1617" spans="1:23" ht="12.5" x14ac:dyDescent="0.25">
      <c r="A1617" s="2" t="s">
        <v>2891</v>
      </c>
      <c r="B1617" s="2">
        <v>147</v>
      </c>
      <c r="C1617" s="2">
        <v>5899797</v>
      </c>
      <c r="D1617" s="2" t="s">
        <v>2000</v>
      </c>
      <c r="E1617" s="2" t="s">
        <v>2892</v>
      </c>
      <c r="F1617" s="2" t="s">
        <v>14</v>
      </c>
      <c r="G1617" s="2" t="s">
        <v>22</v>
      </c>
      <c r="H1617" s="2">
        <v>29000000</v>
      </c>
      <c r="I1617" s="2">
        <v>7.5</v>
      </c>
      <c r="J1617" s="2">
        <f t="shared" si="12"/>
        <v>-23100203</v>
      </c>
      <c r="K1617" s="2">
        <f t="shared" si="13"/>
        <v>-1.9928700873965175E-2</v>
      </c>
      <c r="L1617" s="2" t="str">
        <f>IF(ISNUMBER(SEARCH("|",IMDB_Movies!$D1617)),LEFT(IMDB_Movies!$D1617,SEARCH("|",IMDB_Movies!$D1617)-1),IMDB_Movies!$D1617)</f>
        <v>Biography</v>
      </c>
      <c r="V1617" s="2"/>
      <c r="W1617" s="2"/>
    </row>
    <row r="1618" spans="1:23" ht="12.5" x14ac:dyDescent="0.25">
      <c r="A1618" s="2" t="s">
        <v>1259</v>
      </c>
      <c r="B1618" s="2">
        <v>112</v>
      </c>
      <c r="C1618" s="2">
        <v>4554569</v>
      </c>
      <c r="D1618" s="2" t="s">
        <v>891</v>
      </c>
      <c r="E1618" s="2" t="s">
        <v>2893</v>
      </c>
      <c r="F1618" s="2" t="s">
        <v>14</v>
      </c>
      <c r="G1618" s="2" t="s">
        <v>15</v>
      </c>
      <c r="H1618" s="2">
        <v>28000000</v>
      </c>
      <c r="I1618" s="2">
        <v>6.9</v>
      </c>
      <c r="J1618" s="2">
        <f t="shared" si="12"/>
        <v>-23445431</v>
      </c>
      <c r="K1618" s="2">
        <f t="shared" si="13"/>
        <v>-1.9927131057128074E-2</v>
      </c>
      <c r="L1618" s="2" t="str">
        <f>IF(ISNUMBER(SEARCH("|",IMDB_Movies!$D1618)),LEFT(IMDB_Movies!$D1618,SEARCH("|",IMDB_Movies!$D1618)-1),IMDB_Movies!$D1618)</f>
        <v>Comedy</v>
      </c>
      <c r="V1618" s="2"/>
      <c r="W1618" s="2"/>
    </row>
    <row r="1619" spans="1:23" ht="12.5" x14ac:dyDescent="0.25">
      <c r="A1619" s="2" t="s">
        <v>2894</v>
      </c>
      <c r="B1619" s="2">
        <v>88</v>
      </c>
      <c r="C1619" s="2">
        <v>17016190</v>
      </c>
      <c r="D1619" s="2" t="s">
        <v>2667</v>
      </c>
      <c r="E1619" s="2" t="s">
        <v>2895</v>
      </c>
      <c r="F1619" s="2" t="s">
        <v>14</v>
      </c>
      <c r="G1619" s="2" t="s">
        <v>2896</v>
      </c>
      <c r="H1619" s="2">
        <v>12000000</v>
      </c>
      <c r="I1619" s="2">
        <v>4.9000000000000004</v>
      </c>
      <c r="J1619" s="2">
        <f t="shared" si="12"/>
        <v>5016190</v>
      </c>
      <c r="K1619" s="2">
        <f t="shared" si="13"/>
        <v>-1.992639076305611E-2</v>
      </c>
      <c r="L1619" s="2" t="str">
        <f>IF(ISNUMBER(SEARCH("|",IMDB_Movies!$D1619)),LEFT(IMDB_Movies!$D1619,SEARCH("|",IMDB_Movies!$D1619)-1),IMDB_Movies!$D1619)</f>
        <v>Comedy</v>
      </c>
      <c r="V1619" s="2"/>
      <c r="W1619" s="2"/>
    </row>
    <row r="1620" spans="1:23" ht="12.5" x14ac:dyDescent="0.25">
      <c r="A1620" s="2" t="s">
        <v>2897</v>
      </c>
      <c r="B1620" s="2">
        <v>94</v>
      </c>
      <c r="C1620" s="2">
        <v>6301131</v>
      </c>
      <c r="D1620" s="2" t="s">
        <v>788</v>
      </c>
      <c r="E1620" s="2" t="s">
        <v>2898</v>
      </c>
      <c r="F1620" s="2" t="s">
        <v>14</v>
      </c>
      <c r="G1620" s="2" t="s">
        <v>15</v>
      </c>
      <c r="H1620" s="2">
        <v>29000000</v>
      </c>
      <c r="I1620" s="2">
        <v>7.1</v>
      </c>
      <c r="J1620" s="2">
        <f t="shared" si="12"/>
        <v>-22698869</v>
      </c>
      <c r="K1620" s="2">
        <f t="shared" si="13"/>
        <v>-1.9930940005825844E-2</v>
      </c>
      <c r="L1620" s="2" t="str">
        <f>IF(ISNUMBER(SEARCH("|",IMDB_Movies!$D1620)),LEFT(IMDB_Movies!$D1620,SEARCH("|",IMDB_Movies!$D1620)-1),IMDB_Movies!$D1620)</f>
        <v>Drama</v>
      </c>
      <c r="V1620" s="2"/>
      <c r="W1620" s="2"/>
    </row>
    <row r="1621" spans="1:23" ht="12.5" x14ac:dyDescent="0.25">
      <c r="A1621" s="2" t="s">
        <v>593</v>
      </c>
      <c r="B1621" s="2">
        <v>90</v>
      </c>
      <c r="C1621" s="2">
        <v>217350219</v>
      </c>
      <c r="D1621" s="2" t="s">
        <v>43</v>
      </c>
      <c r="E1621" s="2" t="s">
        <v>2899</v>
      </c>
      <c r="F1621" s="2" t="s">
        <v>14</v>
      </c>
      <c r="G1621" s="2" t="s">
        <v>15</v>
      </c>
      <c r="H1621" s="2">
        <v>28000000</v>
      </c>
      <c r="I1621" s="2">
        <v>8</v>
      </c>
      <c r="J1621" s="2">
        <f t="shared" si="12"/>
        <v>189350219</v>
      </c>
      <c r="K1621" s="2">
        <f t="shared" si="13"/>
        <v>-1.9929381559428774E-2</v>
      </c>
      <c r="L1621" s="2" t="str">
        <f>IF(ISNUMBER(SEARCH("|",IMDB_Movies!$D1621)),LEFT(IMDB_Movies!$D1621,SEARCH("|",IMDB_Movies!$D1621)-1),IMDB_Movies!$D1621)</f>
        <v>Adventure</v>
      </c>
      <c r="V1621" s="2"/>
      <c r="W1621" s="2"/>
    </row>
    <row r="1622" spans="1:23" ht="12.5" x14ac:dyDescent="0.25">
      <c r="A1622" s="2" t="s">
        <v>1067</v>
      </c>
      <c r="B1622" s="2">
        <v>167</v>
      </c>
      <c r="C1622" s="2">
        <v>161029270</v>
      </c>
      <c r="D1622" s="2" t="s">
        <v>2900</v>
      </c>
      <c r="E1622" s="2" t="s">
        <v>2901</v>
      </c>
      <c r="F1622" s="2" t="s">
        <v>14</v>
      </c>
      <c r="G1622" s="2" t="s">
        <v>15</v>
      </c>
      <c r="H1622" s="2">
        <v>28000000</v>
      </c>
      <c r="I1622" s="2">
        <v>7.9</v>
      </c>
      <c r="J1622" s="2">
        <f t="shared" si="12"/>
        <v>133029270</v>
      </c>
      <c r="K1622" s="2">
        <f t="shared" si="13"/>
        <v>-2.00773488493153E-2</v>
      </c>
      <c r="L1622" s="2" t="str">
        <f>IF(ISNUMBER(SEARCH("|",IMDB_Movies!$D1622)),LEFT(IMDB_Movies!$D1622,SEARCH("|",IMDB_Movies!$D1622)-1),IMDB_Movies!$D1622)</f>
        <v>Biography</v>
      </c>
      <c r="V1622" s="2"/>
      <c r="W1622" s="2"/>
    </row>
    <row r="1623" spans="1:23" ht="12.5" x14ac:dyDescent="0.25">
      <c r="A1623" s="2" t="s">
        <v>141</v>
      </c>
      <c r="B1623" s="2">
        <v>118</v>
      </c>
      <c r="C1623" s="2">
        <v>179870271</v>
      </c>
      <c r="D1623" s="2" t="s">
        <v>55</v>
      </c>
      <c r="E1623" s="2" t="s">
        <v>2902</v>
      </c>
      <c r="F1623" s="2" t="s">
        <v>14</v>
      </c>
      <c r="G1623" s="2" t="s">
        <v>15</v>
      </c>
      <c r="H1623" s="2">
        <v>28000000</v>
      </c>
      <c r="I1623" s="2">
        <v>7.6</v>
      </c>
      <c r="J1623" s="2">
        <f t="shared" si="12"/>
        <v>151870271</v>
      </c>
      <c r="K1623" s="2">
        <f t="shared" si="13"/>
        <v>-2.0156848975329648E-2</v>
      </c>
      <c r="L1623" s="2" t="str">
        <f>IF(ISNUMBER(SEARCH("|",IMDB_Movies!$D1623)),LEFT(IMDB_Movies!$D1623,SEARCH("|",IMDB_Movies!$D1623)-1),IMDB_Movies!$D1623)</f>
        <v>Action</v>
      </c>
      <c r="V1623" s="2"/>
      <c r="W1623" s="2"/>
    </row>
    <row r="1624" spans="1:23" ht="12.5" x14ac:dyDescent="0.25">
      <c r="A1624" s="2" t="s">
        <v>2903</v>
      </c>
      <c r="B1624" s="2">
        <v>83</v>
      </c>
      <c r="C1624" s="2">
        <v>100491683</v>
      </c>
      <c r="D1624" s="2" t="s">
        <v>2904</v>
      </c>
      <c r="E1624" s="2" t="s">
        <v>2905</v>
      </c>
      <c r="F1624" s="2" t="s">
        <v>14</v>
      </c>
      <c r="G1624" s="2" t="s">
        <v>15</v>
      </c>
      <c r="H1624" s="2">
        <v>24000000</v>
      </c>
      <c r="I1624" s="2">
        <v>5.9</v>
      </c>
      <c r="J1624" s="2">
        <f t="shared" si="12"/>
        <v>76491683</v>
      </c>
      <c r="K1624" s="2">
        <f t="shared" si="13"/>
        <v>-2.0258686088753933E-2</v>
      </c>
      <c r="L1624" s="2" t="str">
        <f>IF(ISNUMBER(SEARCH("|",IMDB_Movies!$D1624)),LEFT(IMDB_Movies!$D1624,SEARCH("|",IMDB_Movies!$D1624)-1),IMDB_Movies!$D1624)</f>
        <v>Adventure</v>
      </c>
      <c r="V1624" s="2"/>
      <c r="W1624" s="2"/>
    </row>
    <row r="1625" spans="1:23" ht="12.5" x14ac:dyDescent="0.25">
      <c r="A1625" s="2" t="s">
        <v>355</v>
      </c>
      <c r="B1625" s="2">
        <v>104</v>
      </c>
      <c r="C1625" s="2">
        <v>74058698</v>
      </c>
      <c r="D1625" s="2" t="s">
        <v>763</v>
      </c>
      <c r="E1625" s="2" t="s">
        <v>2906</v>
      </c>
      <c r="F1625" s="2" t="s">
        <v>14</v>
      </c>
      <c r="G1625" s="2" t="s">
        <v>15</v>
      </c>
      <c r="H1625" s="2">
        <v>60000000</v>
      </c>
      <c r="I1625" s="2">
        <v>6.3</v>
      </c>
      <c r="J1625" s="2">
        <f t="shared" si="12"/>
        <v>14058698</v>
      </c>
      <c r="K1625" s="2">
        <f t="shared" si="13"/>
        <v>-2.027422116579795E-2</v>
      </c>
      <c r="L1625" s="2" t="str">
        <f>IF(ISNUMBER(SEARCH("|",IMDB_Movies!$D1625)),LEFT(IMDB_Movies!$D1625,SEARCH("|",IMDB_Movies!$D1625)-1),IMDB_Movies!$D1625)</f>
        <v>Crime</v>
      </c>
      <c r="V1625" s="2"/>
      <c r="W1625" s="2"/>
    </row>
    <row r="1626" spans="1:23" ht="12.5" x14ac:dyDescent="0.25">
      <c r="A1626" s="2" t="s">
        <v>1666</v>
      </c>
      <c r="B1626" s="2">
        <v>102</v>
      </c>
      <c r="C1626" s="2">
        <v>55845943</v>
      </c>
      <c r="D1626" s="2" t="s">
        <v>125</v>
      </c>
      <c r="E1626" s="2" t="s">
        <v>2907</v>
      </c>
      <c r="F1626" s="2" t="s">
        <v>14</v>
      </c>
      <c r="G1626" s="2" t="s">
        <v>15</v>
      </c>
      <c r="H1626" s="2">
        <v>29000000</v>
      </c>
      <c r="I1626" s="2">
        <v>6.4</v>
      </c>
      <c r="J1626" s="2">
        <f t="shared" si="12"/>
        <v>26845943</v>
      </c>
      <c r="K1626" s="2">
        <f t="shared" si="13"/>
        <v>-2.0357657654811692E-2</v>
      </c>
      <c r="L1626" s="2" t="str">
        <f>IF(ISNUMBER(SEARCH("|",IMDB_Movies!$D1626)),LEFT(IMDB_Movies!$D1626,SEARCH("|",IMDB_Movies!$D1626)-1),IMDB_Movies!$D1626)</f>
        <v>Action</v>
      </c>
      <c r="V1626" s="2"/>
      <c r="W1626" s="2"/>
    </row>
    <row r="1627" spans="1:23" ht="12.5" x14ac:dyDescent="0.25">
      <c r="A1627" s="2" t="s">
        <v>477</v>
      </c>
      <c r="B1627" s="2">
        <v>131</v>
      </c>
      <c r="C1627" s="2">
        <v>81350242</v>
      </c>
      <c r="D1627" s="2" t="s">
        <v>25</v>
      </c>
      <c r="E1627" s="2" t="s">
        <v>2908</v>
      </c>
      <c r="F1627" s="2" t="s">
        <v>14</v>
      </c>
      <c r="G1627" s="2" t="s">
        <v>15</v>
      </c>
      <c r="H1627" s="2">
        <v>28000000</v>
      </c>
      <c r="I1627" s="2">
        <v>8.1999999999999993</v>
      </c>
      <c r="J1627" s="2">
        <f t="shared" si="12"/>
        <v>53350242</v>
      </c>
      <c r="K1627" s="2">
        <f t="shared" si="13"/>
        <v>-2.0365996824838663E-2</v>
      </c>
      <c r="L1627" s="2" t="str">
        <f>IF(ISNUMBER(SEARCH("|",IMDB_Movies!$D1627)),LEFT(IMDB_Movies!$D1627,SEARCH("|",IMDB_Movies!$D1627)-1),IMDB_Movies!$D1627)</f>
        <v>Action</v>
      </c>
      <c r="V1627" s="2"/>
      <c r="W1627" s="2"/>
    </row>
    <row r="1628" spans="1:23" ht="12.5" x14ac:dyDescent="0.25">
      <c r="A1628" s="2" t="s">
        <v>2909</v>
      </c>
      <c r="B1628" s="2">
        <v>101</v>
      </c>
      <c r="C1628" s="2">
        <v>67266300</v>
      </c>
      <c r="D1628" s="2" t="s">
        <v>709</v>
      </c>
      <c r="E1628" s="2" t="s">
        <v>2910</v>
      </c>
      <c r="F1628" s="2" t="s">
        <v>14</v>
      </c>
      <c r="G1628" s="2" t="s">
        <v>287</v>
      </c>
      <c r="H1628" s="2">
        <v>28000000</v>
      </c>
      <c r="I1628" s="2">
        <v>6.9</v>
      </c>
      <c r="J1628" s="2">
        <f t="shared" si="12"/>
        <v>39266300</v>
      </c>
      <c r="K1628" s="2">
        <f t="shared" si="13"/>
        <v>-2.0383831921132422E-2</v>
      </c>
      <c r="L1628" s="2" t="str">
        <f>IF(ISNUMBER(SEARCH("|",IMDB_Movies!$D1628)),LEFT(IMDB_Movies!$D1628,SEARCH("|",IMDB_Movies!$D1628)-1),IMDB_Movies!$D1628)</f>
        <v>Comedy</v>
      </c>
      <c r="V1628" s="2"/>
      <c r="W1628" s="2"/>
    </row>
    <row r="1629" spans="1:23" ht="12.5" x14ac:dyDescent="0.25">
      <c r="A1629" s="2" t="s">
        <v>622</v>
      </c>
      <c r="B1629" s="2">
        <v>130</v>
      </c>
      <c r="C1629" s="2">
        <v>70235322</v>
      </c>
      <c r="D1629" s="2" t="s">
        <v>1062</v>
      </c>
      <c r="E1629" s="2" t="s">
        <v>2911</v>
      </c>
      <c r="F1629" s="2" t="s">
        <v>14</v>
      </c>
      <c r="G1629" s="2" t="s">
        <v>15</v>
      </c>
      <c r="H1629" s="2">
        <v>28000000</v>
      </c>
      <c r="I1629" s="2">
        <v>7.8</v>
      </c>
      <c r="J1629" s="2">
        <f t="shared" si="12"/>
        <v>42235322</v>
      </c>
      <c r="K1629" s="2">
        <f t="shared" si="13"/>
        <v>-2.0395121082513318E-2</v>
      </c>
      <c r="L1629" s="2" t="str">
        <f>IF(ISNUMBER(SEARCH("|",IMDB_Movies!$D1629)),LEFT(IMDB_Movies!$D1629,SEARCH("|",IMDB_Movies!$D1629)-1),IMDB_Movies!$D1629)</f>
        <v>Biography</v>
      </c>
      <c r="V1629" s="2"/>
      <c r="W1629" s="2"/>
    </row>
    <row r="1630" spans="1:23" ht="12.5" x14ac:dyDescent="0.25">
      <c r="A1630" s="2" t="s">
        <v>393</v>
      </c>
      <c r="B1630" s="2">
        <v>120</v>
      </c>
      <c r="C1630" s="2">
        <v>7443007</v>
      </c>
      <c r="D1630" s="2" t="s">
        <v>2912</v>
      </c>
      <c r="E1630" s="2" t="s">
        <v>2913</v>
      </c>
      <c r="F1630" s="2" t="s">
        <v>14</v>
      </c>
      <c r="G1630" s="2" t="s">
        <v>15</v>
      </c>
      <c r="H1630" s="2">
        <v>30000000</v>
      </c>
      <c r="I1630" s="2">
        <v>6.7</v>
      </c>
      <c r="J1630" s="2">
        <f t="shared" si="12"/>
        <v>-22556993</v>
      </c>
      <c r="K1630" s="2">
        <f t="shared" si="13"/>
        <v>-2.0407702243070609E-2</v>
      </c>
      <c r="L1630" s="2" t="str">
        <f>IF(ISNUMBER(SEARCH("|",IMDB_Movies!$D1630)),LEFT(IMDB_Movies!$D1630,SEARCH("|",IMDB_Movies!$D1630)-1),IMDB_Movies!$D1630)</f>
        <v>Comedy</v>
      </c>
      <c r="V1630" s="2"/>
      <c r="W1630" s="2"/>
    </row>
    <row r="1631" spans="1:23" ht="12.5" x14ac:dyDescent="0.25">
      <c r="A1631" s="2" t="s">
        <v>2832</v>
      </c>
      <c r="B1631" s="2">
        <v>135</v>
      </c>
      <c r="C1631" s="2">
        <v>64371181</v>
      </c>
      <c r="D1631" s="2" t="s">
        <v>1452</v>
      </c>
      <c r="E1631" s="2" t="s">
        <v>2914</v>
      </c>
      <c r="F1631" s="2" t="s">
        <v>14</v>
      </c>
      <c r="G1631" s="2" t="s">
        <v>15</v>
      </c>
      <c r="H1631" s="2">
        <v>28000000</v>
      </c>
      <c r="I1631" s="2">
        <v>7.5</v>
      </c>
      <c r="J1631" s="2">
        <f t="shared" si="12"/>
        <v>36371181</v>
      </c>
      <c r="K1631" s="2">
        <f t="shared" si="13"/>
        <v>-2.0405455416711443E-2</v>
      </c>
      <c r="L1631" s="2" t="str">
        <f>IF(ISNUMBER(SEARCH("|",IMDB_Movies!$D1631)),LEFT(IMDB_Movies!$D1631,SEARCH("|",IMDB_Movies!$D1631)-1),IMDB_Movies!$D1631)</f>
        <v>Biography</v>
      </c>
      <c r="V1631" s="2"/>
      <c r="W1631" s="2"/>
    </row>
    <row r="1632" spans="1:23" ht="12.5" x14ac:dyDescent="0.25">
      <c r="A1632" s="2" t="s">
        <v>50</v>
      </c>
      <c r="B1632" s="2">
        <v>110</v>
      </c>
      <c r="C1632" s="2">
        <v>58885635</v>
      </c>
      <c r="D1632" s="2" t="s">
        <v>1667</v>
      </c>
      <c r="E1632" s="2" t="s">
        <v>2915</v>
      </c>
      <c r="F1632" s="2" t="s">
        <v>14</v>
      </c>
      <c r="G1632" s="2" t="s">
        <v>15</v>
      </c>
      <c r="H1632" s="2">
        <v>26000000</v>
      </c>
      <c r="I1632" s="2">
        <v>7.4</v>
      </c>
      <c r="J1632" s="2">
        <f t="shared" si="12"/>
        <v>32885635</v>
      </c>
      <c r="K1632" s="2">
        <f t="shared" si="13"/>
        <v>-2.0415606312018927E-2</v>
      </c>
      <c r="L1632" s="2" t="str">
        <f>IF(ISNUMBER(SEARCH("|",IMDB_Movies!$D1632)),LEFT(IMDB_Movies!$D1632,SEARCH("|",IMDB_Movies!$D1632)-1),IMDB_Movies!$D1632)</f>
        <v>Action</v>
      </c>
      <c r="V1632" s="2"/>
      <c r="W1632" s="2"/>
    </row>
    <row r="1633" spans="1:23" ht="12.5" x14ac:dyDescent="0.25">
      <c r="A1633" s="2" t="s">
        <v>918</v>
      </c>
      <c r="B1633" s="2">
        <v>103</v>
      </c>
      <c r="C1633" s="2">
        <v>60400856</v>
      </c>
      <c r="D1633" s="2" t="s">
        <v>600</v>
      </c>
      <c r="E1633" s="2" t="s">
        <v>2916</v>
      </c>
      <c r="F1633" s="2" t="s">
        <v>14</v>
      </c>
      <c r="G1633" s="2" t="s">
        <v>287</v>
      </c>
      <c r="H1633" s="2">
        <v>35000000</v>
      </c>
      <c r="I1633" s="2">
        <v>5.2</v>
      </c>
      <c r="J1633" s="2">
        <f t="shared" si="12"/>
        <v>25400856</v>
      </c>
      <c r="K1633" s="2">
        <f t="shared" si="13"/>
        <v>-2.0420674883111098E-2</v>
      </c>
      <c r="L1633" s="2" t="str">
        <f>IF(ISNUMBER(SEARCH("|",IMDB_Movies!$D1633)),LEFT(IMDB_Movies!$D1633,SEARCH("|",IMDB_Movies!$D1633)-1),IMDB_Movies!$D1633)</f>
        <v>Comedy</v>
      </c>
      <c r="V1633" s="2"/>
      <c r="W1633" s="2"/>
    </row>
    <row r="1634" spans="1:23" ht="12.5" x14ac:dyDescent="0.25">
      <c r="A1634" s="2" t="s">
        <v>1821</v>
      </c>
      <c r="B1634" s="2">
        <v>110</v>
      </c>
      <c r="C1634" s="2">
        <v>52353636</v>
      </c>
      <c r="D1634" s="2" t="s">
        <v>891</v>
      </c>
      <c r="E1634" s="2" t="s">
        <v>2917</v>
      </c>
      <c r="F1634" s="2" t="s">
        <v>14</v>
      </c>
      <c r="G1634" s="2" t="s">
        <v>15</v>
      </c>
      <c r="H1634" s="2">
        <v>21000000</v>
      </c>
      <c r="I1634" s="2">
        <v>7.6</v>
      </c>
      <c r="J1634" s="2">
        <f t="shared" si="12"/>
        <v>31353636</v>
      </c>
      <c r="K1634" s="2">
        <f t="shared" si="13"/>
        <v>-2.0440388926761248E-2</v>
      </c>
      <c r="L1634" s="2" t="str">
        <f>IF(ISNUMBER(SEARCH("|",IMDB_Movies!$D1634)),LEFT(IMDB_Movies!$D1634,SEARCH("|",IMDB_Movies!$D1634)-1),IMDB_Movies!$D1634)</f>
        <v>Comedy</v>
      </c>
      <c r="V1634" s="2"/>
      <c r="W1634" s="2"/>
    </row>
    <row r="1635" spans="1:23" ht="12.5" x14ac:dyDescent="0.25">
      <c r="A1635" s="2" t="s">
        <v>516</v>
      </c>
      <c r="B1635" s="2">
        <v>91</v>
      </c>
      <c r="C1635" s="2">
        <v>51475962</v>
      </c>
      <c r="D1635" s="2" t="s">
        <v>315</v>
      </c>
      <c r="E1635" s="2" t="s">
        <v>2918</v>
      </c>
      <c r="F1635" s="2" t="s">
        <v>14</v>
      </c>
      <c r="G1635" s="2" t="s">
        <v>15</v>
      </c>
      <c r="H1635" s="2">
        <v>30000000</v>
      </c>
      <c r="I1635" s="2">
        <v>7.3</v>
      </c>
      <c r="J1635" s="2">
        <f t="shared" si="12"/>
        <v>21475962</v>
      </c>
      <c r="K1635" s="2">
        <f t="shared" si="13"/>
        <v>-2.0437711894408531E-2</v>
      </c>
      <c r="L1635" s="2" t="str">
        <f>IF(ISNUMBER(SEARCH("|",IMDB_Movies!$D1635)),LEFT(IMDB_Movies!$D1635,SEARCH("|",IMDB_Movies!$D1635)-1),IMDB_Movies!$D1635)</f>
        <v>Mystery</v>
      </c>
      <c r="V1635" s="2"/>
      <c r="W1635" s="2"/>
    </row>
    <row r="1636" spans="1:23" ht="12.5" x14ac:dyDescent="0.25">
      <c r="A1636" s="2" t="s">
        <v>264</v>
      </c>
      <c r="B1636" s="2">
        <v>105</v>
      </c>
      <c r="C1636" s="2">
        <v>63910583</v>
      </c>
      <c r="D1636" s="2" t="s">
        <v>600</v>
      </c>
      <c r="E1636" s="2" t="s">
        <v>2919</v>
      </c>
      <c r="F1636" s="2" t="s">
        <v>14</v>
      </c>
      <c r="G1636" s="2" t="s">
        <v>15</v>
      </c>
      <c r="H1636" s="2">
        <v>28000000</v>
      </c>
      <c r="I1636" s="2">
        <v>6.6</v>
      </c>
      <c r="J1636" s="2">
        <f t="shared" si="12"/>
        <v>35910583</v>
      </c>
      <c r="K1636" s="2">
        <f t="shared" si="13"/>
        <v>-2.0445758186607214E-2</v>
      </c>
      <c r="L1636" s="2" t="str">
        <f>IF(ISNUMBER(SEARCH("|",IMDB_Movies!$D1636)),LEFT(IMDB_Movies!$D1636,SEARCH("|",IMDB_Movies!$D1636)-1),IMDB_Movies!$D1636)</f>
        <v>Comedy</v>
      </c>
      <c r="V1636" s="2"/>
      <c r="W1636" s="2"/>
    </row>
    <row r="1637" spans="1:23" ht="12.5" x14ac:dyDescent="0.25">
      <c r="A1637" s="2" t="s">
        <v>2064</v>
      </c>
      <c r="B1637" s="2">
        <v>127</v>
      </c>
      <c r="C1637" s="2">
        <v>62300000</v>
      </c>
      <c r="D1637" s="2" t="s">
        <v>20</v>
      </c>
      <c r="E1637" s="2" t="s">
        <v>2920</v>
      </c>
      <c r="F1637" s="2" t="s">
        <v>14</v>
      </c>
      <c r="G1637" s="2" t="s">
        <v>22</v>
      </c>
      <c r="H1637" s="2">
        <v>28000000</v>
      </c>
      <c r="I1637" s="2">
        <v>6.8</v>
      </c>
      <c r="J1637" s="2">
        <f t="shared" si="12"/>
        <v>34300000</v>
      </c>
      <c r="K1637" s="2">
        <f t="shared" si="13"/>
        <v>-2.0455794386758146E-2</v>
      </c>
      <c r="L1637" s="2" t="str">
        <f>IF(ISNUMBER(SEARCH("|",IMDB_Movies!$D1637)),LEFT(IMDB_Movies!$D1637,SEARCH("|",IMDB_Movies!$D1637)-1),IMDB_Movies!$D1637)</f>
        <v>Action</v>
      </c>
      <c r="V1637" s="2"/>
      <c r="W1637" s="2"/>
    </row>
    <row r="1638" spans="1:23" ht="12.5" x14ac:dyDescent="0.25">
      <c r="A1638" s="2" t="s">
        <v>599</v>
      </c>
      <c r="B1638" s="2">
        <v>82</v>
      </c>
      <c r="C1638" s="2">
        <v>49968653</v>
      </c>
      <c r="D1638" s="2" t="s">
        <v>600</v>
      </c>
      <c r="E1638" s="2" t="s">
        <v>2921</v>
      </c>
      <c r="F1638" s="2" t="s">
        <v>14</v>
      </c>
      <c r="G1638" s="2" t="s">
        <v>15</v>
      </c>
      <c r="H1638" s="2">
        <v>28000000</v>
      </c>
      <c r="I1638" s="2">
        <v>6.9</v>
      </c>
      <c r="J1638" s="2">
        <f t="shared" si="12"/>
        <v>21968653</v>
      </c>
      <c r="K1638" s="2">
        <f t="shared" si="13"/>
        <v>-2.0465217608760754E-2</v>
      </c>
      <c r="L1638" s="2" t="str">
        <f>IF(ISNUMBER(SEARCH("|",IMDB_Movies!$D1638)),LEFT(IMDB_Movies!$D1638,SEARCH("|",IMDB_Movies!$D1638)-1),IMDB_Movies!$D1638)</f>
        <v>Comedy</v>
      </c>
      <c r="V1638" s="2"/>
      <c r="W1638" s="2"/>
    </row>
    <row r="1639" spans="1:23" ht="12.5" x14ac:dyDescent="0.25">
      <c r="A1639" s="2" t="s">
        <v>649</v>
      </c>
      <c r="B1639" s="2">
        <v>99</v>
      </c>
      <c r="C1639" s="2">
        <v>44450000</v>
      </c>
      <c r="D1639" s="2" t="s">
        <v>509</v>
      </c>
      <c r="E1639" s="2" t="s">
        <v>2922</v>
      </c>
      <c r="F1639" s="2" t="s">
        <v>14</v>
      </c>
      <c r="G1639" s="2" t="s">
        <v>104</v>
      </c>
      <c r="H1639" s="2">
        <v>27000000</v>
      </c>
      <c r="I1639" s="2">
        <v>5.8</v>
      </c>
      <c r="J1639" s="2">
        <f t="shared" si="12"/>
        <v>17450000</v>
      </c>
      <c r="K1639" s="2">
        <f t="shared" si="13"/>
        <v>-2.0470453901210345E-2</v>
      </c>
      <c r="L1639" s="2" t="str">
        <f>IF(ISNUMBER(SEARCH("|",IMDB_Movies!$D1639)),LEFT(IMDB_Movies!$D1639,SEARCH("|",IMDB_Movies!$D1639)-1),IMDB_Movies!$D1639)</f>
        <v>Action</v>
      </c>
      <c r="V1639" s="2"/>
      <c r="W1639" s="2"/>
    </row>
    <row r="1640" spans="1:23" ht="12.5" x14ac:dyDescent="0.25">
      <c r="A1640" s="2" t="s">
        <v>758</v>
      </c>
      <c r="B1640" s="2">
        <v>90</v>
      </c>
      <c r="C1640" s="2">
        <v>45162741</v>
      </c>
      <c r="D1640" s="2" t="s">
        <v>709</v>
      </c>
      <c r="E1640" s="2" t="s">
        <v>2923</v>
      </c>
      <c r="F1640" s="2" t="s">
        <v>14</v>
      </c>
      <c r="G1640" s="2" t="s">
        <v>287</v>
      </c>
      <c r="H1640" s="2">
        <v>28000000</v>
      </c>
      <c r="I1640" s="2">
        <v>6.6</v>
      </c>
      <c r="J1640" s="2">
        <f t="shared" si="12"/>
        <v>17162741</v>
      </c>
      <c r="K1640" s="2">
        <f t="shared" si="13"/>
        <v>-2.0473282571449685E-2</v>
      </c>
      <c r="L1640" s="2" t="str">
        <f>IF(ISNUMBER(SEARCH("|",IMDB_Movies!$D1640)),LEFT(IMDB_Movies!$D1640,SEARCH("|",IMDB_Movies!$D1640)-1),IMDB_Movies!$D1640)</f>
        <v>Comedy</v>
      </c>
      <c r="V1640" s="2"/>
      <c r="W1640" s="2"/>
    </row>
    <row r="1641" spans="1:23" ht="12.5" x14ac:dyDescent="0.25">
      <c r="A1641" s="2" t="s">
        <v>2527</v>
      </c>
      <c r="B1641" s="2">
        <v>115</v>
      </c>
      <c r="C1641" s="2">
        <v>71346930</v>
      </c>
      <c r="D1641" s="2" t="s">
        <v>2924</v>
      </c>
      <c r="E1641" s="2" t="s">
        <v>2925</v>
      </c>
      <c r="F1641" s="2" t="s">
        <v>14</v>
      </c>
      <c r="G1641" s="2" t="s">
        <v>15</v>
      </c>
      <c r="H1641" s="2">
        <v>28000000</v>
      </c>
      <c r="I1641" s="2">
        <v>6.7</v>
      </c>
      <c r="J1641" s="2">
        <f t="shared" si="12"/>
        <v>43346930</v>
      </c>
      <c r="K1641" s="2">
        <f t="shared" si="13"/>
        <v>-2.0477189094654846E-2</v>
      </c>
      <c r="L1641" s="2" t="str">
        <f>IF(ISNUMBER(SEARCH("|",IMDB_Movies!$D1641)),LEFT(IMDB_Movies!$D1641,SEARCH("|",IMDB_Movies!$D1641)-1),IMDB_Movies!$D1641)</f>
        <v>Drama</v>
      </c>
      <c r="V1641" s="2"/>
      <c r="W1641" s="2"/>
    </row>
    <row r="1642" spans="1:23" ht="12.5" x14ac:dyDescent="0.25">
      <c r="A1642" s="2" t="s">
        <v>1397</v>
      </c>
      <c r="B1642" s="2">
        <v>96</v>
      </c>
      <c r="C1642" s="2">
        <v>39514713</v>
      </c>
      <c r="D1642" s="2" t="s">
        <v>204</v>
      </c>
      <c r="E1642" s="2" t="s">
        <v>2926</v>
      </c>
      <c r="F1642" s="2" t="s">
        <v>14</v>
      </c>
      <c r="G1642" s="2" t="s">
        <v>15</v>
      </c>
      <c r="H1642" s="2">
        <v>28000000</v>
      </c>
      <c r="I1642" s="2">
        <v>6.7</v>
      </c>
      <c r="J1642" s="2">
        <f t="shared" si="12"/>
        <v>11514713</v>
      </c>
      <c r="K1642" s="2">
        <f t="shared" si="13"/>
        <v>-2.0490443534775318E-2</v>
      </c>
      <c r="L1642" s="2" t="str">
        <f>IF(ISNUMBER(SEARCH("|",IMDB_Movies!$D1642)),LEFT(IMDB_Movies!$D1642,SEARCH("|",IMDB_Movies!$D1642)-1),IMDB_Movies!$D1642)</f>
        <v>Comedy</v>
      </c>
      <c r="V1642" s="2"/>
      <c r="W1642" s="2"/>
    </row>
    <row r="1643" spans="1:23" ht="12.5" x14ac:dyDescent="0.25">
      <c r="A1643" s="2" t="s">
        <v>2400</v>
      </c>
      <c r="B1643" s="2">
        <v>104</v>
      </c>
      <c r="C1643" s="2">
        <v>43097652</v>
      </c>
      <c r="D1643" s="2" t="s">
        <v>514</v>
      </c>
      <c r="E1643" s="2" t="s">
        <v>2927</v>
      </c>
      <c r="F1643" s="2" t="s">
        <v>14</v>
      </c>
      <c r="G1643" s="2" t="s">
        <v>15</v>
      </c>
      <c r="H1643" s="2">
        <v>28000000</v>
      </c>
      <c r="I1643" s="2">
        <v>6.3</v>
      </c>
      <c r="J1643" s="2">
        <f t="shared" si="12"/>
        <v>15097652</v>
      </c>
      <c r="K1643" s="2">
        <f t="shared" si="13"/>
        <v>-2.0492999664912664E-2</v>
      </c>
      <c r="L1643" s="2" t="str">
        <f>IF(ISNUMBER(SEARCH("|",IMDB_Movies!$D1643)),LEFT(IMDB_Movies!$D1643,SEARCH("|",IMDB_Movies!$D1643)-1),IMDB_Movies!$D1643)</f>
        <v>Comedy</v>
      </c>
      <c r="V1643" s="2"/>
      <c r="W1643" s="2"/>
    </row>
    <row r="1644" spans="1:23" ht="12.5" x14ac:dyDescent="0.25">
      <c r="A1644" s="2" t="s">
        <v>258</v>
      </c>
      <c r="B1644" s="2">
        <v>117</v>
      </c>
      <c r="C1644" s="2">
        <v>48043505</v>
      </c>
      <c r="D1644" s="2" t="s">
        <v>768</v>
      </c>
      <c r="E1644" s="2" t="s">
        <v>2928</v>
      </c>
      <c r="F1644" s="2" t="s">
        <v>14</v>
      </c>
      <c r="G1644" s="2" t="s">
        <v>22</v>
      </c>
      <c r="H1644" s="2">
        <v>30000000</v>
      </c>
      <c r="I1644" s="2">
        <v>7.7</v>
      </c>
      <c r="J1644" s="2">
        <f t="shared" si="12"/>
        <v>18043505</v>
      </c>
      <c r="K1644" s="2">
        <f t="shared" si="13"/>
        <v>-2.0496397859482963E-2</v>
      </c>
      <c r="L1644" s="2" t="str">
        <f>IF(ISNUMBER(SEARCH("|",IMDB_Movies!$D1644)),LEFT(IMDB_Movies!$D1644,SEARCH("|",IMDB_Movies!$D1644)-1),IMDB_Movies!$D1644)</f>
        <v>Action</v>
      </c>
      <c r="V1644" s="2"/>
      <c r="W1644" s="2"/>
    </row>
    <row r="1645" spans="1:23" ht="12.5" x14ac:dyDescent="0.25">
      <c r="A1645" s="2" t="s">
        <v>1447</v>
      </c>
      <c r="B1645" s="2">
        <v>83</v>
      </c>
      <c r="C1645" s="2">
        <v>37053924</v>
      </c>
      <c r="D1645" s="2" t="s">
        <v>623</v>
      </c>
      <c r="E1645" s="2" t="s">
        <v>2929</v>
      </c>
      <c r="F1645" s="2" t="s">
        <v>14</v>
      </c>
      <c r="G1645" s="2" t="s">
        <v>287</v>
      </c>
      <c r="H1645" s="2">
        <v>28000000</v>
      </c>
      <c r="I1645" s="2">
        <v>6.1</v>
      </c>
      <c r="J1645" s="2">
        <f t="shared" si="12"/>
        <v>9053924</v>
      </c>
      <c r="K1645" s="2">
        <f t="shared" si="13"/>
        <v>-2.0503212066690202E-2</v>
      </c>
      <c r="L1645" s="2" t="str">
        <f>IF(ISNUMBER(SEARCH("|",IMDB_Movies!$D1645)),LEFT(IMDB_Movies!$D1645,SEARCH("|",IMDB_Movies!$D1645)-1),IMDB_Movies!$D1645)</f>
        <v>Action</v>
      </c>
      <c r="V1645" s="2"/>
      <c r="W1645" s="2"/>
    </row>
    <row r="1646" spans="1:23" ht="12.5" x14ac:dyDescent="0.25">
      <c r="A1646" s="2" t="s">
        <v>1860</v>
      </c>
      <c r="B1646" s="2">
        <v>99</v>
      </c>
      <c r="C1646" s="2">
        <v>33000377</v>
      </c>
      <c r="D1646" s="2" t="s">
        <v>2930</v>
      </c>
      <c r="E1646" s="2" t="s">
        <v>2931</v>
      </c>
      <c r="F1646" s="2" t="s">
        <v>14</v>
      </c>
      <c r="G1646" s="2" t="s">
        <v>15</v>
      </c>
      <c r="H1646" s="2">
        <v>28000000</v>
      </c>
      <c r="I1646" s="2">
        <v>4.9000000000000004</v>
      </c>
      <c r="J1646" s="2">
        <f t="shared" si="12"/>
        <v>5000377</v>
      </c>
      <c r="K1646" s="2">
        <f t="shared" si="13"/>
        <v>-2.0505255075981721E-2</v>
      </c>
      <c r="L1646" s="2" t="str">
        <f>IF(ISNUMBER(SEARCH("|",IMDB_Movies!$D1646)),LEFT(IMDB_Movies!$D1646,SEARCH("|",IMDB_Movies!$D1646)-1),IMDB_Movies!$D1646)</f>
        <v>Action</v>
      </c>
      <c r="V1646" s="2"/>
      <c r="W1646" s="2"/>
    </row>
    <row r="1647" spans="1:23" ht="12.5" x14ac:dyDescent="0.25">
      <c r="A1647" s="2" t="s">
        <v>2932</v>
      </c>
      <c r="B1647" s="2">
        <v>81</v>
      </c>
      <c r="C1647" s="2">
        <v>66950483</v>
      </c>
      <c r="D1647" s="2" t="s">
        <v>1058</v>
      </c>
      <c r="E1647" s="2" t="s">
        <v>2933</v>
      </c>
      <c r="F1647" s="2" t="s">
        <v>14</v>
      </c>
      <c r="G1647" s="2" t="s">
        <v>15</v>
      </c>
      <c r="H1647" s="2">
        <v>28000000</v>
      </c>
      <c r="I1647" s="2">
        <v>6.2</v>
      </c>
      <c r="J1647" s="2">
        <f t="shared" si="12"/>
        <v>38950483</v>
      </c>
      <c r="K1647" s="2">
        <f t="shared" si="13"/>
        <v>-2.0506533480715464E-2</v>
      </c>
      <c r="L1647" s="2" t="str">
        <f>IF(ISNUMBER(SEARCH("|",IMDB_Movies!$D1647)),LEFT(IMDB_Movies!$D1647,SEARCH("|",IMDB_Movies!$D1647)-1),IMDB_Movies!$D1647)</f>
        <v>Comedy</v>
      </c>
      <c r="V1647" s="2"/>
      <c r="W1647" s="2"/>
    </row>
    <row r="1648" spans="1:23" ht="12.5" x14ac:dyDescent="0.25">
      <c r="A1648" s="2" t="s">
        <v>348</v>
      </c>
      <c r="B1648" s="2">
        <v>135</v>
      </c>
      <c r="C1648" s="2">
        <v>38372662</v>
      </c>
      <c r="D1648" s="2" t="s">
        <v>85</v>
      </c>
      <c r="E1648" s="2" t="s">
        <v>2934</v>
      </c>
      <c r="F1648" s="2" t="s">
        <v>14</v>
      </c>
      <c r="G1648" s="2" t="s">
        <v>686</v>
      </c>
      <c r="H1648" s="2">
        <v>28000000</v>
      </c>
      <c r="I1648" s="2">
        <v>7.8</v>
      </c>
      <c r="J1648" s="2">
        <f t="shared" si="12"/>
        <v>10372662</v>
      </c>
      <c r="K1648" s="2">
        <f t="shared" si="13"/>
        <v>-2.0517932116177681E-2</v>
      </c>
      <c r="L1648" s="2" t="str">
        <f>IF(ISNUMBER(SEARCH("|",IMDB_Movies!$D1648)),LEFT(IMDB_Movies!$D1648,SEARCH("|",IMDB_Movies!$D1648)-1),IMDB_Movies!$D1648)</f>
        <v>Drama</v>
      </c>
      <c r="V1648" s="2"/>
      <c r="W1648" s="2"/>
    </row>
    <row r="1649" spans="1:23" ht="12.5" x14ac:dyDescent="0.25">
      <c r="A1649" s="2" t="s">
        <v>76</v>
      </c>
      <c r="B1649" s="2">
        <v>117</v>
      </c>
      <c r="C1649" s="2">
        <v>27000000</v>
      </c>
      <c r="D1649" s="2" t="s">
        <v>1025</v>
      </c>
      <c r="E1649" s="2" t="s">
        <v>2935</v>
      </c>
      <c r="F1649" s="2" t="s">
        <v>14</v>
      </c>
      <c r="G1649" s="2" t="s">
        <v>15</v>
      </c>
      <c r="H1649" s="2">
        <v>28000000</v>
      </c>
      <c r="I1649" s="2">
        <v>8.1999999999999993</v>
      </c>
      <c r="J1649" s="2">
        <f t="shared" si="12"/>
        <v>-1000000</v>
      </c>
      <c r="K1649" s="2">
        <f t="shared" si="13"/>
        <v>-2.0520260541959344E-2</v>
      </c>
      <c r="L1649" s="2" t="str">
        <f>IF(ISNUMBER(SEARCH("|",IMDB_Movies!$D1649)),LEFT(IMDB_Movies!$D1649,SEARCH("|",IMDB_Movies!$D1649)-1),IMDB_Movies!$D1649)</f>
        <v>Sci-Fi</v>
      </c>
      <c r="V1649" s="2"/>
      <c r="W1649" s="2"/>
    </row>
    <row r="1650" spans="1:23" ht="12.5" x14ac:dyDescent="0.25">
      <c r="A1650" s="2" t="s">
        <v>1219</v>
      </c>
      <c r="B1650" s="2">
        <v>139</v>
      </c>
      <c r="C1650" s="2">
        <v>31600000</v>
      </c>
      <c r="D1650" s="2" t="s">
        <v>2936</v>
      </c>
      <c r="E1650" s="2" t="s">
        <v>2937</v>
      </c>
      <c r="F1650" s="2" t="s">
        <v>14</v>
      </c>
      <c r="G1650" s="2" t="s">
        <v>15</v>
      </c>
      <c r="H1650" s="2">
        <v>28000000</v>
      </c>
      <c r="I1650" s="2">
        <v>6.9</v>
      </c>
      <c r="J1650" s="2">
        <f t="shared" si="12"/>
        <v>3600000</v>
      </c>
      <c r="K1650" s="2">
        <f t="shared" si="13"/>
        <v>-2.0520628174252226E-2</v>
      </c>
      <c r="L1650" s="2" t="str">
        <f>IF(ISNUMBER(SEARCH("|",IMDB_Movies!$D1650)),LEFT(IMDB_Movies!$D1650,SEARCH("|",IMDB_Movies!$D1650)-1),IMDB_Movies!$D1650)</f>
        <v>Adventure</v>
      </c>
      <c r="V1650" s="2"/>
      <c r="W1650" s="2"/>
    </row>
    <row r="1651" spans="1:23" ht="12.5" x14ac:dyDescent="0.25">
      <c r="A1651" s="2" t="s">
        <v>122</v>
      </c>
      <c r="B1651" s="2">
        <v>123</v>
      </c>
      <c r="C1651" s="2">
        <v>30688364</v>
      </c>
      <c r="D1651" s="2" t="s">
        <v>342</v>
      </c>
      <c r="E1651" s="2" t="s">
        <v>2938</v>
      </c>
      <c r="F1651" s="2" t="s">
        <v>14</v>
      </c>
      <c r="G1651" s="2" t="s">
        <v>15</v>
      </c>
      <c r="H1651" s="2">
        <v>28000000</v>
      </c>
      <c r="I1651" s="2">
        <v>6.2</v>
      </c>
      <c r="J1651" s="2">
        <f t="shared" si="12"/>
        <v>2688364</v>
      </c>
      <c r="K1651" s="2">
        <f t="shared" si="13"/>
        <v>-2.0521677036865815E-2</v>
      </c>
      <c r="L1651" s="2" t="str">
        <f>IF(ISNUMBER(SEARCH("|",IMDB_Movies!$D1651)),LEFT(IMDB_Movies!$D1651,SEARCH("|",IMDB_Movies!$D1651)-1),IMDB_Movies!$D1651)</f>
        <v>Action</v>
      </c>
      <c r="V1651" s="2"/>
      <c r="W1651" s="2"/>
    </row>
    <row r="1652" spans="1:23" ht="12.5" x14ac:dyDescent="0.25">
      <c r="A1652" s="2" t="s">
        <v>2939</v>
      </c>
      <c r="B1652" s="2">
        <v>117</v>
      </c>
      <c r="C1652" s="2">
        <v>28563179</v>
      </c>
      <c r="D1652" s="2" t="s">
        <v>763</v>
      </c>
      <c r="E1652" s="2" t="s">
        <v>2940</v>
      </c>
      <c r="F1652" s="2" t="s">
        <v>14</v>
      </c>
      <c r="G1652" s="2" t="s">
        <v>15</v>
      </c>
      <c r="H1652" s="2">
        <v>21000000</v>
      </c>
      <c r="I1652" s="2">
        <v>6.9</v>
      </c>
      <c r="J1652" s="2">
        <f t="shared" si="12"/>
        <v>7563179</v>
      </c>
      <c r="K1652" s="2">
        <f t="shared" si="13"/>
        <v>-2.0522579646962039E-2</v>
      </c>
      <c r="L1652" s="2" t="str">
        <f>IF(ISNUMBER(SEARCH("|",IMDB_Movies!$D1652)),LEFT(IMDB_Movies!$D1652,SEARCH("|",IMDB_Movies!$D1652)-1),IMDB_Movies!$D1652)</f>
        <v>Crime</v>
      </c>
      <c r="V1652" s="2"/>
      <c r="W1652" s="2"/>
    </row>
    <row r="1653" spans="1:23" ht="12.5" x14ac:dyDescent="0.25">
      <c r="A1653" s="2" t="s">
        <v>2941</v>
      </c>
      <c r="B1653" s="2">
        <v>97</v>
      </c>
      <c r="C1653" s="2">
        <v>16779636</v>
      </c>
      <c r="D1653" s="2" t="s">
        <v>1507</v>
      </c>
      <c r="E1653" s="2" t="s">
        <v>2942</v>
      </c>
      <c r="F1653" s="2" t="s">
        <v>14</v>
      </c>
      <c r="G1653" s="2" t="s">
        <v>15</v>
      </c>
      <c r="H1653" s="2">
        <v>28000000</v>
      </c>
      <c r="I1653" s="2">
        <v>4.8</v>
      </c>
      <c r="J1653" s="2">
        <f t="shared" si="12"/>
        <v>-11220364</v>
      </c>
      <c r="K1653" s="2">
        <f t="shared" si="13"/>
        <v>-2.0521749384913579E-2</v>
      </c>
      <c r="L1653" s="2" t="str">
        <f>IF(ISNUMBER(SEARCH("|",IMDB_Movies!$D1653)),LEFT(IMDB_Movies!$D1653,SEARCH("|",IMDB_Movies!$D1653)-1),IMDB_Movies!$D1653)</f>
        <v>Drama</v>
      </c>
      <c r="V1653" s="2"/>
      <c r="W1653" s="2"/>
    </row>
    <row r="1654" spans="1:23" ht="12.5" x14ac:dyDescent="0.25">
      <c r="A1654" s="2" t="s">
        <v>1003</v>
      </c>
      <c r="B1654" s="2">
        <v>81</v>
      </c>
      <c r="C1654" s="2">
        <v>10762178</v>
      </c>
      <c r="D1654" s="2" t="s">
        <v>2943</v>
      </c>
      <c r="E1654" s="2" t="s">
        <v>2944</v>
      </c>
      <c r="F1654" s="2" t="s">
        <v>14</v>
      </c>
      <c r="G1654" s="2" t="s">
        <v>686</v>
      </c>
      <c r="H1654" s="2">
        <v>160000000</v>
      </c>
      <c r="I1654" s="2">
        <v>8</v>
      </c>
      <c r="J1654" s="2">
        <f t="shared" si="12"/>
        <v>-149237822</v>
      </c>
      <c r="K1654" s="2">
        <f t="shared" si="13"/>
        <v>-2.0521156537742224E-2</v>
      </c>
      <c r="L1654" s="2" t="str">
        <f>IF(ISNUMBER(SEARCH("|",IMDB_Movies!$D1654)),LEFT(IMDB_Movies!$D1654,SEARCH("|",IMDB_Movies!$D1654)-1),IMDB_Movies!$D1654)</f>
        <v>Documentary</v>
      </c>
      <c r="V1654" s="2"/>
      <c r="W1654" s="2"/>
    </row>
    <row r="1655" spans="1:23" ht="12.5" x14ac:dyDescent="0.25">
      <c r="A1655" s="2" t="s">
        <v>1456</v>
      </c>
      <c r="B1655" s="2">
        <v>103</v>
      </c>
      <c r="C1655" s="2">
        <v>17324744</v>
      </c>
      <c r="D1655" s="2" t="s">
        <v>1256</v>
      </c>
      <c r="E1655" s="2" t="s">
        <v>2945</v>
      </c>
      <c r="F1655" s="2" t="s">
        <v>14</v>
      </c>
      <c r="G1655" s="2" t="s">
        <v>15</v>
      </c>
      <c r="H1655" s="2">
        <v>28000000</v>
      </c>
      <c r="I1655" s="2">
        <v>5.3</v>
      </c>
      <c r="J1655" s="2">
        <f t="shared" si="12"/>
        <v>-10675256</v>
      </c>
      <c r="K1655" s="2">
        <f t="shared" si="13"/>
        <v>-2.0445462135662625E-2</v>
      </c>
      <c r="L1655" s="2" t="str">
        <f>IF(ISNUMBER(SEARCH("|",IMDB_Movies!$D1655)),LEFT(IMDB_Movies!$D1655,SEARCH("|",IMDB_Movies!$D1655)-1),IMDB_Movies!$D1655)</f>
        <v>Comedy</v>
      </c>
      <c r="V1655" s="2"/>
      <c r="W1655" s="2"/>
    </row>
    <row r="1656" spans="1:23" ht="12.5" x14ac:dyDescent="0.25">
      <c r="A1656" s="2" t="s">
        <v>708</v>
      </c>
      <c r="B1656" s="2">
        <v>119</v>
      </c>
      <c r="C1656" s="2">
        <v>8888143</v>
      </c>
      <c r="D1656" s="2" t="s">
        <v>2108</v>
      </c>
      <c r="E1656" s="2" t="s">
        <v>2946</v>
      </c>
      <c r="F1656" s="2" t="s">
        <v>14</v>
      </c>
      <c r="G1656" s="2" t="s">
        <v>104</v>
      </c>
      <c r="H1656" s="2">
        <v>28000000</v>
      </c>
      <c r="I1656" s="2">
        <v>6.7</v>
      </c>
      <c r="J1656" s="2">
        <f t="shared" si="12"/>
        <v>-19111857</v>
      </c>
      <c r="K1656" s="2">
        <f t="shared" si="13"/>
        <v>-2.0444881642863059E-2</v>
      </c>
      <c r="L1656" s="2" t="str">
        <f>IF(ISNUMBER(SEARCH("|",IMDB_Movies!$D1656)),LEFT(IMDB_Movies!$D1656,SEARCH("|",IMDB_Movies!$D1656)-1),IMDB_Movies!$D1656)</f>
        <v>Comedy</v>
      </c>
      <c r="V1656" s="2"/>
      <c r="W1656" s="2"/>
    </row>
    <row r="1657" spans="1:23" ht="12.5" x14ac:dyDescent="0.25">
      <c r="A1657" s="2" t="s">
        <v>1411</v>
      </c>
      <c r="B1657" s="2">
        <v>94</v>
      </c>
      <c r="C1657" s="2">
        <v>24268828</v>
      </c>
      <c r="D1657" s="2" t="s">
        <v>2947</v>
      </c>
      <c r="E1657" s="2" t="s">
        <v>2948</v>
      </c>
      <c r="F1657" s="2" t="s">
        <v>14</v>
      </c>
      <c r="G1657" s="2" t="s">
        <v>15</v>
      </c>
      <c r="H1657" s="2">
        <v>28000000</v>
      </c>
      <c r="I1657" s="2">
        <v>5.4</v>
      </c>
      <c r="J1657" s="2">
        <f t="shared" si="12"/>
        <v>-3731172</v>
      </c>
      <c r="K1657" s="2">
        <f t="shared" si="13"/>
        <v>-2.0444020303274996E-2</v>
      </c>
      <c r="L1657" s="2" t="str">
        <f>IF(ISNUMBER(SEARCH("|",IMDB_Movies!$D1657)),LEFT(IMDB_Movies!$D1657,SEARCH("|",IMDB_Movies!$D1657)-1),IMDB_Movies!$D1657)</f>
        <v>Action</v>
      </c>
      <c r="V1657" s="2"/>
      <c r="W1657" s="2"/>
    </row>
    <row r="1658" spans="1:23" ht="12.5" x14ac:dyDescent="0.25">
      <c r="A1658" s="2" t="s">
        <v>2949</v>
      </c>
      <c r="B1658" s="2">
        <v>89</v>
      </c>
      <c r="C1658" s="2">
        <v>8119205</v>
      </c>
      <c r="D1658" s="2" t="s">
        <v>204</v>
      </c>
      <c r="E1658" s="2" t="s">
        <v>2950</v>
      </c>
      <c r="F1658" s="2" t="s">
        <v>14</v>
      </c>
      <c r="G1658" s="2" t="s">
        <v>15</v>
      </c>
      <c r="H1658" s="2">
        <v>28000000</v>
      </c>
      <c r="I1658" s="2">
        <v>5.4</v>
      </c>
      <c r="J1658" s="2">
        <f t="shared" si="12"/>
        <v>-19880795</v>
      </c>
      <c r="K1658" s="2">
        <f t="shared" si="13"/>
        <v>-2.0444056679591104E-2</v>
      </c>
      <c r="L1658" s="2" t="str">
        <f>IF(ISNUMBER(SEARCH("|",IMDB_Movies!$D1658)),LEFT(IMDB_Movies!$D1658,SEARCH("|",IMDB_Movies!$D1658)-1),IMDB_Movies!$D1658)</f>
        <v>Comedy</v>
      </c>
      <c r="V1658" s="2"/>
      <c r="W1658" s="2"/>
    </row>
    <row r="1659" spans="1:23" ht="12.5" x14ac:dyDescent="0.25">
      <c r="A1659" s="2" t="s">
        <v>1818</v>
      </c>
      <c r="B1659" s="2">
        <v>98</v>
      </c>
      <c r="C1659" s="2">
        <v>8434601</v>
      </c>
      <c r="D1659" s="2" t="s">
        <v>1436</v>
      </c>
      <c r="E1659" s="2" t="s">
        <v>2951</v>
      </c>
      <c r="F1659" s="2" t="s">
        <v>14</v>
      </c>
      <c r="G1659" s="2" t="s">
        <v>15</v>
      </c>
      <c r="H1659" s="2">
        <v>28000000</v>
      </c>
      <c r="I1659" s="2">
        <v>4.9000000000000004</v>
      </c>
      <c r="J1659" s="2">
        <f t="shared" si="12"/>
        <v>-19565399</v>
      </c>
      <c r="K1659" s="2">
        <f t="shared" si="13"/>
        <v>-2.0443193799964211E-2</v>
      </c>
      <c r="L1659" s="2" t="str">
        <f>IF(ISNUMBER(SEARCH("|",IMDB_Movies!$D1659)),LEFT(IMDB_Movies!$D1659,SEARCH("|",IMDB_Movies!$D1659)-1),IMDB_Movies!$D1659)</f>
        <v>Action</v>
      </c>
      <c r="V1659" s="2"/>
      <c r="W1659" s="2"/>
    </row>
    <row r="1660" spans="1:23" ht="12.5" x14ac:dyDescent="0.25">
      <c r="A1660" s="2" t="s">
        <v>1834</v>
      </c>
      <c r="B1660" s="2">
        <v>107</v>
      </c>
      <c r="C1660" s="2">
        <v>6998324</v>
      </c>
      <c r="D1660" s="2" t="s">
        <v>891</v>
      </c>
      <c r="E1660" s="2" t="s">
        <v>2952</v>
      </c>
      <c r="F1660" s="2" t="s">
        <v>14</v>
      </c>
      <c r="G1660" s="2" t="s">
        <v>15</v>
      </c>
      <c r="H1660" s="2">
        <v>28000000</v>
      </c>
      <c r="I1660" s="2">
        <v>6.1</v>
      </c>
      <c r="J1660" s="2">
        <f t="shared" si="12"/>
        <v>-21001676</v>
      </c>
      <c r="K1660" s="2">
        <f t="shared" si="13"/>
        <v>-2.044232951454019E-2</v>
      </c>
      <c r="L1660" s="2" t="str">
        <f>IF(ISNUMBER(SEARCH("|",IMDB_Movies!$D1660)),LEFT(IMDB_Movies!$D1660,SEARCH("|",IMDB_Movies!$D1660)-1),IMDB_Movies!$D1660)</f>
        <v>Comedy</v>
      </c>
      <c r="V1660" s="2"/>
      <c r="W1660" s="2"/>
    </row>
    <row r="1661" spans="1:23" ht="12.5" x14ac:dyDescent="0.25">
      <c r="A1661" s="2" t="s">
        <v>2042</v>
      </c>
      <c r="B1661" s="2">
        <v>108</v>
      </c>
      <c r="C1661" s="2">
        <v>10907291</v>
      </c>
      <c r="D1661" s="2" t="s">
        <v>2953</v>
      </c>
      <c r="E1661" s="2" t="s">
        <v>2954</v>
      </c>
      <c r="F1661" s="2" t="s">
        <v>14</v>
      </c>
      <c r="G1661" s="2" t="s">
        <v>15</v>
      </c>
      <c r="H1661" s="2">
        <v>28000000</v>
      </c>
      <c r="I1661" s="2">
        <v>5.8</v>
      </c>
      <c r="J1661" s="2">
        <f t="shared" si="12"/>
        <v>-17092709</v>
      </c>
      <c r="K1661" s="2">
        <f t="shared" si="13"/>
        <v>-2.0441472765921193E-2</v>
      </c>
      <c r="L1661" s="2" t="str">
        <f>IF(ISNUMBER(SEARCH("|",IMDB_Movies!$D1661)),LEFT(IMDB_Movies!$D1661,SEARCH("|",IMDB_Movies!$D1661)-1),IMDB_Movies!$D1661)</f>
        <v>Action</v>
      </c>
      <c r="V1661" s="2"/>
      <c r="W1661" s="2"/>
    </row>
    <row r="1662" spans="1:23" ht="12.5" x14ac:dyDescent="0.25">
      <c r="A1662" s="2" t="s">
        <v>191</v>
      </c>
      <c r="B1662" s="2">
        <v>134</v>
      </c>
      <c r="C1662" s="2">
        <v>5532301</v>
      </c>
      <c r="D1662" s="2" t="s">
        <v>1125</v>
      </c>
      <c r="E1662" s="2" t="s">
        <v>2955</v>
      </c>
      <c r="F1662" s="2" t="s">
        <v>14</v>
      </c>
      <c r="G1662" s="2" t="s">
        <v>15</v>
      </c>
      <c r="H1662" s="2">
        <v>28000000</v>
      </c>
      <c r="I1662" s="2">
        <v>7</v>
      </c>
      <c r="J1662" s="2">
        <f t="shared" si="12"/>
        <v>-22467699</v>
      </c>
      <c r="K1662" s="2">
        <f t="shared" si="13"/>
        <v>-2.0440627407636587E-2</v>
      </c>
      <c r="L1662" s="2" t="str">
        <f>IF(ISNUMBER(SEARCH("|",IMDB_Movies!$D1662)),LEFT(IMDB_Movies!$D1662,SEARCH("|",IMDB_Movies!$D1662)-1),IMDB_Movies!$D1662)</f>
        <v>Biography</v>
      </c>
      <c r="V1662" s="2"/>
      <c r="W1662" s="2"/>
    </row>
    <row r="1663" spans="1:23" ht="12.5" x14ac:dyDescent="0.25">
      <c r="A1663" s="2" t="s">
        <v>2956</v>
      </c>
      <c r="B1663" s="2">
        <v>110</v>
      </c>
      <c r="C1663" s="2">
        <v>2775593</v>
      </c>
      <c r="D1663" s="2" t="s">
        <v>514</v>
      </c>
      <c r="E1663" s="2" t="s">
        <v>2957</v>
      </c>
      <c r="F1663" s="2" t="s">
        <v>14</v>
      </c>
      <c r="G1663" s="2" t="s">
        <v>22</v>
      </c>
      <c r="H1663" s="2">
        <v>27000000</v>
      </c>
      <c r="I1663" s="2">
        <v>6.5</v>
      </c>
      <c r="J1663" s="2">
        <f t="shared" si="12"/>
        <v>-24224407</v>
      </c>
      <c r="K1663" s="2">
        <f t="shared" si="13"/>
        <v>-2.0439792953015009E-2</v>
      </c>
      <c r="L1663" s="2" t="str">
        <f>IF(ISNUMBER(SEARCH("|",IMDB_Movies!$D1663)),LEFT(IMDB_Movies!$D1663,SEARCH("|",IMDB_Movies!$D1663)-1),IMDB_Movies!$D1663)</f>
        <v>Comedy</v>
      </c>
      <c r="V1663" s="2"/>
      <c r="W1663" s="2"/>
    </row>
    <row r="1664" spans="1:23" ht="12.5" x14ac:dyDescent="0.25">
      <c r="A1664" s="2" t="s">
        <v>2958</v>
      </c>
      <c r="B1664" s="2">
        <v>103</v>
      </c>
      <c r="C1664" s="2">
        <v>28751715</v>
      </c>
      <c r="D1664" s="2" t="s">
        <v>623</v>
      </c>
      <c r="E1664" s="2" t="s">
        <v>2959</v>
      </c>
      <c r="F1664" s="2" t="s">
        <v>14</v>
      </c>
      <c r="G1664" s="2" t="s">
        <v>15</v>
      </c>
      <c r="H1664" s="2">
        <v>28000000</v>
      </c>
      <c r="I1664" s="2">
        <v>6.6</v>
      </c>
      <c r="J1664" s="2">
        <f t="shared" si="12"/>
        <v>751715</v>
      </c>
      <c r="K1664" s="2">
        <f t="shared" si="13"/>
        <v>-2.0439971037350291E-2</v>
      </c>
      <c r="L1664" s="2" t="str">
        <f>IF(ISNUMBER(SEARCH("|",IMDB_Movies!$D1664)),LEFT(IMDB_Movies!$D1664,SEARCH("|",IMDB_Movies!$D1664)-1),IMDB_Movies!$D1664)</f>
        <v>Action</v>
      </c>
      <c r="V1664" s="2"/>
      <c r="W1664" s="2"/>
    </row>
    <row r="1665" spans="1:23" ht="12.5" x14ac:dyDescent="0.25">
      <c r="A1665" s="2" t="s">
        <v>2960</v>
      </c>
      <c r="B1665" s="2">
        <v>100</v>
      </c>
      <c r="C1665" s="2">
        <v>20285518</v>
      </c>
      <c r="D1665" s="2" t="s">
        <v>177</v>
      </c>
      <c r="E1665" s="2" t="s">
        <v>2961</v>
      </c>
      <c r="F1665" s="2" t="s">
        <v>14</v>
      </c>
      <c r="G1665" s="2" t="s">
        <v>686</v>
      </c>
      <c r="H1665" s="2">
        <v>28000000</v>
      </c>
      <c r="I1665" s="2">
        <v>5.7</v>
      </c>
      <c r="J1665" s="2">
        <f t="shared" si="12"/>
        <v>-7714482</v>
      </c>
      <c r="K1665" s="2">
        <f t="shared" si="13"/>
        <v>-2.0440587312738925E-2</v>
      </c>
      <c r="L1665" s="2" t="str">
        <f>IF(ISNUMBER(SEARCH("|",IMDB_Movies!$D1665)),LEFT(IMDB_Movies!$D1665,SEARCH("|",IMDB_Movies!$D1665)-1),IMDB_Movies!$D1665)</f>
        <v>Action</v>
      </c>
      <c r="V1665" s="2"/>
      <c r="W1665" s="2"/>
    </row>
    <row r="1666" spans="1:23" ht="12.5" x14ac:dyDescent="0.25">
      <c r="A1666" s="2" t="s">
        <v>2064</v>
      </c>
      <c r="B1666" s="2">
        <v>131</v>
      </c>
      <c r="C1666" s="2">
        <v>67900000</v>
      </c>
      <c r="D1666" s="2" t="s">
        <v>20</v>
      </c>
      <c r="E1666" s="2" t="s">
        <v>2962</v>
      </c>
      <c r="F1666" s="2" t="s">
        <v>14</v>
      </c>
      <c r="G1666" s="2" t="s">
        <v>22</v>
      </c>
      <c r="H1666" s="2">
        <v>27500000</v>
      </c>
      <c r="I1666" s="2">
        <v>6.6</v>
      </c>
      <c r="J1666" s="2">
        <f t="shared" si="12"/>
        <v>40400000</v>
      </c>
      <c r="K1666" s="2">
        <f t="shared" si="13"/>
        <v>-2.0440220820502775E-2</v>
      </c>
      <c r="L1666" s="2" t="str">
        <f>IF(ISNUMBER(SEARCH("|",IMDB_Movies!$D1666)),LEFT(IMDB_Movies!$D1666,SEARCH("|",IMDB_Movies!$D1666)-1),IMDB_Movies!$D1666)</f>
        <v>Action</v>
      </c>
      <c r="V1666" s="2"/>
      <c r="W1666" s="2"/>
    </row>
    <row r="1667" spans="1:23" ht="12.5" x14ac:dyDescent="0.25">
      <c r="A1667" s="2" t="s">
        <v>1117</v>
      </c>
      <c r="B1667" s="2">
        <v>133</v>
      </c>
      <c r="C1667" s="2">
        <v>148734225</v>
      </c>
      <c r="D1667" s="2" t="s">
        <v>600</v>
      </c>
      <c r="E1667" s="2" t="s">
        <v>2963</v>
      </c>
      <c r="F1667" s="2" t="s">
        <v>14</v>
      </c>
      <c r="G1667" s="2" t="s">
        <v>15</v>
      </c>
      <c r="H1667" s="2">
        <v>30000000</v>
      </c>
      <c r="I1667" s="2">
        <v>7</v>
      </c>
      <c r="J1667" s="2">
        <f t="shared" si="12"/>
        <v>118734225</v>
      </c>
      <c r="K1667" s="2">
        <f t="shared" si="13"/>
        <v>-2.0451199095388346E-2</v>
      </c>
      <c r="L1667" s="2" t="str">
        <f>IF(ISNUMBER(SEARCH("|",IMDB_Movies!$D1667)),LEFT(IMDB_Movies!$D1667,SEARCH("|",IMDB_Movies!$D1667)-1),IMDB_Movies!$D1667)</f>
        <v>Comedy</v>
      </c>
      <c r="V1667" s="2"/>
      <c r="W1667" s="2"/>
    </row>
    <row r="1668" spans="1:23" ht="12.5" x14ac:dyDescent="0.25">
      <c r="A1668" s="2" t="s">
        <v>2146</v>
      </c>
      <c r="B1668" s="2">
        <v>109</v>
      </c>
      <c r="C1668" s="2">
        <v>49185998</v>
      </c>
      <c r="D1668" s="2" t="s">
        <v>1180</v>
      </c>
      <c r="E1668" s="2" t="s">
        <v>2964</v>
      </c>
      <c r="F1668" s="2" t="s">
        <v>14</v>
      </c>
      <c r="G1668" s="2" t="s">
        <v>15</v>
      </c>
      <c r="H1668" s="2">
        <v>30000000</v>
      </c>
      <c r="I1668" s="2">
        <v>7.4</v>
      </c>
      <c r="J1668" s="2">
        <f t="shared" si="12"/>
        <v>19185998</v>
      </c>
      <c r="K1668" s="2">
        <f t="shared" si="13"/>
        <v>-2.0533004676641417E-2</v>
      </c>
      <c r="L1668" s="2" t="str">
        <f>IF(ISNUMBER(SEARCH("|",IMDB_Movies!$D1668)),LEFT(IMDB_Movies!$D1668,SEARCH("|",IMDB_Movies!$D1668)-1),IMDB_Movies!$D1668)</f>
        <v>Drama</v>
      </c>
      <c r="V1668" s="2"/>
      <c r="W1668" s="2"/>
    </row>
    <row r="1669" spans="1:23" ht="12.5" x14ac:dyDescent="0.25">
      <c r="A1669" s="2" t="s">
        <v>2965</v>
      </c>
      <c r="B1669" s="2">
        <v>114</v>
      </c>
      <c r="C1669" s="2">
        <v>42168445</v>
      </c>
      <c r="D1669" s="2" t="s">
        <v>514</v>
      </c>
      <c r="E1669" s="2" t="s">
        <v>2966</v>
      </c>
      <c r="F1669" s="2" t="s">
        <v>14</v>
      </c>
      <c r="G1669" s="2" t="s">
        <v>15</v>
      </c>
      <c r="H1669" s="2">
        <v>35000000</v>
      </c>
      <c r="I1669" s="2">
        <v>5.3</v>
      </c>
      <c r="J1669" s="2">
        <f t="shared" si="12"/>
        <v>7168445</v>
      </c>
      <c r="K1669" s="2">
        <f t="shared" si="13"/>
        <v>-2.0540415635519414E-2</v>
      </c>
      <c r="L1669" s="2" t="str">
        <f>IF(ISNUMBER(SEARCH("|",IMDB_Movies!$D1669)),LEFT(IMDB_Movies!$D1669,SEARCH("|",IMDB_Movies!$D1669)-1),IMDB_Movies!$D1669)</f>
        <v>Comedy</v>
      </c>
      <c r="V1669" s="2"/>
      <c r="W1669" s="2"/>
    </row>
    <row r="1670" spans="1:23" ht="12.5" x14ac:dyDescent="0.25">
      <c r="A1670" s="2" t="s">
        <v>2967</v>
      </c>
      <c r="B1670" s="2">
        <v>164</v>
      </c>
      <c r="C1670" s="2">
        <v>26400000</v>
      </c>
      <c r="D1670" s="2" t="s">
        <v>1264</v>
      </c>
      <c r="E1670" s="2" t="s">
        <v>2968</v>
      </c>
      <c r="F1670" s="2" t="s">
        <v>14</v>
      </c>
      <c r="G1670" s="2" t="s">
        <v>22</v>
      </c>
      <c r="H1670" s="2">
        <v>16000000</v>
      </c>
      <c r="I1670" s="2">
        <v>7.4</v>
      </c>
      <c r="J1670" s="2">
        <f t="shared" si="12"/>
        <v>10400000</v>
      </c>
      <c r="K1670" s="2">
        <f t="shared" si="13"/>
        <v>-2.0549309243224508E-2</v>
      </c>
      <c r="L1670" s="2" t="str">
        <f>IF(ISNUMBER(SEARCH("|",IMDB_Movies!$D1670)),LEFT(IMDB_Movies!$D1670,SEARCH("|",IMDB_Movies!$D1670)-1),IMDB_Movies!$D1670)</f>
        <v>Adventure</v>
      </c>
      <c r="V1670" s="2"/>
      <c r="W1670" s="2"/>
    </row>
    <row r="1671" spans="1:23" ht="12.5" x14ac:dyDescent="0.25">
      <c r="A1671" s="2" t="s">
        <v>2969</v>
      </c>
      <c r="B1671" s="2">
        <v>92</v>
      </c>
      <c r="C1671" s="2">
        <v>17508670</v>
      </c>
      <c r="D1671" s="2" t="s">
        <v>1791</v>
      </c>
      <c r="E1671" s="2" t="s">
        <v>2970</v>
      </c>
      <c r="F1671" s="2" t="s">
        <v>14</v>
      </c>
      <c r="G1671" s="2" t="s">
        <v>22</v>
      </c>
      <c r="H1671" s="2">
        <v>15000000</v>
      </c>
      <c r="I1671" s="2">
        <v>7.4</v>
      </c>
      <c r="J1671" s="2">
        <f t="shared" si="12"/>
        <v>2508670</v>
      </c>
      <c r="K1671" s="2">
        <f t="shared" si="13"/>
        <v>-2.0548304784287551E-2</v>
      </c>
      <c r="L1671" s="2" t="str">
        <f>IF(ISNUMBER(SEARCH("|",IMDB_Movies!$D1671)),LEFT(IMDB_Movies!$D1671,SEARCH("|",IMDB_Movies!$D1671)-1),IMDB_Movies!$D1671)</f>
        <v>Crime</v>
      </c>
      <c r="V1671" s="2"/>
      <c r="W1671" s="2"/>
    </row>
    <row r="1672" spans="1:23" ht="12.5" x14ac:dyDescent="0.25">
      <c r="A1672" s="2" t="s">
        <v>304</v>
      </c>
      <c r="B1672" s="2">
        <v>122</v>
      </c>
      <c r="C1672" s="2">
        <v>9664316</v>
      </c>
      <c r="D1672" s="2" t="s">
        <v>1400</v>
      </c>
      <c r="E1672" s="2" t="s">
        <v>2971</v>
      </c>
      <c r="F1672" s="2" t="s">
        <v>14</v>
      </c>
      <c r="G1672" s="2" t="s">
        <v>15</v>
      </c>
      <c r="H1672" s="2">
        <v>27500000</v>
      </c>
      <c r="I1672" s="2">
        <v>6.8</v>
      </c>
      <c r="J1672" s="2">
        <f t="shared" si="12"/>
        <v>-17835684</v>
      </c>
      <c r="K1672" s="2">
        <f t="shared" si="13"/>
        <v>-2.055137620591593E-2</v>
      </c>
      <c r="L1672" s="2" t="str">
        <f>IF(ISNUMBER(SEARCH("|",IMDB_Movies!$D1672)),LEFT(IMDB_Movies!$D1672,SEARCH("|",IMDB_Movies!$D1672)-1),IMDB_Movies!$D1672)</f>
        <v>Drama</v>
      </c>
      <c r="V1672" s="2"/>
      <c r="W1672" s="2"/>
    </row>
    <row r="1673" spans="1:23" ht="12.5" x14ac:dyDescent="0.25">
      <c r="A1673" s="2" t="s">
        <v>2972</v>
      </c>
      <c r="B1673" s="2">
        <v>110</v>
      </c>
      <c r="C1673" s="2">
        <v>74888996</v>
      </c>
      <c r="D1673" s="2" t="s">
        <v>90</v>
      </c>
      <c r="E1673" s="2" t="s">
        <v>2973</v>
      </c>
      <c r="F1673" s="2" t="s">
        <v>14</v>
      </c>
      <c r="G1673" s="2" t="s">
        <v>15</v>
      </c>
      <c r="H1673" s="2">
        <v>30000000</v>
      </c>
      <c r="I1673" s="2">
        <v>7.2</v>
      </c>
      <c r="J1673" s="2">
        <f t="shared" si="12"/>
        <v>44888996</v>
      </c>
      <c r="K1673" s="2">
        <f t="shared" si="13"/>
        <v>-2.0550827023085437E-2</v>
      </c>
      <c r="L1673" s="2" t="str">
        <f>IF(ISNUMBER(SEARCH("|",IMDB_Movies!$D1673)),LEFT(IMDB_Movies!$D1673,SEARCH("|",IMDB_Movies!$D1673)-1),IMDB_Movies!$D1673)</f>
        <v>Action</v>
      </c>
      <c r="V1673" s="2"/>
      <c r="W1673" s="2"/>
    </row>
    <row r="1674" spans="1:23" ht="12.5" x14ac:dyDescent="0.25">
      <c r="A1674" s="2" t="s">
        <v>2974</v>
      </c>
      <c r="B1674" s="2">
        <v>116</v>
      </c>
      <c r="C1674" s="2">
        <v>69586544</v>
      </c>
      <c r="D1674" s="2" t="s">
        <v>1180</v>
      </c>
      <c r="E1674" s="2" t="s">
        <v>2975</v>
      </c>
      <c r="F1674" s="2" t="s">
        <v>14</v>
      </c>
      <c r="G1674" s="2" t="s">
        <v>15</v>
      </c>
      <c r="H1674" s="2">
        <v>27000000</v>
      </c>
      <c r="I1674" s="2">
        <v>6</v>
      </c>
      <c r="J1674" s="2">
        <f t="shared" si="12"/>
        <v>42586544</v>
      </c>
      <c r="K1674" s="2">
        <f t="shared" si="13"/>
        <v>-2.0570609608077182E-2</v>
      </c>
      <c r="L1674" s="2" t="str">
        <f>IF(ISNUMBER(SEARCH("|",IMDB_Movies!$D1674)),LEFT(IMDB_Movies!$D1674,SEARCH("|",IMDB_Movies!$D1674)-1),IMDB_Movies!$D1674)</f>
        <v>Drama</v>
      </c>
      <c r="V1674" s="2"/>
      <c r="W1674" s="2"/>
    </row>
    <row r="1675" spans="1:23" ht="12.5" x14ac:dyDescent="0.25">
      <c r="A1675" s="2" t="s">
        <v>1754</v>
      </c>
      <c r="B1675" s="2">
        <v>115</v>
      </c>
      <c r="C1675" s="2">
        <v>60491560</v>
      </c>
      <c r="D1675" s="2" t="s">
        <v>770</v>
      </c>
      <c r="E1675" s="2" t="s">
        <v>2976</v>
      </c>
      <c r="F1675" s="2" t="s">
        <v>14</v>
      </c>
      <c r="G1675" s="2" t="s">
        <v>15</v>
      </c>
      <c r="H1675" s="2">
        <v>27000000</v>
      </c>
      <c r="I1675" s="2">
        <v>6.6</v>
      </c>
      <c r="J1675" s="2">
        <f t="shared" si="12"/>
        <v>33491560</v>
      </c>
      <c r="K1675" s="2">
        <f t="shared" si="13"/>
        <v>-2.0581465737779556E-2</v>
      </c>
      <c r="L1675" s="2" t="str">
        <f>IF(ISNUMBER(SEARCH("|",IMDB_Movies!$D1675)),LEFT(IMDB_Movies!$D1675,SEARCH("|",IMDB_Movies!$D1675)-1),IMDB_Movies!$D1675)</f>
        <v>Crime</v>
      </c>
      <c r="V1675" s="2"/>
      <c r="W1675" s="2"/>
    </row>
    <row r="1676" spans="1:23" ht="12.5" x14ac:dyDescent="0.25">
      <c r="A1676" s="2" t="s">
        <v>1781</v>
      </c>
      <c r="B1676" s="2">
        <v>148</v>
      </c>
      <c r="C1676" s="2">
        <v>54200000</v>
      </c>
      <c r="D1676" s="2" t="s">
        <v>2977</v>
      </c>
      <c r="E1676" s="2" t="s">
        <v>2978</v>
      </c>
      <c r="F1676" s="2" t="s">
        <v>14</v>
      </c>
      <c r="G1676" s="2" t="s">
        <v>15</v>
      </c>
      <c r="H1676" s="2">
        <v>27000000</v>
      </c>
      <c r="I1676" s="2">
        <v>7.9</v>
      </c>
      <c r="J1676" s="2">
        <f t="shared" si="12"/>
        <v>27200000</v>
      </c>
      <c r="K1676" s="2">
        <f t="shared" si="13"/>
        <v>-2.0588949715966854E-2</v>
      </c>
      <c r="L1676" s="2" t="str">
        <f>IF(ISNUMBER(SEARCH("|",IMDB_Movies!$D1676)),LEFT(IMDB_Movies!$D1676,SEARCH("|",IMDB_Movies!$D1676)-1),IMDB_Movies!$D1676)</f>
        <v>Action</v>
      </c>
      <c r="V1676" s="2"/>
      <c r="W1676" s="2"/>
    </row>
    <row r="1677" spans="1:23" ht="12.5" x14ac:dyDescent="0.25">
      <c r="A1677" s="2" t="s">
        <v>2979</v>
      </c>
      <c r="B1677" s="2">
        <v>118</v>
      </c>
      <c r="C1677" s="2">
        <v>30920167</v>
      </c>
      <c r="D1677" s="2" t="s">
        <v>2525</v>
      </c>
      <c r="E1677" s="2" t="s">
        <v>2980</v>
      </c>
      <c r="F1677" s="2" t="s">
        <v>14</v>
      </c>
      <c r="G1677" s="2" t="s">
        <v>15</v>
      </c>
      <c r="H1677" s="2">
        <v>25000000</v>
      </c>
      <c r="I1677" s="2">
        <v>5.7</v>
      </c>
      <c r="J1677" s="2">
        <f t="shared" si="12"/>
        <v>5920167</v>
      </c>
      <c r="K1677" s="2">
        <f t="shared" si="13"/>
        <v>-2.0594453437879152E-2</v>
      </c>
      <c r="L1677" s="2" t="str">
        <f>IF(ISNUMBER(SEARCH("|",IMDB_Movies!$D1677)),LEFT(IMDB_Movies!$D1677,SEARCH("|",IMDB_Movies!$D1677)-1),IMDB_Movies!$D1677)</f>
        <v>Comedy</v>
      </c>
      <c r="V1677" s="2"/>
      <c r="W1677" s="2"/>
    </row>
    <row r="1678" spans="1:23" ht="12.5" x14ac:dyDescent="0.25">
      <c r="A1678" s="2" t="s">
        <v>80</v>
      </c>
      <c r="B1678" s="2">
        <v>101</v>
      </c>
      <c r="C1678" s="2">
        <v>40566655</v>
      </c>
      <c r="D1678" s="2" t="s">
        <v>514</v>
      </c>
      <c r="E1678" s="2" t="s">
        <v>2981</v>
      </c>
      <c r="F1678" s="2" t="s">
        <v>14</v>
      </c>
      <c r="G1678" s="2" t="s">
        <v>22</v>
      </c>
      <c r="H1678" s="2">
        <v>30000000</v>
      </c>
      <c r="I1678" s="2">
        <v>7.1</v>
      </c>
      <c r="J1678" s="2">
        <f t="shared" si="12"/>
        <v>10566655</v>
      </c>
      <c r="K1678" s="2">
        <f t="shared" si="13"/>
        <v>-2.0594508530813824E-2</v>
      </c>
      <c r="L1678" s="2" t="str">
        <f>IF(ISNUMBER(SEARCH("|",IMDB_Movies!$D1678)),LEFT(IMDB_Movies!$D1678,SEARCH("|",IMDB_Movies!$D1678)-1),IMDB_Movies!$D1678)</f>
        <v>Comedy</v>
      </c>
      <c r="V1678" s="2"/>
      <c r="W1678" s="2"/>
    </row>
    <row r="1679" spans="1:23" ht="12.5" x14ac:dyDescent="0.25">
      <c r="A1679" s="2" t="s">
        <v>2356</v>
      </c>
      <c r="B1679" s="2">
        <v>82</v>
      </c>
      <c r="C1679" s="2">
        <v>31768374</v>
      </c>
      <c r="D1679" s="2" t="s">
        <v>2821</v>
      </c>
      <c r="E1679" s="2" t="s">
        <v>2982</v>
      </c>
      <c r="F1679" s="2" t="s">
        <v>14</v>
      </c>
      <c r="G1679" s="2" t="s">
        <v>15</v>
      </c>
      <c r="H1679" s="2">
        <v>27000000</v>
      </c>
      <c r="I1679" s="2">
        <v>5.6</v>
      </c>
      <c r="J1679" s="2">
        <f t="shared" si="12"/>
        <v>4768374</v>
      </c>
      <c r="K1679" s="2">
        <f t="shared" si="13"/>
        <v>-2.0598907865692451E-2</v>
      </c>
      <c r="L1679" s="2" t="str">
        <f>IF(ISNUMBER(SEARCH("|",IMDB_Movies!$D1679)),LEFT(IMDB_Movies!$D1679,SEARCH("|",IMDB_Movies!$D1679)-1),IMDB_Movies!$D1679)</f>
        <v>Action</v>
      </c>
      <c r="V1679" s="2"/>
      <c r="W1679" s="2"/>
    </row>
    <row r="1680" spans="1:23" ht="12.5" x14ac:dyDescent="0.25">
      <c r="A1680" s="2" t="s">
        <v>2033</v>
      </c>
      <c r="B1680" s="2">
        <v>110</v>
      </c>
      <c r="C1680" s="2">
        <v>22494487</v>
      </c>
      <c r="D1680" s="2" t="s">
        <v>770</v>
      </c>
      <c r="E1680" s="2" t="s">
        <v>2983</v>
      </c>
      <c r="F1680" s="2" t="s">
        <v>14</v>
      </c>
      <c r="G1680" s="2" t="s">
        <v>287</v>
      </c>
      <c r="H1680" s="2">
        <v>27000000</v>
      </c>
      <c r="I1680" s="2">
        <v>7.8</v>
      </c>
      <c r="J1680" s="2">
        <f t="shared" si="12"/>
        <v>-4505513</v>
      </c>
      <c r="K1680" s="2">
        <f t="shared" si="13"/>
        <v>-2.0599693339494601E-2</v>
      </c>
      <c r="L1680" s="2" t="str">
        <f>IF(ISNUMBER(SEARCH("|",IMDB_Movies!$D1680)),LEFT(IMDB_Movies!$D1680,SEARCH("|",IMDB_Movies!$D1680)-1),IMDB_Movies!$D1680)</f>
        <v>Crime</v>
      </c>
      <c r="V1680" s="2"/>
      <c r="W1680" s="2"/>
    </row>
    <row r="1681" spans="1:23" ht="12.5" x14ac:dyDescent="0.25">
      <c r="A1681" s="2" t="s">
        <v>2984</v>
      </c>
      <c r="B1681" s="2">
        <v>193</v>
      </c>
      <c r="C1681" s="2">
        <v>21500000</v>
      </c>
      <c r="D1681" s="2" t="s">
        <v>1264</v>
      </c>
      <c r="E1681" s="2" t="s">
        <v>2985</v>
      </c>
      <c r="F1681" s="2" t="s">
        <v>14</v>
      </c>
      <c r="G1681" s="2" t="s">
        <v>15</v>
      </c>
      <c r="H1681" s="2">
        <v>27000000</v>
      </c>
      <c r="I1681" s="2">
        <v>7.9</v>
      </c>
      <c r="J1681" s="2">
        <f t="shared" si="12"/>
        <v>-5500000</v>
      </c>
      <c r="K1681" s="2">
        <f t="shared" si="13"/>
        <v>-2.0599608333806741E-2</v>
      </c>
      <c r="L1681" s="2" t="str">
        <f>IF(ISNUMBER(SEARCH("|",IMDB_Movies!$D1681)),LEFT(IMDB_Movies!$D1681,SEARCH("|",IMDB_Movies!$D1681)-1),IMDB_Movies!$D1681)</f>
        <v>Adventure</v>
      </c>
      <c r="V1681" s="2"/>
      <c r="W1681" s="2"/>
    </row>
    <row r="1682" spans="1:23" ht="12.5" x14ac:dyDescent="0.25">
      <c r="A1682" s="2" t="s">
        <v>155</v>
      </c>
      <c r="B1682" s="2">
        <v>130</v>
      </c>
      <c r="C1682" s="2">
        <v>4463292</v>
      </c>
      <c r="D1682" s="2" t="s">
        <v>983</v>
      </c>
      <c r="E1682" s="2" t="s">
        <v>2986</v>
      </c>
      <c r="F1682" s="2" t="s">
        <v>14</v>
      </c>
      <c r="G1682" s="2" t="s">
        <v>22</v>
      </c>
      <c r="H1682" s="2">
        <v>30000000</v>
      </c>
      <c r="I1682" s="2">
        <v>6.9</v>
      </c>
      <c r="J1682" s="2">
        <f t="shared" si="12"/>
        <v>-25536708</v>
      </c>
      <c r="K1682" s="2">
        <f t="shared" si="13"/>
        <v>-2.0599467498672527E-2</v>
      </c>
      <c r="L1682" s="2" t="str">
        <f>IF(ISNUMBER(SEARCH("|",IMDB_Movies!$D1682)),LEFT(IMDB_Movies!$D1682,SEARCH("|",IMDB_Movies!$D1682)-1),IMDB_Movies!$D1682)</f>
        <v>Drama</v>
      </c>
      <c r="V1682" s="2"/>
      <c r="W1682" s="2"/>
    </row>
    <row r="1683" spans="1:23" ht="12.5" x14ac:dyDescent="0.25">
      <c r="A1683" s="2" t="s">
        <v>386</v>
      </c>
      <c r="B1683" s="2">
        <v>111</v>
      </c>
      <c r="C1683" s="2">
        <v>14337579</v>
      </c>
      <c r="D1683" s="2" t="s">
        <v>2987</v>
      </c>
      <c r="E1683" s="2" t="s">
        <v>2988</v>
      </c>
      <c r="F1683" s="2" t="s">
        <v>14</v>
      </c>
      <c r="G1683" s="2" t="s">
        <v>135</v>
      </c>
      <c r="H1683" s="2">
        <v>27000000</v>
      </c>
      <c r="I1683" s="2">
        <v>7.7</v>
      </c>
      <c r="J1683" s="2">
        <f t="shared" si="12"/>
        <v>-12662421</v>
      </c>
      <c r="K1683" s="2">
        <f t="shared" si="13"/>
        <v>-2.0596959658232224E-2</v>
      </c>
      <c r="L1683" s="2" t="str">
        <f>IF(ISNUMBER(SEARCH("|",IMDB_Movies!$D1683)),LEFT(IMDB_Movies!$D1683,SEARCH("|",IMDB_Movies!$D1683)-1),IMDB_Movies!$D1683)</f>
        <v>Action</v>
      </c>
      <c r="V1683" s="2"/>
      <c r="W1683" s="2"/>
    </row>
    <row r="1684" spans="1:23" ht="12.5" x14ac:dyDescent="0.25">
      <c r="A1684" s="2" t="s">
        <v>2989</v>
      </c>
      <c r="B1684" s="2">
        <v>110</v>
      </c>
      <c r="C1684" s="2">
        <v>13823741</v>
      </c>
      <c r="D1684" s="2" t="s">
        <v>2054</v>
      </c>
      <c r="E1684" s="2" t="s">
        <v>2990</v>
      </c>
      <c r="F1684" s="2" t="s">
        <v>14</v>
      </c>
      <c r="G1684" s="2" t="s">
        <v>22</v>
      </c>
      <c r="H1684" s="2">
        <v>13500000</v>
      </c>
      <c r="I1684" s="2">
        <v>6.9</v>
      </c>
      <c r="J1684" s="2">
        <f t="shared" si="12"/>
        <v>323741</v>
      </c>
      <c r="K1684" s="2">
        <f t="shared" si="13"/>
        <v>-2.0596631782687592E-2</v>
      </c>
      <c r="L1684" s="2" t="str">
        <f>IF(ISNUMBER(SEARCH("|",IMDB_Movies!$D1684)),LEFT(IMDB_Movies!$D1684,SEARCH("|",IMDB_Movies!$D1684)-1),IMDB_Movies!$D1684)</f>
        <v>Biography</v>
      </c>
      <c r="V1684" s="2"/>
      <c r="W1684" s="2"/>
    </row>
    <row r="1685" spans="1:23" ht="12.5" x14ac:dyDescent="0.25">
      <c r="A1685" s="2" t="s">
        <v>2991</v>
      </c>
      <c r="B1685" s="2">
        <v>123</v>
      </c>
      <c r="C1685" s="2">
        <v>10297897</v>
      </c>
      <c r="D1685" s="2" t="s">
        <v>2992</v>
      </c>
      <c r="E1685" s="2" t="s">
        <v>2993</v>
      </c>
      <c r="F1685" s="2" t="s">
        <v>14</v>
      </c>
      <c r="G1685" s="2" t="s">
        <v>15</v>
      </c>
      <c r="H1685" s="2">
        <v>27000000</v>
      </c>
      <c r="I1685" s="2">
        <v>6</v>
      </c>
      <c r="J1685" s="2">
        <f t="shared" si="12"/>
        <v>-16702103</v>
      </c>
      <c r="K1685" s="2">
        <f t="shared" si="13"/>
        <v>-2.0602237806051311E-2</v>
      </c>
      <c r="L1685" s="2" t="str">
        <f>IF(ISNUMBER(SEARCH("|",IMDB_Movies!$D1685)),LEFT(IMDB_Movies!$D1685,SEARCH("|",IMDB_Movies!$D1685)-1),IMDB_Movies!$D1685)</f>
        <v>Action</v>
      </c>
      <c r="V1685" s="2"/>
      <c r="W1685" s="2"/>
    </row>
    <row r="1686" spans="1:23" ht="12.5" x14ac:dyDescent="0.25">
      <c r="A1686" s="2" t="s">
        <v>2276</v>
      </c>
      <c r="B1686" s="2">
        <v>109</v>
      </c>
      <c r="C1686" s="2">
        <v>13248477</v>
      </c>
      <c r="D1686" s="2" t="s">
        <v>1050</v>
      </c>
      <c r="E1686" s="2" t="s">
        <v>2994</v>
      </c>
      <c r="F1686" s="2" t="s">
        <v>14</v>
      </c>
      <c r="G1686" s="2" t="s">
        <v>15</v>
      </c>
      <c r="H1686" s="2">
        <v>27000000</v>
      </c>
      <c r="I1686" s="2">
        <v>6.2</v>
      </c>
      <c r="J1686" s="2">
        <f t="shared" si="12"/>
        <v>-13751523</v>
      </c>
      <c r="K1686" s="2">
        <f t="shared" si="13"/>
        <v>-2.0601975401754801E-2</v>
      </c>
      <c r="L1686" s="2" t="str">
        <f>IF(ISNUMBER(SEARCH("|",IMDB_Movies!$D1686)),LEFT(IMDB_Movies!$D1686,SEARCH("|",IMDB_Movies!$D1686)-1),IMDB_Movies!$D1686)</f>
        <v>Horror</v>
      </c>
      <c r="V1686" s="2"/>
      <c r="W1686" s="2"/>
    </row>
    <row r="1687" spans="1:23" ht="12.5" x14ac:dyDescent="0.25">
      <c r="A1687" s="2" t="s">
        <v>2995</v>
      </c>
      <c r="B1687" s="2">
        <v>99</v>
      </c>
      <c r="C1687" s="2">
        <v>8712564</v>
      </c>
      <c r="D1687" s="2" t="s">
        <v>770</v>
      </c>
      <c r="E1687" s="2" t="s">
        <v>2996</v>
      </c>
      <c r="F1687" s="2" t="s">
        <v>14</v>
      </c>
      <c r="G1687" s="2" t="s">
        <v>15</v>
      </c>
      <c r="H1687" s="2">
        <v>27000000</v>
      </c>
      <c r="I1687" s="2">
        <v>5.9</v>
      </c>
      <c r="J1687" s="2">
        <f t="shared" si="12"/>
        <v>-18287436</v>
      </c>
      <c r="K1687" s="2">
        <f t="shared" si="13"/>
        <v>-2.0601654570574585E-2</v>
      </c>
      <c r="L1687" s="2" t="str">
        <f>IF(ISNUMBER(SEARCH("|",IMDB_Movies!$D1687)),LEFT(IMDB_Movies!$D1687,SEARCH("|",IMDB_Movies!$D1687)-1),IMDB_Movies!$D1687)</f>
        <v>Crime</v>
      </c>
      <c r="V1687" s="2"/>
      <c r="W1687" s="2"/>
    </row>
    <row r="1688" spans="1:23" ht="12.5" x14ac:dyDescent="0.25">
      <c r="A1688" s="2" t="s">
        <v>2997</v>
      </c>
      <c r="B1688" s="2">
        <v>106</v>
      </c>
      <c r="C1688" s="2">
        <v>7486906</v>
      </c>
      <c r="D1688" s="2" t="s">
        <v>1357</v>
      </c>
      <c r="E1688" s="2" t="s">
        <v>2998</v>
      </c>
      <c r="F1688" s="2" t="s">
        <v>14</v>
      </c>
      <c r="G1688" s="2" t="s">
        <v>15</v>
      </c>
      <c r="H1688" s="2">
        <v>27000000</v>
      </c>
      <c r="I1688" s="2">
        <v>6.8</v>
      </c>
      <c r="J1688" s="2">
        <f t="shared" si="12"/>
        <v>-19513094</v>
      </c>
      <c r="K1688" s="2">
        <f t="shared" si="13"/>
        <v>-2.0601449462088809E-2</v>
      </c>
      <c r="L1688" s="2" t="str">
        <f>IF(ISNUMBER(SEARCH("|",IMDB_Movies!$D1688)),LEFT(IMDB_Movies!$D1688,SEARCH("|",IMDB_Movies!$D1688)-1),IMDB_Movies!$D1688)</f>
        <v>Comedy</v>
      </c>
      <c r="V1688" s="2"/>
      <c r="W1688" s="2"/>
    </row>
    <row r="1689" spans="1:23" ht="12.5" x14ac:dyDescent="0.25">
      <c r="A1689" s="2" t="s">
        <v>1666</v>
      </c>
      <c r="B1689" s="2">
        <v>89</v>
      </c>
      <c r="C1689" s="2">
        <v>38536376</v>
      </c>
      <c r="D1689" s="2" t="s">
        <v>1053</v>
      </c>
      <c r="E1689" s="2" t="s">
        <v>2999</v>
      </c>
      <c r="F1689" s="2" t="s">
        <v>14</v>
      </c>
      <c r="G1689" s="2" t="s">
        <v>15</v>
      </c>
      <c r="H1689" s="2">
        <v>27000000</v>
      </c>
      <c r="I1689" s="2">
        <v>3.6</v>
      </c>
      <c r="J1689" s="2">
        <f t="shared" si="12"/>
        <v>11536376</v>
      </c>
      <c r="K1689" s="2">
        <f t="shared" si="13"/>
        <v>-2.0601301651610809E-2</v>
      </c>
      <c r="L1689" s="2" t="str">
        <f>IF(ISNUMBER(SEARCH("|",IMDB_Movies!$D1689)),LEFT(IMDB_Movies!$D1689,SEARCH("|",IMDB_Movies!$D1689)-1),IMDB_Movies!$D1689)</f>
        <v>Action</v>
      </c>
      <c r="V1689" s="2"/>
      <c r="W1689" s="2"/>
    </row>
    <row r="1690" spans="1:23" ht="12.5" x14ac:dyDescent="0.25">
      <c r="A1690" s="2" t="s">
        <v>3000</v>
      </c>
      <c r="B1690" s="2">
        <v>98</v>
      </c>
      <c r="C1690" s="2">
        <v>41008532</v>
      </c>
      <c r="D1690" s="2" t="s">
        <v>763</v>
      </c>
      <c r="E1690" s="2" t="s">
        <v>3001</v>
      </c>
      <c r="F1690" s="2" t="s">
        <v>14</v>
      </c>
      <c r="G1690" s="2" t="s">
        <v>15</v>
      </c>
      <c r="H1690" s="2">
        <v>27000000</v>
      </c>
      <c r="I1690" s="2">
        <v>6.7</v>
      </c>
      <c r="J1690" s="2">
        <f t="shared" si="12"/>
        <v>14008532</v>
      </c>
      <c r="K1690" s="2">
        <f t="shared" si="13"/>
        <v>-2.060311823329735E-2</v>
      </c>
      <c r="L1690" s="2" t="str">
        <f>IF(ISNUMBER(SEARCH("|",IMDB_Movies!$D1690)),LEFT(IMDB_Movies!$D1690,SEARCH("|",IMDB_Movies!$D1690)-1),IMDB_Movies!$D1690)</f>
        <v>Crime</v>
      </c>
      <c r="V1690" s="2"/>
      <c r="W1690" s="2"/>
    </row>
    <row r="1691" spans="1:23" ht="12.5" x14ac:dyDescent="0.25">
      <c r="A1691" s="2" t="s">
        <v>2546</v>
      </c>
      <c r="B1691" s="2">
        <v>93</v>
      </c>
      <c r="C1691" s="2">
        <v>5204007</v>
      </c>
      <c r="D1691" s="2" t="s">
        <v>150</v>
      </c>
      <c r="E1691" s="2" t="s">
        <v>3002</v>
      </c>
      <c r="F1691" s="2" t="s">
        <v>14</v>
      </c>
      <c r="G1691" s="2" t="s">
        <v>22</v>
      </c>
      <c r="H1691" s="2">
        <v>28000000</v>
      </c>
      <c r="I1691" s="2">
        <v>6.3</v>
      </c>
      <c r="J1691" s="2">
        <f t="shared" si="12"/>
        <v>-22795993</v>
      </c>
      <c r="K1691" s="2">
        <f t="shared" si="13"/>
        <v>-2.0605399627580661E-2</v>
      </c>
      <c r="L1691" s="2" t="str">
        <f>IF(ISNUMBER(SEARCH("|",IMDB_Movies!$D1691)),LEFT(IMDB_Movies!$D1691,SEARCH("|",IMDB_Movies!$D1691)-1),IMDB_Movies!$D1691)</f>
        <v>Action</v>
      </c>
      <c r="V1691" s="2"/>
      <c r="W1691" s="2"/>
    </row>
    <row r="1692" spans="1:23" ht="12.5" x14ac:dyDescent="0.25">
      <c r="A1692" s="2" t="s">
        <v>482</v>
      </c>
      <c r="B1692" s="2">
        <v>112</v>
      </c>
      <c r="C1692" s="2">
        <v>4485485</v>
      </c>
      <c r="D1692" s="2" t="s">
        <v>3003</v>
      </c>
      <c r="E1692" s="2" t="s">
        <v>3004</v>
      </c>
      <c r="F1692" s="2" t="s">
        <v>14</v>
      </c>
      <c r="G1692" s="2" t="s">
        <v>15</v>
      </c>
      <c r="H1692" s="2">
        <v>15000000</v>
      </c>
      <c r="I1692" s="2">
        <v>6.4</v>
      </c>
      <c r="J1692" s="2">
        <f t="shared" si="12"/>
        <v>-10514515</v>
      </c>
      <c r="K1692" s="2">
        <f t="shared" si="13"/>
        <v>-2.0604568758042254E-2</v>
      </c>
      <c r="L1692" s="2" t="str">
        <f>IF(ISNUMBER(SEARCH("|",IMDB_Movies!$D1692)),LEFT(IMDB_Movies!$D1692,SEARCH("|",IMDB_Movies!$D1692)-1),IMDB_Movies!$D1692)</f>
        <v>Comedy</v>
      </c>
      <c r="V1692" s="2"/>
      <c r="W1692" s="2"/>
    </row>
    <row r="1693" spans="1:23" ht="12.5" x14ac:dyDescent="0.25">
      <c r="A1693" s="2" t="s">
        <v>744</v>
      </c>
      <c r="B1693" s="2">
        <v>101</v>
      </c>
      <c r="C1693" s="2">
        <v>4476235</v>
      </c>
      <c r="D1693" s="2" t="s">
        <v>2591</v>
      </c>
      <c r="E1693" s="2" t="s">
        <v>3005</v>
      </c>
      <c r="F1693" s="2" t="s">
        <v>14</v>
      </c>
      <c r="G1693" s="2" t="s">
        <v>15</v>
      </c>
      <c r="H1693" s="2">
        <v>27000000</v>
      </c>
      <c r="I1693" s="2">
        <v>6.4</v>
      </c>
      <c r="J1693" s="2">
        <f t="shared" si="12"/>
        <v>-22523765</v>
      </c>
      <c r="K1693" s="2">
        <f t="shared" si="13"/>
        <v>-2.0614811910675313E-2</v>
      </c>
      <c r="L1693" s="2" t="str">
        <f>IF(ISNUMBER(SEARCH("|",IMDB_Movies!$D1693)),LEFT(IMDB_Movies!$D1693,SEARCH("|",IMDB_Movies!$D1693)-1),IMDB_Movies!$D1693)</f>
        <v>Crime</v>
      </c>
      <c r="V1693" s="2"/>
      <c r="W1693" s="2"/>
    </row>
    <row r="1694" spans="1:23" ht="12.5" x14ac:dyDescent="0.25">
      <c r="A1694" s="2" t="s">
        <v>1081</v>
      </c>
      <c r="B1694" s="2">
        <v>104</v>
      </c>
      <c r="C1694" s="2">
        <v>1089365</v>
      </c>
      <c r="D1694" s="2" t="s">
        <v>891</v>
      </c>
      <c r="E1694" s="2" t="s">
        <v>3006</v>
      </c>
      <c r="F1694" s="2" t="s">
        <v>14</v>
      </c>
      <c r="G1694" s="2" t="s">
        <v>15</v>
      </c>
      <c r="H1694" s="2">
        <v>25000000</v>
      </c>
      <c r="I1694" s="2">
        <v>5.7</v>
      </c>
      <c r="J1694" s="2">
        <f t="shared" si="12"/>
        <v>-23910635</v>
      </c>
      <c r="K1694" s="2">
        <f t="shared" si="13"/>
        <v>-2.0614855741896677E-2</v>
      </c>
      <c r="L1694" s="2" t="str">
        <f>IF(ISNUMBER(SEARCH("|",IMDB_Movies!$D1694)),LEFT(IMDB_Movies!$D1694,SEARCH("|",IMDB_Movies!$D1694)-1),IMDB_Movies!$D1694)</f>
        <v>Comedy</v>
      </c>
      <c r="V1694" s="2"/>
      <c r="W1694" s="2"/>
    </row>
    <row r="1695" spans="1:23" ht="12.5" x14ac:dyDescent="0.25">
      <c r="A1695" s="2" t="s">
        <v>2335</v>
      </c>
      <c r="B1695" s="2">
        <v>120</v>
      </c>
      <c r="C1695" s="2">
        <v>763044</v>
      </c>
      <c r="D1695" s="2" t="s">
        <v>1400</v>
      </c>
      <c r="E1695" s="2" t="s">
        <v>3007</v>
      </c>
      <c r="F1695" s="2" t="s">
        <v>14</v>
      </c>
      <c r="G1695" s="2" t="s">
        <v>104</v>
      </c>
      <c r="H1695" s="2">
        <v>23000000</v>
      </c>
      <c r="I1695" s="2">
        <v>6.2</v>
      </c>
      <c r="J1695" s="2">
        <f t="shared" si="12"/>
        <v>-22236956</v>
      </c>
      <c r="K1695" s="2">
        <f t="shared" si="13"/>
        <v>-2.0617192740358281E-2</v>
      </c>
      <c r="L1695" s="2" t="str">
        <f>IF(ISNUMBER(SEARCH("|",IMDB_Movies!$D1695)),LEFT(IMDB_Movies!$D1695,SEARCH("|",IMDB_Movies!$D1695)-1),IMDB_Movies!$D1695)</f>
        <v>Drama</v>
      </c>
      <c r="V1695" s="2"/>
      <c r="W1695" s="2"/>
    </row>
    <row r="1696" spans="1:23" ht="12.5" x14ac:dyDescent="0.25">
      <c r="A1696" s="2" t="s">
        <v>1122</v>
      </c>
      <c r="B1696" s="2">
        <v>91</v>
      </c>
      <c r="C1696" s="2">
        <v>20819129</v>
      </c>
      <c r="D1696" s="2" t="s">
        <v>623</v>
      </c>
      <c r="E1696" s="2" t="s">
        <v>3008</v>
      </c>
      <c r="F1696" s="2" t="s">
        <v>14</v>
      </c>
      <c r="G1696" s="2" t="s">
        <v>15</v>
      </c>
      <c r="H1696" s="2">
        <v>26000000</v>
      </c>
      <c r="I1696" s="2">
        <v>5.2</v>
      </c>
      <c r="J1696" s="2">
        <f t="shared" si="12"/>
        <v>-5180871</v>
      </c>
      <c r="K1696" s="2">
        <f t="shared" si="13"/>
        <v>-2.062162413162422E-2</v>
      </c>
      <c r="L1696" s="2" t="str">
        <f>IF(ISNUMBER(SEARCH("|",IMDB_Movies!$D1696)),LEFT(IMDB_Movies!$D1696,SEARCH("|",IMDB_Movies!$D1696)-1),IMDB_Movies!$D1696)</f>
        <v>Action</v>
      </c>
      <c r="V1696" s="2"/>
      <c r="W1696" s="2"/>
    </row>
    <row r="1697" spans="1:23" ht="12.5" x14ac:dyDescent="0.25">
      <c r="A1697" s="2" t="s">
        <v>735</v>
      </c>
      <c r="B1697" s="2">
        <v>97</v>
      </c>
      <c r="C1697" s="2">
        <v>110222438</v>
      </c>
      <c r="D1697" s="2" t="s">
        <v>3009</v>
      </c>
      <c r="E1697" s="2" t="s">
        <v>3010</v>
      </c>
      <c r="F1697" s="2" t="s">
        <v>14</v>
      </c>
      <c r="G1697" s="2" t="s">
        <v>15</v>
      </c>
      <c r="H1697" s="2">
        <v>26000000</v>
      </c>
      <c r="I1697" s="2">
        <v>6.1</v>
      </c>
      <c r="J1697" s="2">
        <f t="shared" si="12"/>
        <v>84222438</v>
      </c>
      <c r="K1697" s="2">
        <f t="shared" si="13"/>
        <v>-2.0621580596926196E-2</v>
      </c>
      <c r="L1697" s="2" t="str">
        <f>IF(ISNUMBER(SEARCH("|",IMDB_Movies!$D1697)),LEFT(IMDB_Movies!$D1697,SEARCH("|",IMDB_Movies!$D1697)-1),IMDB_Movies!$D1697)</f>
        <v>Comedy</v>
      </c>
      <c r="V1697" s="2"/>
      <c r="W1697" s="2"/>
    </row>
    <row r="1698" spans="1:23" ht="12.5" x14ac:dyDescent="0.25">
      <c r="A1698" s="2" t="s">
        <v>1117</v>
      </c>
      <c r="B1698" s="2">
        <v>133</v>
      </c>
      <c r="C1698" s="2">
        <v>109243478</v>
      </c>
      <c r="D1698" s="2" t="s">
        <v>600</v>
      </c>
      <c r="E1698" s="2" t="s">
        <v>3011</v>
      </c>
      <c r="F1698" s="2" t="s">
        <v>14</v>
      </c>
      <c r="G1698" s="2" t="s">
        <v>15</v>
      </c>
      <c r="H1698" s="2">
        <v>26000000</v>
      </c>
      <c r="I1698" s="2">
        <v>7.1</v>
      </c>
      <c r="J1698" s="2">
        <f t="shared" si="12"/>
        <v>83243478</v>
      </c>
      <c r="K1698" s="2">
        <f t="shared" si="13"/>
        <v>-2.0651432447066041E-2</v>
      </c>
      <c r="L1698" s="2" t="str">
        <f>IF(ISNUMBER(SEARCH("|",IMDB_Movies!$D1698)),LEFT(IMDB_Movies!$D1698,SEARCH("|",IMDB_Movies!$D1698)-1),IMDB_Movies!$D1698)</f>
        <v>Comedy</v>
      </c>
      <c r="V1698" s="2"/>
      <c r="W1698" s="2"/>
    </row>
    <row r="1699" spans="1:23" ht="12.5" x14ac:dyDescent="0.25">
      <c r="A1699" s="2" t="s">
        <v>1552</v>
      </c>
      <c r="B1699" s="2">
        <v>123</v>
      </c>
      <c r="C1699" s="2">
        <v>100241322</v>
      </c>
      <c r="D1699" s="2" t="s">
        <v>514</v>
      </c>
      <c r="E1699" s="2" t="s">
        <v>3012</v>
      </c>
      <c r="F1699" s="2" t="s">
        <v>14</v>
      </c>
      <c r="G1699" s="2" t="s">
        <v>15</v>
      </c>
      <c r="H1699" s="2">
        <v>25000000</v>
      </c>
      <c r="I1699" s="2">
        <v>7.2</v>
      </c>
      <c r="J1699" s="2">
        <f t="shared" si="12"/>
        <v>75241322</v>
      </c>
      <c r="K1699" s="2">
        <f t="shared" si="13"/>
        <v>-2.068077777609768E-2</v>
      </c>
      <c r="L1699" s="2" t="str">
        <f>IF(ISNUMBER(SEARCH("|",IMDB_Movies!$D1699)),LEFT(IMDB_Movies!$D1699,SEARCH("|",IMDB_Movies!$D1699)-1),IMDB_Movies!$D1699)</f>
        <v>Comedy</v>
      </c>
      <c r="V1699" s="2"/>
      <c r="W1699" s="2"/>
    </row>
    <row r="1700" spans="1:23" ht="12.5" x14ac:dyDescent="0.25">
      <c r="A1700" s="2" t="s">
        <v>3013</v>
      </c>
      <c r="B1700" s="2">
        <v>114</v>
      </c>
      <c r="C1700" s="2">
        <v>25977365</v>
      </c>
      <c r="D1700" s="2" t="s">
        <v>770</v>
      </c>
      <c r="E1700" s="2" t="s">
        <v>3014</v>
      </c>
      <c r="F1700" s="2" t="s">
        <v>14</v>
      </c>
      <c r="G1700" s="2" t="s">
        <v>15</v>
      </c>
      <c r="H1700" s="2">
        <v>28000000</v>
      </c>
      <c r="I1700" s="2">
        <v>6.5</v>
      </c>
      <c r="J1700" s="2">
        <f t="shared" si="12"/>
        <v>-2022635</v>
      </c>
      <c r="K1700" s="2">
        <f t="shared" si="13"/>
        <v>-2.0701207906429171E-2</v>
      </c>
      <c r="L1700" s="2" t="str">
        <f>IF(ISNUMBER(SEARCH("|",IMDB_Movies!$D1700)),LEFT(IMDB_Movies!$D1700,SEARCH("|",IMDB_Movies!$D1700)-1),IMDB_Movies!$D1700)</f>
        <v>Crime</v>
      </c>
      <c r="V1700" s="2"/>
      <c r="W1700" s="2"/>
    </row>
    <row r="1701" spans="1:23" ht="12.5" x14ac:dyDescent="0.25">
      <c r="A1701" s="2" t="s">
        <v>947</v>
      </c>
      <c r="B1701" s="2">
        <v>111</v>
      </c>
      <c r="C1701" s="2">
        <v>91457688</v>
      </c>
      <c r="D1701" s="2" t="s">
        <v>623</v>
      </c>
      <c r="E1701" s="2" t="s">
        <v>3015</v>
      </c>
      <c r="F1701" s="2" t="s">
        <v>14</v>
      </c>
      <c r="G1701" s="2" t="s">
        <v>15</v>
      </c>
      <c r="H1701" s="2">
        <v>26000000</v>
      </c>
      <c r="I1701" s="2">
        <v>6</v>
      </c>
      <c r="J1701" s="2">
        <f t="shared" si="12"/>
        <v>65457688</v>
      </c>
      <c r="K1701" s="2">
        <f t="shared" si="13"/>
        <v>-2.0701476833959571E-2</v>
      </c>
      <c r="L1701" s="2" t="str">
        <f>IF(ISNUMBER(SEARCH("|",IMDB_Movies!$D1701)),LEFT(IMDB_Movies!$D1701,SEARCH("|",IMDB_Movies!$D1701)-1),IMDB_Movies!$D1701)</f>
        <v>Action</v>
      </c>
      <c r="V1701" s="2"/>
      <c r="W1701" s="2"/>
    </row>
    <row r="1702" spans="1:23" ht="12.5" x14ac:dyDescent="0.25">
      <c r="A1702" s="2" t="s">
        <v>1834</v>
      </c>
      <c r="B1702" s="2">
        <v>117</v>
      </c>
      <c r="C1702" s="2">
        <v>87341380</v>
      </c>
      <c r="D1702" s="2" t="s">
        <v>623</v>
      </c>
      <c r="E1702" s="2" t="s">
        <v>3016</v>
      </c>
      <c r="F1702" s="2" t="s">
        <v>14</v>
      </c>
      <c r="G1702" s="2" t="s">
        <v>15</v>
      </c>
      <c r="H1702" s="2">
        <v>27000000</v>
      </c>
      <c r="I1702" s="2">
        <v>7</v>
      </c>
      <c r="J1702" s="2">
        <f t="shared" si="12"/>
        <v>60341380</v>
      </c>
      <c r="K1702" s="2">
        <f t="shared" si="13"/>
        <v>-2.0720390559379093E-2</v>
      </c>
      <c r="L1702" s="2" t="str">
        <f>IF(ISNUMBER(SEARCH("|",IMDB_Movies!$D1702)),LEFT(IMDB_Movies!$D1702,SEARCH("|",IMDB_Movies!$D1702)-1),IMDB_Movies!$D1702)</f>
        <v>Action</v>
      </c>
      <c r="V1702" s="2"/>
      <c r="W1702" s="2"/>
    </row>
    <row r="1703" spans="1:23" ht="12.5" x14ac:dyDescent="0.25">
      <c r="A1703" s="2" t="s">
        <v>1087</v>
      </c>
      <c r="B1703" s="2">
        <v>121</v>
      </c>
      <c r="C1703" s="2">
        <v>65703412</v>
      </c>
      <c r="D1703" s="2" t="s">
        <v>514</v>
      </c>
      <c r="E1703" s="2" t="s">
        <v>3017</v>
      </c>
      <c r="F1703" s="2" t="s">
        <v>14</v>
      </c>
      <c r="G1703" s="2" t="s">
        <v>15</v>
      </c>
      <c r="H1703" s="2">
        <v>26000000</v>
      </c>
      <c r="I1703" s="2">
        <v>7</v>
      </c>
      <c r="J1703" s="2">
        <f t="shared" si="12"/>
        <v>39703412</v>
      </c>
      <c r="K1703" s="2">
        <f t="shared" si="13"/>
        <v>-2.0740035008135288E-2</v>
      </c>
      <c r="L1703" s="2" t="str">
        <f>IF(ISNUMBER(SEARCH("|",IMDB_Movies!$D1703)),LEFT(IMDB_Movies!$D1703,SEARCH("|",IMDB_Movies!$D1703)-1),IMDB_Movies!$D1703)</f>
        <v>Comedy</v>
      </c>
      <c r="V1703" s="2"/>
      <c r="W1703" s="2"/>
    </row>
    <row r="1704" spans="1:23" ht="12.5" x14ac:dyDescent="0.25">
      <c r="A1704" s="2" t="s">
        <v>996</v>
      </c>
      <c r="B1704" s="2">
        <v>139</v>
      </c>
      <c r="C1704" s="2">
        <v>58328680</v>
      </c>
      <c r="D1704" s="2" t="s">
        <v>1389</v>
      </c>
      <c r="E1704" s="2" t="s">
        <v>3018</v>
      </c>
      <c r="F1704" s="2" t="s">
        <v>14</v>
      </c>
      <c r="G1704" s="2" t="s">
        <v>15</v>
      </c>
      <c r="H1704" s="2">
        <v>22000000</v>
      </c>
      <c r="I1704" s="2">
        <v>7.5</v>
      </c>
      <c r="J1704" s="2">
        <f t="shared" si="12"/>
        <v>36328680</v>
      </c>
      <c r="K1704" s="2">
        <f t="shared" si="13"/>
        <v>-2.0747756518744109E-2</v>
      </c>
      <c r="L1704" s="2" t="str">
        <f>IF(ISNUMBER(SEARCH("|",IMDB_Movies!$D1704)),LEFT(IMDB_Movies!$D1704,SEARCH("|",IMDB_Movies!$D1704)-1),IMDB_Movies!$D1704)</f>
        <v>Drama</v>
      </c>
      <c r="V1704" s="2"/>
      <c r="W1704" s="2"/>
    </row>
    <row r="1705" spans="1:23" ht="12.5" x14ac:dyDescent="0.25">
      <c r="A1705" s="2" t="s">
        <v>482</v>
      </c>
      <c r="B1705" s="2">
        <v>115</v>
      </c>
      <c r="C1705" s="2">
        <v>61490000</v>
      </c>
      <c r="D1705" s="2" t="s">
        <v>1260</v>
      </c>
      <c r="E1705" s="2" t="s">
        <v>3019</v>
      </c>
      <c r="F1705" s="2" t="s">
        <v>14</v>
      </c>
      <c r="G1705" s="2" t="s">
        <v>15</v>
      </c>
      <c r="H1705" s="2">
        <v>26000000</v>
      </c>
      <c r="I1705" s="2">
        <v>6.6</v>
      </c>
      <c r="J1705" s="2">
        <f t="shared" si="12"/>
        <v>35490000</v>
      </c>
      <c r="K1705" s="2">
        <f t="shared" si="13"/>
        <v>-2.0747054643823818E-2</v>
      </c>
      <c r="L1705" s="2" t="str">
        <f>IF(ISNUMBER(SEARCH("|",IMDB_Movies!$D1705)),LEFT(IMDB_Movies!$D1705,SEARCH("|",IMDB_Movies!$D1705)-1),IMDB_Movies!$D1705)</f>
        <v>Drama</v>
      </c>
      <c r="V1705" s="2"/>
      <c r="W1705" s="2"/>
    </row>
    <row r="1706" spans="1:23" ht="12.5" x14ac:dyDescent="0.25">
      <c r="A1706" s="2" t="s">
        <v>2891</v>
      </c>
      <c r="B1706" s="2">
        <v>175</v>
      </c>
      <c r="C1706" s="2">
        <v>50800000</v>
      </c>
      <c r="D1706" s="2" t="s">
        <v>706</v>
      </c>
      <c r="E1706" s="2" t="s">
        <v>3020</v>
      </c>
      <c r="F1706" s="2" t="s">
        <v>14</v>
      </c>
      <c r="G1706" s="2" t="s">
        <v>15</v>
      </c>
      <c r="H1706" s="2">
        <v>26000000</v>
      </c>
      <c r="I1706" s="2">
        <v>7.4</v>
      </c>
      <c r="J1706" s="2">
        <f t="shared" si="12"/>
        <v>24800000</v>
      </c>
      <c r="K1706" s="2">
        <f t="shared" si="13"/>
        <v>-2.0753418941403957E-2</v>
      </c>
      <c r="L1706" s="2" t="str">
        <f>IF(ISNUMBER(SEARCH("|",IMDB_Movies!$D1706)),LEFT(IMDB_Movies!$D1706,SEARCH("|",IMDB_Movies!$D1706)-1),IMDB_Movies!$D1706)</f>
        <v>Drama</v>
      </c>
      <c r="V1706" s="2"/>
      <c r="W1706" s="2"/>
    </row>
    <row r="1707" spans="1:23" ht="12.5" x14ac:dyDescent="0.25">
      <c r="A1707" s="2" t="s">
        <v>2115</v>
      </c>
      <c r="B1707" s="2">
        <v>85</v>
      </c>
      <c r="C1707" s="2">
        <v>57859105</v>
      </c>
      <c r="D1707" s="2" t="s">
        <v>315</v>
      </c>
      <c r="E1707" s="2" t="s">
        <v>3021</v>
      </c>
      <c r="F1707" s="2" t="s">
        <v>14</v>
      </c>
      <c r="G1707" s="2" t="s">
        <v>15</v>
      </c>
      <c r="H1707" s="2">
        <v>26000000</v>
      </c>
      <c r="I1707" s="2">
        <v>6.5</v>
      </c>
      <c r="J1707" s="2">
        <f t="shared" si="12"/>
        <v>31859105</v>
      </c>
      <c r="K1707" s="2">
        <f t="shared" si="13"/>
        <v>-2.0756897515297957E-2</v>
      </c>
      <c r="L1707" s="2" t="str">
        <f>IF(ISNUMBER(SEARCH("|",IMDB_Movies!$D1707)),LEFT(IMDB_Movies!$D1707,SEARCH("|",IMDB_Movies!$D1707)-1),IMDB_Movies!$D1707)</f>
        <v>Mystery</v>
      </c>
      <c r="V1707" s="2"/>
      <c r="W1707" s="2"/>
    </row>
    <row r="1708" spans="1:23" ht="12.5" x14ac:dyDescent="0.25">
      <c r="A1708" s="2" t="s">
        <v>1970</v>
      </c>
      <c r="B1708" s="2">
        <v>90</v>
      </c>
      <c r="C1708" s="2">
        <v>46455802</v>
      </c>
      <c r="D1708" s="2" t="s">
        <v>2228</v>
      </c>
      <c r="E1708" s="2" t="s">
        <v>3022</v>
      </c>
      <c r="F1708" s="2" t="s">
        <v>14</v>
      </c>
      <c r="G1708" s="2" t="s">
        <v>15</v>
      </c>
      <c r="H1708" s="2">
        <v>26000000</v>
      </c>
      <c r="I1708" s="2">
        <v>6.2</v>
      </c>
      <c r="J1708" s="2">
        <f t="shared" si="12"/>
        <v>20455802</v>
      </c>
      <c r="K1708" s="2">
        <f t="shared" si="13"/>
        <v>-2.0762198152374015E-2</v>
      </c>
      <c r="L1708" s="2" t="str">
        <f>IF(ISNUMBER(SEARCH("|",IMDB_Movies!$D1708)),LEFT(IMDB_Movies!$D1708,SEARCH("|",IMDB_Movies!$D1708)-1),IMDB_Movies!$D1708)</f>
        <v>Horror</v>
      </c>
      <c r="V1708" s="2"/>
      <c r="W1708" s="2"/>
    </row>
    <row r="1709" spans="1:23" ht="12.5" x14ac:dyDescent="0.25">
      <c r="A1709" s="2" t="s">
        <v>1463</v>
      </c>
      <c r="B1709" s="2">
        <v>107</v>
      </c>
      <c r="C1709" s="2">
        <v>45506619</v>
      </c>
      <c r="D1709" s="2" t="s">
        <v>3023</v>
      </c>
      <c r="E1709" s="2" t="s">
        <v>3024</v>
      </c>
      <c r="F1709" s="2" t="s">
        <v>14</v>
      </c>
      <c r="G1709" s="2" t="s">
        <v>22</v>
      </c>
      <c r="H1709" s="2">
        <v>26000000</v>
      </c>
      <c r="I1709" s="2">
        <v>7.8</v>
      </c>
      <c r="J1709" s="2">
        <f t="shared" si="12"/>
        <v>19506619</v>
      </c>
      <c r="K1709" s="2">
        <f t="shared" si="13"/>
        <v>-2.076475509041906E-2</v>
      </c>
      <c r="L1709" s="2" t="str">
        <f>IF(ISNUMBER(SEARCH("|",IMDB_Movies!$D1709)),LEFT(IMDB_Movies!$D1709,SEARCH("|",IMDB_Movies!$D1709)-1),IMDB_Movies!$D1709)</f>
        <v>Adventure</v>
      </c>
      <c r="V1709" s="2"/>
      <c r="W1709" s="2"/>
    </row>
    <row r="1710" spans="1:23" ht="12.5" x14ac:dyDescent="0.25">
      <c r="A1710" s="2" t="s">
        <v>1480</v>
      </c>
      <c r="B1710" s="2">
        <v>100</v>
      </c>
      <c r="C1710" s="2">
        <v>40168080</v>
      </c>
      <c r="D1710" s="2" t="s">
        <v>1197</v>
      </c>
      <c r="E1710" s="2" t="s">
        <v>3025</v>
      </c>
      <c r="F1710" s="2" t="s">
        <v>14</v>
      </c>
      <c r="G1710" s="2" t="s">
        <v>15</v>
      </c>
      <c r="H1710" s="2">
        <v>26000000</v>
      </c>
      <c r="I1710" s="2">
        <v>5.2</v>
      </c>
      <c r="J1710" s="2">
        <f t="shared" si="12"/>
        <v>14168080</v>
      </c>
      <c r="K1710" s="2">
        <f t="shared" si="13"/>
        <v>-2.0767130266747834E-2</v>
      </c>
      <c r="L1710" s="2" t="str">
        <f>IF(ISNUMBER(SEARCH("|",IMDB_Movies!$D1710)),LEFT(IMDB_Movies!$D1710,SEARCH("|",IMDB_Movies!$D1710)-1),IMDB_Movies!$D1710)</f>
        <v>Action</v>
      </c>
      <c r="V1710" s="2"/>
      <c r="W1710" s="2"/>
    </row>
    <row r="1711" spans="1:23" ht="12.5" x14ac:dyDescent="0.25">
      <c r="A1711" s="2" t="s">
        <v>108</v>
      </c>
      <c r="B1711" s="2">
        <v>129</v>
      </c>
      <c r="C1711" s="2">
        <v>49874933</v>
      </c>
      <c r="D1711" s="2" t="s">
        <v>3003</v>
      </c>
      <c r="E1711" s="2" t="s">
        <v>3026</v>
      </c>
      <c r="F1711" s="2" t="s">
        <v>14</v>
      </c>
      <c r="G1711" s="2" t="s">
        <v>15</v>
      </c>
      <c r="H1711" s="2">
        <v>26000000</v>
      </c>
      <c r="I1711" s="2">
        <v>6.5</v>
      </c>
      <c r="J1711" s="2">
        <f t="shared" si="12"/>
        <v>23874933</v>
      </c>
      <c r="K1711" s="2">
        <f t="shared" si="13"/>
        <v>-2.0768594519839687E-2</v>
      </c>
      <c r="L1711" s="2" t="str">
        <f>IF(ISNUMBER(SEARCH("|",IMDB_Movies!$D1711)),LEFT(IMDB_Movies!$D1711,SEARCH("|",IMDB_Movies!$D1711)-1),IMDB_Movies!$D1711)</f>
        <v>Comedy</v>
      </c>
      <c r="V1711" s="2"/>
      <c r="W1711" s="2"/>
    </row>
    <row r="1712" spans="1:23" ht="12.5" x14ac:dyDescent="0.25">
      <c r="A1712" s="2" t="s">
        <v>620</v>
      </c>
      <c r="B1712" s="2">
        <v>109</v>
      </c>
      <c r="C1712" s="2">
        <v>45489752</v>
      </c>
      <c r="D1712" s="2" t="s">
        <v>514</v>
      </c>
      <c r="E1712" s="2" t="s">
        <v>3027</v>
      </c>
      <c r="F1712" s="2" t="s">
        <v>14</v>
      </c>
      <c r="G1712" s="2" t="s">
        <v>15</v>
      </c>
      <c r="H1712" s="2">
        <v>26000000</v>
      </c>
      <c r="I1712" s="2">
        <v>6.5</v>
      </c>
      <c r="J1712" s="2">
        <f t="shared" si="12"/>
        <v>19489752</v>
      </c>
      <c r="K1712" s="2">
        <f t="shared" si="13"/>
        <v>-2.0771883172751665E-2</v>
      </c>
      <c r="L1712" s="2" t="str">
        <f>IF(ISNUMBER(SEARCH("|",IMDB_Movies!$D1712)),LEFT(IMDB_Movies!$D1712,SEARCH("|",IMDB_Movies!$D1712)-1),IMDB_Movies!$D1712)</f>
        <v>Comedy</v>
      </c>
      <c r="V1712" s="2"/>
      <c r="W1712" s="2"/>
    </row>
    <row r="1713" spans="1:23" ht="12.5" x14ac:dyDescent="0.25">
      <c r="A1713" s="2" t="s">
        <v>1169</v>
      </c>
      <c r="B1713" s="2">
        <v>94</v>
      </c>
      <c r="C1713" s="2">
        <v>36985501</v>
      </c>
      <c r="D1713" s="2" t="s">
        <v>3028</v>
      </c>
      <c r="E1713" s="2" t="s">
        <v>3029</v>
      </c>
      <c r="F1713" s="2" t="s">
        <v>14</v>
      </c>
      <c r="G1713" s="2" t="s">
        <v>15</v>
      </c>
      <c r="H1713" s="2">
        <v>26000000</v>
      </c>
      <c r="I1713" s="2">
        <v>5.2</v>
      </c>
      <c r="J1713" s="2">
        <f t="shared" si="12"/>
        <v>10985501</v>
      </c>
      <c r="K1713" s="2">
        <f t="shared" si="13"/>
        <v>-2.0774263626608492E-2</v>
      </c>
      <c r="L1713" s="2" t="str">
        <f>IF(ISNUMBER(SEARCH("|",IMDB_Movies!$D1713)),LEFT(IMDB_Movies!$D1713,SEARCH("|",IMDB_Movies!$D1713)-1),IMDB_Movies!$D1713)</f>
        <v>Action</v>
      </c>
      <c r="V1713" s="2"/>
      <c r="W1713" s="2"/>
    </row>
    <row r="1714" spans="1:23" ht="12.5" x14ac:dyDescent="0.25">
      <c r="A1714" s="2" t="s">
        <v>1259</v>
      </c>
      <c r="B1714" s="2">
        <v>133</v>
      </c>
      <c r="C1714" s="2">
        <v>33200000</v>
      </c>
      <c r="D1714" s="2" t="s">
        <v>3030</v>
      </c>
      <c r="E1714" s="2" t="s">
        <v>3031</v>
      </c>
      <c r="F1714" s="2" t="s">
        <v>14</v>
      </c>
      <c r="G1714" s="2" t="s">
        <v>15</v>
      </c>
      <c r="H1714" s="2">
        <v>26000000</v>
      </c>
      <c r="I1714" s="2">
        <v>7.2</v>
      </c>
      <c r="J1714" s="2">
        <f t="shared" si="12"/>
        <v>7200000</v>
      </c>
      <c r="K1714" s="2">
        <f t="shared" si="13"/>
        <v>-2.0775290770615251E-2</v>
      </c>
      <c r="L1714" s="2" t="str">
        <f>IF(ISNUMBER(SEARCH("|",IMDB_Movies!$D1714)),LEFT(IMDB_Movies!$D1714,SEARCH("|",IMDB_Movies!$D1714)-1),IMDB_Movies!$D1714)</f>
        <v>Action</v>
      </c>
      <c r="V1714" s="2"/>
      <c r="W1714" s="2"/>
    </row>
    <row r="1715" spans="1:23" ht="12.5" x14ac:dyDescent="0.25">
      <c r="A1715" s="2" t="s">
        <v>1837</v>
      </c>
      <c r="B1715" s="2">
        <v>105</v>
      </c>
      <c r="C1715" s="2">
        <v>28501651</v>
      </c>
      <c r="D1715" s="2" t="s">
        <v>1400</v>
      </c>
      <c r="E1715" s="2" t="s">
        <v>3032</v>
      </c>
      <c r="F1715" s="2" t="s">
        <v>14</v>
      </c>
      <c r="G1715" s="2" t="s">
        <v>15</v>
      </c>
      <c r="H1715" s="2">
        <v>26000000</v>
      </c>
      <c r="I1715" s="2">
        <v>7.1</v>
      </c>
      <c r="J1715" s="2">
        <f t="shared" si="12"/>
        <v>2501651</v>
      </c>
      <c r="K1715" s="2">
        <f t="shared" si="13"/>
        <v>-2.077589101100983E-2</v>
      </c>
      <c r="L1715" s="2" t="str">
        <f>IF(ISNUMBER(SEARCH("|",IMDB_Movies!$D1715)),LEFT(IMDB_Movies!$D1715,SEARCH("|",IMDB_Movies!$D1715)-1),IMDB_Movies!$D1715)</f>
        <v>Drama</v>
      </c>
      <c r="V1715" s="2"/>
      <c r="W1715" s="2"/>
    </row>
    <row r="1716" spans="1:23" ht="12.5" x14ac:dyDescent="0.25">
      <c r="A1716" s="2" t="s">
        <v>3033</v>
      </c>
      <c r="B1716" s="2">
        <v>100</v>
      </c>
      <c r="C1716" s="2">
        <v>23222861</v>
      </c>
      <c r="D1716" s="2" t="s">
        <v>3034</v>
      </c>
      <c r="E1716" s="2" t="s">
        <v>3035</v>
      </c>
      <c r="F1716" s="2" t="s">
        <v>14</v>
      </c>
      <c r="G1716" s="2" t="s">
        <v>15</v>
      </c>
      <c r="H1716" s="2">
        <v>26000000</v>
      </c>
      <c r="I1716" s="2">
        <v>4.5</v>
      </c>
      <c r="J1716" s="2">
        <f t="shared" si="12"/>
        <v>-2777139</v>
      </c>
      <c r="K1716" s="2">
        <f t="shared" si="13"/>
        <v>-2.0776111169928026E-2</v>
      </c>
      <c r="L1716" s="2" t="str">
        <f>IF(ISNUMBER(SEARCH("|",IMDB_Movies!$D1716)),LEFT(IMDB_Movies!$D1716,SEARCH("|",IMDB_Movies!$D1716)-1),IMDB_Movies!$D1716)</f>
        <v>Action</v>
      </c>
      <c r="V1716" s="2"/>
      <c r="W1716" s="2"/>
    </row>
    <row r="1717" spans="1:23" ht="12.5" x14ac:dyDescent="0.25">
      <c r="A1717" s="2" t="s">
        <v>1145</v>
      </c>
      <c r="B1717" s="2">
        <v>113</v>
      </c>
      <c r="C1717" s="2">
        <v>54540525</v>
      </c>
      <c r="D1717" s="2" t="s">
        <v>600</v>
      </c>
      <c r="E1717" s="2" t="s">
        <v>3036</v>
      </c>
      <c r="F1717" s="2" t="s">
        <v>14</v>
      </c>
      <c r="G1717" s="2" t="s">
        <v>15</v>
      </c>
      <c r="H1717" s="2">
        <v>56000000</v>
      </c>
      <c r="I1717" s="2">
        <v>5.7</v>
      </c>
      <c r="J1717" s="2">
        <f t="shared" si="12"/>
        <v>-1459475</v>
      </c>
      <c r="K1717" s="2">
        <f t="shared" si="13"/>
        <v>-2.0776102830355657E-2</v>
      </c>
      <c r="L1717" s="2" t="str">
        <f>IF(ISNUMBER(SEARCH("|",IMDB_Movies!$D1717)),LEFT(IMDB_Movies!$D1717,SEARCH("|",IMDB_Movies!$D1717)-1),IMDB_Movies!$D1717)</f>
        <v>Comedy</v>
      </c>
      <c r="V1717" s="2"/>
      <c r="W1717" s="2"/>
    </row>
    <row r="1718" spans="1:23" ht="12.5" x14ac:dyDescent="0.25">
      <c r="A1718" s="2" t="s">
        <v>3037</v>
      </c>
      <c r="B1718" s="2">
        <v>118</v>
      </c>
      <c r="C1718" s="2">
        <v>16252765</v>
      </c>
      <c r="D1718" s="2" t="s">
        <v>1137</v>
      </c>
      <c r="E1718" s="2" t="s">
        <v>3038</v>
      </c>
      <c r="F1718" s="2" t="s">
        <v>14</v>
      </c>
      <c r="G1718" s="2" t="s">
        <v>686</v>
      </c>
      <c r="H1718" s="2">
        <v>42000000</v>
      </c>
      <c r="I1718" s="2">
        <v>6</v>
      </c>
      <c r="J1718" s="2">
        <f t="shared" si="12"/>
        <v>-25747235</v>
      </c>
      <c r="K1718" s="2">
        <f t="shared" si="13"/>
        <v>-2.0821675422475542E-2</v>
      </c>
      <c r="L1718" s="2" t="str">
        <f>IF(ISNUMBER(SEARCH("|",IMDB_Movies!$D1718)),LEFT(IMDB_Movies!$D1718,SEARCH("|",IMDB_Movies!$D1718)-1),IMDB_Movies!$D1718)</f>
        <v>Drama</v>
      </c>
      <c r="V1718" s="2"/>
      <c r="W1718" s="2"/>
    </row>
    <row r="1719" spans="1:23" ht="12.5" x14ac:dyDescent="0.25">
      <c r="A1719" s="2" t="s">
        <v>1746</v>
      </c>
      <c r="B1719" s="2">
        <v>110</v>
      </c>
      <c r="C1719" s="2">
        <v>16005978</v>
      </c>
      <c r="D1719" s="2" t="s">
        <v>793</v>
      </c>
      <c r="E1719" s="2" t="s">
        <v>3039</v>
      </c>
      <c r="F1719" s="2" t="s">
        <v>14</v>
      </c>
      <c r="G1719" s="2" t="s">
        <v>15</v>
      </c>
      <c r="H1719" s="2">
        <v>26000000</v>
      </c>
      <c r="I1719" s="2">
        <v>6.4</v>
      </c>
      <c r="J1719" s="2">
        <f t="shared" si="12"/>
        <v>-9994022</v>
      </c>
      <c r="K1719" s="2">
        <f t="shared" si="13"/>
        <v>-2.0816538651525728E-2</v>
      </c>
      <c r="L1719" s="2" t="str">
        <f>IF(ISNUMBER(SEARCH("|",IMDB_Movies!$D1719)),LEFT(IMDB_Movies!$D1719,SEARCH("|",IMDB_Movies!$D1719)-1),IMDB_Movies!$D1719)</f>
        <v>Crime</v>
      </c>
      <c r="V1719" s="2"/>
      <c r="W1719" s="2"/>
    </row>
    <row r="1720" spans="1:23" ht="12.5" x14ac:dyDescent="0.25">
      <c r="A1720" s="2" t="s">
        <v>1456</v>
      </c>
      <c r="B1720" s="2">
        <v>110</v>
      </c>
      <c r="C1720" s="2">
        <v>14469428</v>
      </c>
      <c r="D1720" s="2" t="s">
        <v>600</v>
      </c>
      <c r="E1720" s="2" t="s">
        <v>3040</v>
      </c>
      <c r="F1720" s="2" t="s">
        <v>14</v>
      </c>
      <c r="G1720" s="2" t="s">
        <v>15</v>
      </c>
      <c r="H1720" s="2">
        <v>26000000</v>
      </c>
      <c r="I1720" s="2">
        <v>5.2</v>
      </c>
      <c r="J1720" s="2">
        <f t="shared" si="12"/>
        <v>-11530572</v>
      </c>
      <c r="K1720" s="2">
        <f t="shared" si="13"/>
        <v>-2.0816551054252022E-2</v>
      </c>
      <c r="L1720" s="2" t="str">
        <f>IF(ISNUMBER(SEARCH("|",IMDB_Movies!$D1720)),LEFT(IMDB_Movies!$D1720,SEARCH("|",IMDB_Movies!$D1720)-1),IMDB_Movies!$D1720)</f>
        <v>Comedy</v>
      </c>
      <c r="V1720" s="2"/>
      <c r="W1720" s="2"/>
    </row>
    <row r="1721" spans="1:23" ht="12.5" x14ac:dyDescent="0.25">
      <c r="A1721" s="2" t="s">
        <v>3041</v>
      </c>
      <c r="B1721" s="2">
        <v>99</v>
      </c>
      <c r="C1721" s="2">
        <v>13829734</v>
      </c>
      <c r="D1721" s="2" t="s">
        <v>3042</v>
      </c>
      <c r="E1721" s="2" t="s">
        <v>3043</v>
      </c>
      <c r="F1721" s="2" t="s">
        <v>14</v>
      </c>
      <c r="G1721" s="2" t="s">
        <v>104</v>
      </c>
      <c r="H1721" s="2">
        <v>26000000</v>
      </c>
      <c r="I1721" s="2">
        <v>4.3</v>
      </c>
      <c r="J1721" s="2">
        <f t="shared" si="12"/>
        <v>-12170266</v>
      </c>
      <c r="K1721" s="2">
        <f t="shared" si="13"/>
        <v>-2.081661890746192E-2</v>
      </c>
      <c r="L1721" s="2" t="str">
        <f>IF(ISNUMBER(SEARCH("|",IMDB_Movies!$D1721)),LEFT(IMDB_Movies!$D1721,SEARCH("|",IMDB_Movies!$D1721)-1),IMDB_Movies!$D1721)</f>
        <v>Action</v>
      </c>
      <c r="V1721" s="2"/>
      <c r="W1721" s="2"/>
    </row>
    <row r="1722" spans="1:23" ht="12.5" x14ac:dyDescent="0.25">
      <c r="A1722" s="2" t="s">
        <v>3044</v>
      </c>
      <c r="B1722" s="2">
        <v>101</v>
      </c>
      <c r="C1722" s="2">
        <v>1075288</v>
      </c>
      <c r="D1722" s="2" t="s">
        <v>763</v>
      </c>
      <c r="E1722" s="2" t="s">
        <v>3045</v>
      </c>
      <c r="F1722" s="2" t="s">
        <v>14</v>
      </c>
      <c r="G1722" s="2" t="s">
        <v>15</v>
      </c>
      <c r="H1722" s="2">
        <v>22000000</v>
      </c>
      <c r="I1722" s="2">
        <v>6.1</v>
      </c>
      <c r="J1722" s="2">
        <f t="shared" si="12"/>
        <v>-20924712</v>
      </c>
      <c r="K1722" s="2">
        <f t="shared" si="13"/>
        <v>-2.0816715203460769E-2</v>
      </c>
      <c r="L1722" s="2" t="str">
        <f>IF(ISNUMBER(SEARCH("|",IMDB_Movies!$D1722)),LEFT(IMDB_Movies!$D1722,SEARCH("|",IMDB_Movies!$D1722)-1),IMDB_Movies!$D1722)</f>
        <v>Crime</v>
      </c>
      <c r="V1722" s="2"/>
      <c r="W1722" s="2"/>
    </row>
    <row r="1723" spans="1:23" ht="12.5" x14ac:dyDescent="0.25">
      <c r="A1723" s="2" t="s">
        <v>2732</v>
      </c>
      <c r="B1723" s="2">
        <v>103</v>
      </c>
      <c r="C1723" s="2">
        <v>7496522</v>
      </c>
      <c r="D1723" s="2" t="s">
        <v>3046</v>
      </c>
      <c r="E1723" s="2" t="s">
        <v>3047</v>
      </c>
      <c r="F1723" s="2" t="s">
        <v>14</v>
      </c>
      <c r="G1723" s="2" t="s">
        <v>15</v>
      </c>
      <c r="H1723" s="2">
        <v>26000000</v>
      </c>
      <c r="I1723" s="2">
        <v>6.8</v>
      </c>
      <c r="J1723" s="2">
        <f t="shared" si="12"/>
        <v>-18503478</v>
      </c>
      <c r="K1723" s="2">
        <f t="shared" si="13"/>
        <v>-2.082200334674069E-2</v>
      </c>
      <c r="L1723" s="2" t="str">
        <f>IF(ISNUMBER(SEARCH("|",IMDB_Movies!$D1723)),LEFT(IMDB_Movies!$D1723,SEARCH("|",IMDB_Movies!$D1723)-1),IMDB_Movies!$D1723)</f>
        <v>Comedy</v>
      </c>
      <c r="V1723" s="2"/>
      <c r="W1723" s="2"/>
    </row>
    <row r="1724" spans="1:23" ht="12.5" x14ac:dyDescent="0.25">
      <c r="A1724" s="2" t="s">
        <v>3048</v>
      </c>
      <c r="B1724" s="2">
        <v>95</v>
      </c>
      <c r="C1724" s="2">
        <v>20047715</v>
      </c>
      <c r="D1724" s="2" t="s">
        <v>3049</v>
      </c>
      <c r="E1724" s="2" t="s">
        <v>3050</v>
      </c>
      <c r="F1724" s="2" t="s">
        <v>14</v>
      </c>
      <c r="G1724" s="2" t="s">
        <v>15</v>
      </c>
      <c r="H1724" s="2">
        <v>25530000</v>
      </c>
      <c r="I1724" s="2">
        <v>5.2</v>
      </c>
      <c r="J1724" s="2">
        <f t="shared" si="12"/>
        <v>-5482285</v>
      </c>
      <c r="K1724" s="2">
        <f t="shared" si="13"/>
        <v>-2.0822550796394692E-2</v>
      </c>
      <c r="L1724" s="2" t="str">
        <f>IF(ISNUMBER(SEARCH("|",IMDB_Movies!$D1724)),LEFT(IMDB_Movies!$D1724,SEARCH("|",IMDB_Movies!$D1724)-1),IMDB_Movies!$D1724)</f>
        <v>Adventure</v>
      </c>
      <c r="V1724" s="2"/>
      <c r="W1724" s="2"/>
    </row>
    <row r="1725" spans="1:23" ht="12.5" x14ac:dyDescent="0.25">
      <c r="A1725" s="2" t="s">
        <v>866</v>
      </c>
      <c r="B1725" s="2">
        <v>117</v>
      </c>
      <c r="C1725" s="2">
        <v>12276810</v>
      </c>
      <c r="D1725" s="2" t="s">
        <v>589</v>
      </c>
      <c r="E1725" s="2" t="s">
        <v>3051</v>
      </c>
      <c r="F1725" s="2" t="s">
        <v>14</v>
      </c>
      <c r="G1725" s="2" t="s">
        <v>15</v>
      </c>
      <c r="H1725" s="2">
        <v>26000000</v>
      </c>
      <c r="I1725" s="2">
        <v>6.5</v>
      </c>
      <c r="J1725" s="2">
        <f t="shared" si="12"/>
        <v>-13723190</v>
      </c>
      <c r="K1725" s="2">
        <f t="shared" si="13"/>
        <v>-2.0822576415201289E-2</v>
      </c>
      <c r="L1725" s="2" t="str">
        <f>IF(ISNUMBER(SEARCH("|",IMDB_Movies!$D1725)),LEFT(IMDB_Movies!$D1725,SEARCH("|",IMDB_Movies!$D1725)-1),IMDB_Movies!$D1725)</f>
        <v>Action</v>
      </c>
      <c r="V1725" s="2"/>
      <c r="W1725" s="2"/>
    </row>
    <row r="1726" spans="1:23" ht="12.5" x14ac:dyDescent="0.25">
      <c r="A1726" s="2" t="s">
        <v>3052</v>
      </c>
      <c r="B1726" s="2">
        <v>129</v>
      </c>
      <c r="C1726" s="2">
        <v>33565375</v>
      </c>
      <c r="D1726" s="2" t="s">
        <v>1137</v>
      </c>
      <c r="E1726" s="2" t="s">
        <v>3053</v>
      </c>
      <c r="F1726" s="2" t="s">
        <v>14</v>
      </c>
      <c r="G1726" s="2" t="s">
        <v>22</v>
      </c>
      <c r="H1726" s="2">
        <v>15000000</v>
      </c>
      <c r="I1726" s="2">
        <v>7.5</v>
      </c>
      <c r="J1726" s="2">
        <f t="shared" si="12"/>
        <v>18565375</v>
      </c>
      <c r="K1726" s="2">
        <f t="shared" si="13"/>
        <v>-2.0822756699214896E-2</v>
      </c>
      <c r="L1726" s="2" t="str">
        <f>IF(ISNUMBER(SEARCH("|",IMDB_Movies!$D1726)),LEFT(IMDB_Movies!$D1726,SEARCH("|",IMDB_Movies!$D1726)-1),IMDB_Movies!$D1726)</f>
        <v>Drama</v>
      </c>
      <c r="V1726" s="2"/>
      <c r="W1726" s="2"/>
    </row>
    <row r="1727" spans="1:23" ht="12.5" x14ac:dyDescent="0.25">
      <c r="A1727" s="2" t="s">
        <v>1124</v>
      </c>
      <c r="B1727" s="2">
        <v>120</v>
      </c>
      <c r="C1727" s="2">
        <v>499263</v>
      </c>
      <c r="D1727" s="2" t="s">
        <v>1180</v>
      </c>
      <c r="E1727" s="2" t="s">
        <v>3054</v>
      </c>
      <c r="F1727" s="2" t="s">
        <v>3055</v>
      </c>
      <c r="G1727" s="2" t="s">
        <v>15</v>
      </c>
      <c r="H1727" s="2">
        <v>30000000</v>
      </c>
      <c r="I1727" s="2">
        <v>7.1</v>
      </c>
      <c r="J1727" s="2">
        <f t="shared" si="12"/>
        <v>-29500737</v>
      </c>
      <c r="K1727" s="2">
        <f t="shared" si="13"/>
        <v>-2.0818556530109139E-2</v>
      </c>
      <c r="L1727" s="2" t="str">
        <f>IF(ISNUMBER(SEARCH("|",IMDB_Movies!$D1727)),LEFT(IMDB_Movies!$D1727,SEARCH("|",IMDB_Movies!$D1727)-1),IMDB_Movies!$D1727)</f>
        <v>Drama</v>
      </c>
      <c r="V1727" s="2"/>
      <c r="W1727" s="2"/>
    </row>
    <row r="1728" spans="1:23" ht="12.5" x14ac:dyDescent="0.25">
      <c r="A1728" s="2" t="s">
        <v>458</v>
      </c>
      <c r="B1728" s="2">
        <v>125</v>
      </c>
      <c r="C1728" s="2">
        <v>219200000</v>
      </c>
      <c r="D1728" s="2" t="s">
        <v>3056</v>
      </c>
      <c r="E1728" s="2" t="s">
        <v>3057</v>
      </c>
      <c r="F1728" s="2" t="s">
        <v>14</v>
      </c>
      <c r="G1728" s="2" t="s">
        <v>15</v>
      </c>
      <c r="H1728" s="2">
        <v>25000000</v>
      </c>
      <c r="I1728" s="2">
        <v>6.9</v>
      </c>
      <c r="J1728" s="2">
        <f t="shared" si="12"/>
        <v>194200000</v>
      </c>
      <c r="K1728" s="2">
        <f t="shared" si="13"/>
        <v>-2.0815878036803733E-2</v>
      </c>
      <c r="L1728" s="2" t="str">
        <f>IF(ISNUMBER(SEARCH("|",IMDB_Movies!$D1728)),LEFT(IMDB_Movies!$D1728,SEARCH("|",IMDB_Movies!$D1728)-1),IMDB_Movies!$D1728)</f>
        <v>Comedy</v>
      </c>
      <c r="V1728" s="2"/>
      <c r="W1728" s="2"/>
    </row>
    <row r="1729" spans="1:23" ht="12.5" x14ac:dyDescent="0.25">
      <c r="A1729" s="2" t="s">
        <v>1081</v>
      </c>
      <c r="B1729" s="2">
        <v>133</v>
      </c>
      <c r="C1729" s="2">
        <v>172825435</v>
      </c>
      <c r="D1729" s="2" t="s">
        <v>1180</v>
      </c>
      <c r="E1729" s="2" t="s">
        <v>3058</v>
      </c>
      <c r="F1729" s="2" t="s">
        <v>14</v>
      </c>
      <c r="G1729" s="2" t="s">
        <v>15</v>
      </c>
      <c r="H1729" s="2">
        <v>25000000</v>
      </c>
      <c r="I1729" s="2">
        <v>8</v>
      </c>
      <c r="J1729" s="2">
        <f t="shared" si="12"/>
        <v>147825435</v>
      </c>
      <c r="K1729" s="2">
        <f t="shared" si="13"/>
        <v>-2.0959095213096232E-2</v>
      </c>
      <c r="L1729" s="2" t="str">
        <f>IF(ISNUMBER(SEARCH("|",IMDB_Movies!$D1729)),LEFT(IMDB_Movies!$D1729,SEARCH("|",IMDB_Movies!$D1729)-1),IMDB_Movies!$D1729)</f>
        <v>Drama</v>
      </c>
      <c r="V1729" s="2"/>
      <c r="W1729" s="2"/>
    </row>
    <row r="1730" spans="1:23" ht="12.5" x14ac:dyDescent="0.25">
      <c r="A1730" s="2" t="s">
        <v>1279</v>
      </c>
      <c r="B1730" s="2">
        <v>116</v>
      </c>
      <c r="C1730" s="2">
        <v>148085755</v>
      </c>
      <c r="D1730" s="2" t="s">
        <v>1180</v>
      </c>
      <c r="E1730" s="2" t="s">
        <v>3059</v>
      </c>
      <c r="F1730" s="2" t="s">
        <v>14</v>
      </c>
      <c r="G1730" s="2" t="s">
        <v>15</v>
      </c>
      <c r="H1730" s="2">
        <v>33000000</v>
      </c>
      <c r="I1730" s="2">
        <v>8.1999999999999993</v>
      </c>
      <c r="J1730" s="2">
        <f t="shared" si="12"/>
        <v>115085755</v>
      </c>
      <c r="K1730" s="2">
        <f t="shared" si="13"/>
        <v>-2.1043357357943073E-2</v>
      </c>
      <c r="L1730" s="2" t="str">
        <f>IF(ISNUMBER(SEARCH("|",IMDB_Movies!$D1730)),LEFT(IMDB_Movies!$D1730,SEARCH("|",IMDB_Movies!$D1730)-1),IMDB_Movies!$D1730)</f>
        <v>Drama</v>
      </c>
      <c r="V1730" s="2"/>
      <c r="W1730" s="2"/>
    </row>
    <row r="1731" spans="1:23" ht="12.5" x14ac:dyDescent="0.25">
      <c r="A1731" s="2" t="s">
        <v>284</v>
      </c>
      <c r="B1731" s="2">
        <v>129</v>
      </c>
      <c r="C1731" s="2">
        <v>25517500</v>
      </c>
      <c r="D1731" s="2" t="s">
        <v>2000</v>
      </c>
      <c r="E1731" s="2" t="s">
        <v>3060</v>
      </c>
      <c r="F1731" s="2" t="s">
        <v>14</v>
      </c>
      <c r="G1731" s="2" t="s">
        <v>15</v>
      </c>
      <c r="H1731" s="2">
        <v>25100000</v>
      </c>
      <c r="I1731" s="2">
        <v>6.4</v>
      </c>
      <c r="J1731" s="2">
        <f t="shared" si="12"/>
        <v>417500</v>
      </c>
      <c r="K1731" s="2">
        <f t="shared" si="13"/>
        <v>-2.1147077416983167E-2</v>
      </c>
      <c r="L1731" s="2" t="str">
        <f>IF(ISNUMBER(SEARCH("|",IMDB_Movies!$D1731)),LEFT(IMDB_Movies!$D1731,SEARCH("|",IMDB_Movies!$D1731)-1),IMDB_Movies!$D1731)</f>
        <v>Biography</v>
      </c>
      <c r="V1731" s="2"/>
      <c r="W1731" s="2"/>
    </row>
    <row r="1732" spans="1:23" ht="12.5" x14ac:dyDescent="0.25">
      <c r="A1732" s="2" t="s">
        <v>1690</v>
      </c>
      <c r="B1732" s="2">
        <v>93</v>
      </c>
      <c r="C1732" s="2">
        <v>145000989</v>
      </c>
      <c r="D1732" s="2" t="s">
        <v>25</v>
      </c>
      <c r="E1732" s="2" t="s">
        <v>3061</v>
      </c>
      <c r="F1732" s="2" t="s">
        <v>14</v>
      </c>
      <c r="G1732" s="2" t="s">
        <v>686</v>
      </c>
      <c r="H1732" s="2">
        <v>25000000</v>
      </c>
      <c r="I1732" s="2">
        <v>7.9</v>
      </c>
      <c r="J1732" s="2">
        <f t="shared" si="12"/>
        <v>120000989</v>
      </c>
      <c r="K1732" s="2">
        <f t="shared" si="13"/>
        <v>-2.114706778575887E-2</v>
      </c>
      <c r="L1732" s="2" t="str">
        <f>IF(ISNUMBER(SEARCH("|",IMDB_Movies!$D1732)),LEFT(IMDB_Movies!$D1732,SEARCH("|",IMDB_Movies!$D1732)-1),IMDB_Movies!$D1732)</f>
        <v>Action</v>
      </c>
      <c r="V1732" s="2"/>
      <c r="W1732" s="2"/>
    </row>
    <row r="1733" spans="1:23" ht="12.5" x14ac:dyDescent="0.25">
      <c r="A1733" s="2" t="s">
        <v>3062</v>
      </c>
      <c r="B1733" s="2">
        <v>118</v>
      </c>
      <c r="C1733" s="2">
        <v>26761283</v>
      </c>
      <c r="D1733" s="2" t="s">
        <v>85</v>
      </c>
      <c r="E1733" s="2" t="s">
        <v>3063</v>
      </c>
      <c r="F1733" s="2" t="s">
        <v>14</v>
      </c>
      <c r="G1733" s="2" t="s">
        <v>15</v>
      </c>
      <c r="H1733" s="2">
        <v>26000000</v>
      </c>
      <c r="I1733" s="2">
        <v>6.7</v>
      </c>
      <c r="J1733" s="2">
        <f t="shared" si="12"/>
        <v>761283</v>
      </c>
      <c r="K1733" s="2">
        <f t="shared" si="13"/>
        <v>-2.120380848711946E-2</v>
      </c>
      <c r="L1733" s="2" t="str">
        <f>IF(ISNUMBER(SEARCH("|",IMDB_Movies!$D1733)),LEFT(IMDB_Movies!$D1733,SEARCH("|",IMDB_Movies!$D1733)-1),IMDB_Movies!$D1733)</f>
        <v>Drama</v>
      </c>
      <c r="V1733" s="2"/>
      <c r="W1733" s="2"/>
    </row>
    <row r="1734" spans="1:23" ht="12.5" x14ac:dyDescent="0.25">
      <c r="A1734" s="2" t="s">
        <v>808</v>
      </c>
      <c r="B1734" s="2">
        <v>129</v>
      </c>
      <c r="C1734" s="2">
        <v>121945720</v>
      </c>
      <c r="D1734" s="2" t="s">
        <v>3064</v>
      </c>
      <c r="E1734" s="2" t="s">
        <v>3065</v>
      </c>
      <c r="F1734" s="2" t="s">
        <v>14</v>
      </c>
      <c r="G1734" s="2" t="s">
        <v>15</v>
      </c>
      <c r="H1734" s="2">
        <v>25000000</v>
      </c>
      <c r="I1734" s="2">
        <v>6.1</v>
      </c>
      <c r="J1734" s="2">
        <f t="shared" si="12"/>
        <v>96945720</v>
      </c>
      <c r="K1734" s="2">
        <f t="shared" si="13"/>
        <v>-2.1203950903017986E-2</v>
      </c>
      <c r="L1734" s="2" t="str">
        <f>IF(ISNUMBER(SEARCH("|",IMDB_Movies!$D1734)),LEFT(IMDB_Movies!$D1734,SEARCH("|",IMDB_Movies!$D1734)-1),IMDB_Movies!$D1734)</f>
        <v>Action</v>
      </c>
      <c r="V1734" s="2"/>
      <c r="W1734" s="2"/>
    </row>
    <row r="1735" spans="1:23" ht="12.5" x14ac:dyDescent="0.25">
      <c r="A1735" s="2" t="s">
        <v>141</v>
      </c>
      <c r="B1735" s="2">
        <v>185</v>
      </c>
      <c r="C1735" s="2">
        <v>96067179</v>
      </c>
      <c r="D1735" s="2" t="s">
        <v>2000</v>
      </c>
      <c r="E1735" s="2" t="s">
        <v>3066</v>
      </c>
      <c r="F1735" s="2" t="s">
        <v>14</v>
      </c>
      <c r="G1735" s="2" t="s">
        <v>15</v>
      </c>
      <c r="H1735" s="2">
        <v>22000000</v>
      </c>
      <c r="I1735" s="2">
        <v>8.9</v>
      </c>
      <c r="J1735" s="2">
        <f t="shared" si="12"/>
        <v>74067179</v>
      </c>
      <c r="K1735" s="2">
        <f t="shared" si="13"/>
        <v>-2.1241202119877945E-2</v>
      </c>
      <c r="L1735" s="2" t="str">
        <f>IF(ISNUMBER(SEARCH("|",IMDB_Movies!$D1735)),LEFT(IMDB_Movies!$D1735,SEARCH("|",IMDB_Movies!$D1735)-1),IMDB_Movies!$D1735)</f>
        <v>Biography</v>
      </c>
      <c r="V1735" s="2"/>
      <c r="W1735" s="2"/>
    </row>
    <row r="1736" spans="1:23" ht="12.5" x14ac:dyDescent="0.25">
      <c r="A1736" s="2" t="s">
        <v>2796</v>
      </c>
      <c r="B1736" s="2">
        <v>146</v>
      </c>
      <c r="C1736" s="2">
        <v>169705587</v>
      </c>
      <c r="D1736" s="2" t="s">
        <v>1180</v>
      </c>
      <c r="E1736" s="2" t="s">
        <v>3067</v>
      </c>
      <c r="F1736" s="2" t="s">
        <v>14</v>
      </c>
      <c r="G1736" s="2" t="s">
        <v>15</v>
      </c>
      <c r="H1736" s="2">
        <v>25000000</v>
      </c>
      <c r="I1736" s="2">
        <v>8.1</v>
      </c>
      <c r="J1736" s="2">
        <f t="shared" si="12"/>
        <v>144705587</v>
      </c>
      <c r="K1736" s="2">
        <f t="shared" si="13"/>
        <v>-2.1251398787642276E-2</v>
      </c>
      <c r="L1736" s="2" t="str">
        <f>IF(ISNUMBER(SEARCH("|",IMDB_Movies!$D1736)),LEFT(IMDB_Movies!$D1736,SEARCH("|",IMDB_Movies!$D1736)-1),IMDB_Movies!$D1736)</f>
        <v>Drama</v>
      </c>
      <c r="V1736" s="2"/>
      <c r="W1736" s="2"/>
    </row>
    <row r="1737" spans="1:23" ht="12.5" x14ac:dyDescent="0.25">
      <c r="A1737" s="2" t="s">
        <v>408</v>
      </c>
      <c r="B1737" s="2">
        <v>128</v>
      </c>
      <c r="C1737" s="2">
        <v>3254172</v>
      </c>
      <c r="D1737" s="2" t="s">
        <v>1243</v>
      </c>
      <c r="E1737" s="2" t="s">
        <v>3068</v>
      </c>
      <c r="F1737" s="2" t="s">
        <v>14</v>
      </c>
      <c r="G1737" s="2" t="s">
        <v>15</v>
      </c>
      <c r="H1737" s="2">
        <v>28000000</v>
      </c>
      <c r="I1737" s="2">
        <v>6.2</v>
      </c>
      <c r="J1737" s="2">
        <f t="shared" si="12"/>
        <v>-24745828</v>
      </c>
      <c r="K1737" s="2">
        <f t="shared" si="13"/>
        <v>-2.1335747982190022E-2</v>
      </c>
      <c r="L1737" s="2" t="str">
        <f>IF(ISNUMBER(SEARCH("|",IMDB_Movies!$D1737)),LEFT(IMDB_Movies!$D1737,SEARCH("|",IMDB_Movies!$D1737)-1),IMDB_Movies!$D1737)</f>
        <v>Biography</v>
      </c>
      <c r="V1737" s="2"/>
      <c r="W1737" s="2"/>
    </row>
    <row r="1738" spans="1:23" ht="12.5" x14ac:dyDescent="0.25">
      <c r="A1738" s="2" t="s">
        <v>564</v>
      </c>
      <c r="B1738" s="2">
        <v>93</v>
      </c>
      <c r="C1738" s="2">
        <v>84185387</v>
      </c>
      <c r="D1738" s="2" t="s">
        <v>3069</v>
      </c>
      <c r="E1738" s="2" t="s">
        <v>3070</v>
      </c>
      <c r="F1738" s="2" t="s">
        <v>14</v>
      </c>
      <c r="G1738" s="2" t="s">
        <v>15</v>
      </c>
      <c r="H1738" s="2">
        <v>80000000</v>
      </c>
      <c r="I1738" s="2">
        <v>4.9000000000000004</v>
      </c>
      <c r="J1738" s="2">
        <f t="shared" si="12"/>
        <v>4185387</v>
      </c>
      <c r="K1738" s="2">
        <f t="shared" si="13"/>
        <v>-2.1335012075874803E-2</v>
      </c>
      <c r="L1738" s="2" t="str">
        <f>IF(ISNUMBER(SEARCH("|",IMDB_Movies!$D1738)),LEFT(IMDB_Movies!$D1738,SEARCH("|",IMDB_Movies!$D1738)-1),IMDB_Movies!$D1738)</f>
        <v>Adventure</v>
      </c>
      <c r="V1738" s="2"/>
      <c r="W1738" s="2"/>
    </row>
    <row r="1739" spans="1:23" ht="12.5" x14ac:dyDescent="0.25">
      <c r="A1739" s="2" t="s">
        <v>2546</v>
      </c>
      <c r="B1739" s="2">
        <v>97</v>
      </c>
      <c r="C1739" s="2">
        <v>82163317</v>
      </c>
      <c r="D1739" s="2" t="s">
        <v>1667</v>
      </c>
      <c r="E1739" s="2" t="s">
        <v>3071</v>
      </c>
      <c r="F1739" s="2" t="s">
        <v>14</v>
      </c>
      <c r="G1739" s="2" t="s">
        <v>15</v>
      </c>
      <c r="H1739" s="2">
        <v>30000000</v>
      </c>
      <c r="I1739" s="2">
        <v>5.8</v>
      </c>
      <c r="J1739" s="2">
        <f t="shared" si="12"/>
        <v>52163317</v>
      </c>
      <c r="K1739" s="2">
        <f t="shared" si="13"/>
        <v>-2.1501428871009132E-2</v>
      </c>
      <c r="L1739" s="2" t="str">
        <f>IF(ISNUMBER(SEARCH("|",IMDB_Movies!$D1739)),LEFT(IMDB_Movies!$D1739,SEARCH("|",IMDB_Movies!$D1739)-1),IMDB_Movies!$D1739)</f>
        <v>Action</v>
      </c>
      <c r="V1739" s="2"/>
      <c r="W1739" s="2"/>
    </row>
    <row r="1740" spans="1:23" ht="12.5" x14ac:dyDescent="0.25">
      <c r="A1740" s="2" t="s">
        <v>1974</v>
      </c>
      <c r="B1740" s="2">
        <v>82</v>
      </c>
      <c r="C1740" s="2">
        <v>80920948</v>
      </c>
      <c r="D1740" s="2" t="s">
        <v>185</v>
      </c>
      <c r="E1740" s="2" t="s">
        <v>3072</v>
      </c>
      <c r="F1740" s="2" t="s">
        <v>14</v>
      </c>
      <c r="G1740" s="2" t="s">
        <v>15</v>
      </c>
      <c r="H1740" s="2">
        <v>30000000</v>
      </c>
      <c r="I1740" s="2">
        <v>6</v>
      </c>
      <c r="J1740" s="2">
        <f t="shared" si="12"/>
        <v>50920948</v>
      </c>
      <c r="K1740" s="2">
        <f t="shared" si="13"/>
        <v>-2.152819604594414E-2</v>
      </c>
      <c r="L1740" s="2" t="str">
        <f>IF(ISNUMBER(SEARCH("|",IMDB_Movies!$D1740)),LEFT(IMDB_Movies!$D1740,SEARCH("|",IMDB_Movies!$D1740)-1),IMDB_Movies!$D1740)</f>
        <v>Action</v>
      </c>
      <c r="V1740" s="2"/>
      <c r="W1740" s="2"/>
    </row>
    <row r="1741" spans="1:23" ht="12.5" x14ac:dyDescent="0.25">
      <c r="A1741" s="2" t="s">
        <v>223</v>
      </c>
      <c r="B1741" s="2">
        <v>85</v>
      </c>
      <c r="C1741" s="2">
        <v>80034302</v>
      </c>
      <c r="D1741" s="2" t="s">
        <v>1193</v>
      </c>
      <c r="E1741" s="2" t="s">
        <v>3073</v>
      </c>
      <c r="F1741" s="2" t="s">
        <v>14</v>
      </c>
      <c r="G1741" s="2" t="s">
        <v>15</v>
      </c>
      <c r="H1741" s="2">
        <v>25000000</v>
      </c>
      <c r="I1741" s="2">
        <v>7</v>
      </c>
      <c r="J1741" s="2">
        <f t="shared" si="12"/>
        <v>55034302</v>
      </c>
      <c r="K1741" s="2">
        <f t="shared" si="13"/>
        <v>-2.155417274435736E-2</v>
      </c>
      <c r="L1741" s="2" t="str">
        <f>IF(ISNUMBER(SEARCH("|",IMDB_Movies!$D1741)),LEFT(IMDB_Movies!$D1741,SEARCH("|",IMDB_Movies!$D1741)-1),IMDB_Movies!$D1741)</f>
        <v>Action</v>
      </c>
      <c r="V1741" s="2"/>
      <c r="W1741" s="2"/>
    </row>
    <row r="1742" spans="1:23" ht="12.5" x14ac:dyDescent="0.25">
      <c r="A1742" s="2" t="s">
        <v>3074</v>
      </c>
      <c r="B1742" s="2">
        <v>88</v>
      </c>
      <c r="C1742" s="2">
        <v>78656813</v>
      </c>
      <c r="D1742" s="2" t="s">
        <v>1053</v>
      </c>
      <c r="E1742" s="2" t="s">
        <v>3075</v>
      </c>
      <c r="F1742" s="2" t="s">
        <v>14</v>
      </c>
      <c r="G1742" s="2" t="s">
        <v>15</v>
      </c>
      <c r="H1742" s="2">
        <v>25000000</v>
      </c>
      <c r="I1742" s="2">
        <v>6</v>
      </c>
      <c r="J1742" s="2">
        <f t="shared" si="12"/>
        <v>53656813</v>
      </c>
      <c r="K1742" s="2">
        <f t="shared" si="13"/>
        <v>-2.1566673348424215E-2</v>
      </c>
      <c r="L1742" s="2" t="str">
        <f>IF(ISNUMBER(SEARCH("|",IMDB_Movies!$D1742)),LEFT(IMDB_Movies!$D1742,SEARCH("|",IMDB_Movies!$D1742)-1),IMDB_Movies!$D1742)</f>
        <v>Action</v>
      </c>
      <c r="V1742" s="2"/>
      <c r="W1742" s="2"/>
    </row>
    <row r="1743" spans="1:23" ht="12.5" x14ac:dyDescent="0.25">
      <c r="A1743" s="2" t="s">
        <v>803</v>
      </c>
      <c r="B1743" s="2">
        <v>119</v>
      </c>
      <c r="C1743" s="2">
        <v>76270454</v>
      </c>
      <c r="D1743" s="2" t="s">
        <v>763</v>
      </c>
      <c r="E1743" s="2" t="s">
        <v>3076</v>
      </c>
      <c r="F1743" s="2" t="s">
        <v>14</v>
      </c>
      <c r="G1743" s="2" t="s">
        <v>15</v>
      </c>
      <c r="H1743" s="2">
        <v>25000000</v>
      </c>
      <c r="I1743" s="2">
        <v>7.9</v>
      </c>
      <c r="J1743" s="2">
        <f t="shared" si="12"/>
        <v>51270454</v>
      </c>
      <c r="K1743" s="2">
        <f t="shared" si="13"/>
        <v>-2.1578588935276102E-2</v>
      </c>
      <c r="L1743" s="2" t="str">
        <f>IF(ISNUMBER(SEARCH("|",IMDB_Movies!$D1743)),LEFT(IMDB_Movies!$D1743,SEARCH("|",IMDB_Movies!$D1743)-1),IMDB_Movies!$D1743)</f>
        <v>Crime</v>
      </c>
      <c r="V1743" s="2"/>
      <c r="W1743" s="2"/>
    </row>
    <row r="1744" spans="1:23" ht="12.5" x14ac:dyDescent="0.25">
      <c r="A1744" s="2" t="s">
        <v>2371</v>
      </c>
      <c r="B1744" s="2">
        <v>122</v>
      </c>
      <c r="C1744" s="2">
        <v>74273505</v>
      </c>
      <c r="D1744" s="2" t="s">
        <v>763</v>
      </c>
      <c r="E1744" s="2" t="s">
        <v>3077</v>
      </c>
      <c r="F1744" s="2" t="s">
        <v>14</v>
      </c>
      <c r="G1744" s="2" t="s">
        <v>15</v>
      </c>
      <c r="H1744" s="2">
        <v>25000000</v>
      </c>
      <c r="I1744" s="2">
        <v>8.1</v>
      </c>
      <c r="J1744" s="2">
        <f t="shared" si="12"/>
        <v>49273505</v>
      </c>
      <c r="K1744" s="2">
        <f t="shared" si="13"/>
        <v>-2.1589496801221957E-2</v>
      </c>
      <c r="L1744" s="2" t="str">
        <f>IF(ISNUMBER(SEARCH("|",IMDB_Movies!$D1744)),LEFT(IMDB_Movies!$D1744,SEARCH("|",IMDB_Movies!$D1744)-1),IMDB_Movies!$D1744)</f>
        <v>Crime</v>
      </c>
      <c r="V1744" s="2"/>
      <c r="W1744" s="2"/>
    </row>
    <row r="1745" spans="1:23" ht="12.5" x14ac:dyDescent="0.25">
      <c r="A1745" s="2" t="s">
        <v>490</v>
      </c>
      <c r="B1745" s="2">
        <v>99</v>
      </c>
      <c r="C1745" s="2">
        <v>134141530</v>
      </c>
      <c r="D1745" s="2" t="s">
        <v>1920</v>
      </c>
      <c r="E1745" s="2" t="s">
        <v>3078</v>
      </c>
      <c r="F1745" s="2" t="s">
        <v>14</v>
      </c>
      <c r="G1745" s="2" t="s">
        <v>15</v>
      </c>
      <c r="H1745" s="2">
        <v>25000000</v>
      </c>
      <c r="I1745" s="2">
        <v>6.2</v>
      </c>
      <c r="J1745" s="2">
        <f t="shared" si="12"/>
        <v>109141530</v>
      </c>
      <c r="K1745" s="2">
        <f t="shared" si="13"/>
        <v>-2.1599597121868739E-2</v>
      </c>
      <c r="L1745" s="2" t="str">
        <f>IF(ISNUMBER(SEARCH("|",IMDB_Movies!$D1745)),LEFT(IMDB_Movies!$D1745,SEARCH("|",IMDB_Movies!$D1745)-1),IMDB_Movies!$D1745)</f>
        <v>Action</v>
      </c>
      <c r="V1745" s="2"/>
      <c r="W1745" s="2"/>
    </row>
    <row r="1746" spans="1:23" ht="12.5" x14ac:dyDescent="0.25">
      <c r="A1746" s="2" t="s">
        <v>3079</v>
      </c>
      <c r="B1746" s="2">
        <v>97</v>
      </c>
      <c r="C1746" s="2">
        <v>71500556</v>
      </c>
      <c r="D1746" s="2" t="s">
        <v>514</v>
      </c>
      <c r="E1746" s="2" t="s">
        <v>3080</v>
      </c>
      <c r="F1746" s="2" t="s">
        <v>14</v>
      </c>
      <c r="G1746" s="2" t="s">
        <v>22</v>
      </c>
      <c r="H1746" s="2">
        <v>26000000</v>
      </c>
      <c r="I1746" s="2">
        <v>6.7</v>
      </c>
      <c r="J1746" s="2">
        <f t="shared" si="12"/>
        <v>45500556</v>
      </c>
      <c r="K1746" s="2">
        <f t="shared" si="13"/>
        <v>-2.1649411063724783E-2</v>
      </c>
      <c r="L1746" s="2" t="str">
        <f>IF(ISNUMBER(SEARCH("|",IMDB_Movies!$D1746)),LEFT(IMDB_Movies!$D1746,SEARCH("|",IMDB_Movies!$D1746)-1),IMDB_Movies!$D1746)</f>
        <v>Comedy</v>
      </c>
      <c r="V1746" s="2"/>
      <c r="W1746" s="2"/>
    </row>
    <row r="1747" spans="1:23" ht="12.5" x14ac:dyDescent="0.25">
      <c r="A1747" s="2" t="s">
        <v>2527</v>
      </c>
      <c r="B1747" s="2">
        <v>121</v>
      </c>
      <c r="C1747" s="2">
        <v>71309760</v>
      </c>
      <c r="D1747" s="2" t="s">
        <v>85</v>
      </c>
      <c r="E1747" s="2" t="s">
        <v>3081</v>
      </c>
      <c r="F1747" s="2" t="s">
        <v>14</v>
      </c>
      <c r="G1747" s="2" t="s">
        <v>22</v>
      </c>
      <c r="H1747" s="2">
        <v>25000000</v>
      </c>
      <c r="I1747" s="2">
        <v>7.3</v>
      </c>
      <c r="J1747" s="2">
        <f t="shared" si="12"/>
        <v>46309760</v>
      </c>
      <c r="K1747" s="2">
        <f t="shared" si="13"/>
        <v>-2.1660733568675237E-2</v>
      </c>
      <c r="L1747" s="2" t="str">
        <f>IF(ISNUMBER(SEARCH("|",IMDB_Movies!$D1747)),LEFT(IMDB_Movies!$D1747,SEARCH("|",IMDB_Movies!$D1747)-1),IMDB_Movies!$D1747)</f>
        <v>Drama</v>
      </c>
      <c r="V1747" s="2"/>
      <c r="W1747" s="2"/>
    </row>
    <row r="1748" spans="1:23" ht="12.5" x14ac:dyDescent="0.25">
      <c r="A1748" s="2" t="s">
        <v>3082</v>
      </c>
      <c r="B1748" s="2">
        <v>95</v>
      </c>
      <c r="C1748" s="2">
        <v>89808372</v>
      </c>
      <c r="D1748" s="2" t="s">
        <v>709</v>
      </c>
      <c r="E1748" s="2" t="s">
        <v>3083</v>
      </c>
      <c r="F1748" s="2" t="s">
        <v>14</v>
      </c>
      <c r="G1748" s="2" t="s">
        <v>15</v>
      </c>
      <c r="H1748" s="2">
        <v>45000000</v>
      </c>
      <c r="I1748" s="2">
        <v>4.5999999999999996</v>
      </c>
      <c r="J1748" s="2">
        <f t="shared" si="12"/>
        <v>44808372</v>
      </c>
      <c r="K1748" s="2">
        <f t="shared" si="13"/>
        <v>-2.1669788855472161E-2</v>
      </c>
      <c r="L1748" s="2" t="str">
        <f>IF(ISNUMBER(SEARCH("|",IMDB_Movies!$D1748)),LEFT(IMDB_Movies!$D1748,SEARCH("|",IMDB_Movies!$D1748)-1),IMDB_Movies!$D1748)</f>
        <v>Comedy</v>
      </c>
      <c r="V1748" s="2"/>
      <c r="W1748" s="2"/>
    </row>
    <row r="1749" spans="1:23" ht="12.5" x14ac:dyDescent="0.25">
      <c r="A1749" s="2" t="s">
        <v>1743</v>
      </c>
      <c r="B1749" s="2">
        <v>105</v>
      </c>
      <c r="C1749" s="2">
        <v>77264926</v>
      </c>
      <c r="D1749" s="2" t="s">
        <v>1058</v>
      </c>
      <c r="E1749" s="2" t="s">
        <v>3084</v>
      </c>
      <c r="F1749" s="2" t="s">
        <v>14</v>
      </c>
      <c r="G1749" s="2" t="s">
        <v>15</v>
      </c>
      <c r="H1749" s="2">
        <v>25000000</v>
      </c>
      <c r="I1749" s="2">
        <v>6.1</v>
      </c>
      <c r="J1749" s="2">
        <f t="shared" si="12"/>
        <v>52264926</v>
      </c>
      <c r="K1749" s="2">
        <f t="shared" si="13"/>
        <v>-2.1748731459080073E-2</v>
      </c>
      <c r="L1749" s="2" t="str">
        <f>IF(ISNUMBER(SEARCH("|",IMDB_Movies!$D1749)),LEFT(IMDB_Movies!$D1749,SEARCH("|",IMDB_Movies!$D1749)-1),IMDB_Movies!$D1749)</f>
        <v>Comedy</v>
      </c>
      <c r="V1749" s="2"/>
      <c r="W1749" s="2"/>
    </row>
    <row r="1750" spans="1:23" ht="12.5" x14ac:dyDescent="0.25">
      <c r="A1750" s="2" t="s">
        <v>947</v>
      </c>
      <c r="B1750" s="2">
        <v>108</v>
      </c>
      <c r="C1750" s="2">
        <v>70625986</v>
      </c>
      <c r="D1750" s="2" t="s">
        <v>600</v>
      </c>
      <c r="E1750" s="2" t="s">
        <v>3085</v>
      </c>
      <c r="F1750" s="2" t="s">
        <v>14</v>
      </c>
      <c r="G1750" s="2" t="s">
        <v>15</v>
      </c>
      <c r="H1750" s="2">
        <v>25000000</v>
      </c>
      <c r="I1750" s="2">
        <v>6.2</v>
      </c>
      <c r="J1750" s="2">
        <f t="shared" si="12"/>
        <v>45625986</v>
      </c>
      <c r="K1750" s="2">
        <f t="shared" si="13"/>
        <v>-2.1760394183110435E-2</v>
      </c>
      <c r="L1750" s="2" t="str">
        <f>IF(ISNUMBER(SEARCH("|",IMDB_Movies!$D1750)),LEFT(IMDB_Movies!$D1750,SEARCH("|",IMDB_Movies!$D1750)-1),IMDB_Movies!$D1750)</f>
        <v>Comedy</v>
      </c>
      <c r="V1750" s="2"/>
      <c r="W1750" s="2"/>
    </row>
    <row r="1751" spans="1:23" ht="12.5" x14ac:dyDescent="0.25">
      <c r="A1751" s="2" t="s">
        <v>2012</v>
      </c>
      <c r="B1751" s="2">
        <v>134</v>
      </c>
      <c r="C1751" s="2">
        <v>56505065</v>
      </c>
      <c r="D1751" s="2" t="s">
        <v>3086</v>
      </c>
      <c r="E1751" s="2" t="s">
        <v>3087</v>
      </c>
      <c r="F1751" s="2" t="s">
        <v>14</v>
      </c>
      <c r="G1751" s="2" t="s">
        <v>15</v>
      </c>
      <c r="H1751" s="2">
        <v>25000000</v>
      </c>
      <c r="I1751" s="2">
        <v>7.8</v>
      </c>
      <c r="J1751" s="2">
        <f t="shared" si="12"/>
        <v>31505065</v>
      </c>
      <c r="K1751" s="2">
        <f t="shared" si="13"/>
        <v>-2.1769316170112074E-2</v>
      </c>
      <c r="L1751" s="2" t="str">
        <f>IF(ISNUMBER(SEARCH("|",IMDB_Movies!$D1751)),LEFT(IMDB_Movies!$D1751,SEARCH("|",IMDB_Movies!$D1751)-1),IMDB_Movies!$D1751)</f>
        <v>Action</v>
      </c>
      <c r="V1751" s="2"/>
      <c r="W1751" s="2"/>
    </row>
    <row r="1752" spans="1:23" ht="12.5" x14ac:dyDescent="0.25">
      <c r="A1752" s="2" t="s">
        <v>1192</v>
      </c>
      <c r="B1752" s="2">
        <v>115</v>
      </c>
      <c r="C1752" s="2">
        <v>55973336</v>
      </c>
      <c r="D1752" s="2" t="s">
        <v>125</v>
      </c>
      <c r="E1752" s="2" t="s">
        <v>3088</v>
      </c>
      <c r="F1752" s="2" t="s">
        <v>14</v>
      </c>
      <c r="G1752" s="2" t="s">
        <v>15</v>
      </c>
      <c r="H1752" s="2">
        <v>25000000</v>
      </c>
      <c r="I1752" s="2">
        <v>6.1</v>
      </c>
      <c r="J1752" s="2">
        <f t="shared" si="12"/>
        <v>30973336</v>
      </c>
      <c r="K1752" s="2">
        <f t="shared" si="13"/>
        <v>-2.1773597936145753E-2</v>
      </c>
      <c r="L1752" s="2" t="str">
        <f>IF(ISNUMBER(SEARCH("|",IMDB_Movies!$D1752)),LEFT(IMDB_Movies!$D1752,SEARCH("|",IMDB_Movies!$D1752)-1),IMDB_Movies!$D1752)</f>
        <v>Action</v>
      </c>
      <c r="V1752" s="2"/>
      <c r="W1752" s="2"/>
    </row>
    <row r="1753" spans="1:23" ht="12.5" x14ac:dyDescent="0.25">
      <c r="A1753" s="2" t="s">
        <v>1863</v>
      </c>
      <c r="B1753" s="2">
        <v>86</v>
      </c>
      <c r="C1753" s="2">
        <v>54098051</v>
      </c>
      <c r="D1753" s="2" t="s">
        <v>2148</v>
      </c>
      <c r="E1753" s="2" t="s">
        <v>3089</v>
      </c>
      <c r="F1753" s="2" t="s">
        <v>14</v>
      </c>
      <c r="G1753" s="2" t="s">
        <v>287</v>
      </c>
      <c r="H1753" s="2">
        <v>25000000</v>
      </c>
      <c r="I1753" s="2">
        <v>5.8</v>
      </c>
      <c r="J1753" s="2">
        <f t="shared" si="12"/>
        <v>29098051</v>
      </c>
      <c r="K1753" s="2">
        <f t="shared" si="13"/>
        <v>-2.1777744309111759E-2</v>
      </c>
      <c r="L1753" s="2" t="str">
        <f>IF(ISNUMBER(SEARCH("|",IMDB_Movies!$D1753)),LEFT(IMDB_Movies!$D1753,SEARCH("|",IMDB_Movies!$D1753)-1),IMDB_Movies!$D1753)</f>
        <v>Horror</v>
      </c>
      <c r="V1753" s="2"/>
      <c r="W1753" s="2"/>
    </row>
    <row r="1754" spans="1:23" ht="12.5" x14ac:dyDescent="0.25">
      <c r="A1754" s="2" t="s">
        <v>2400</v>
      </c>
      <c r="B1754" s="2">
        <v>101</v>
      </c>
      <c r="C1754" s="2">
        <v>60443237</v>
      </c>
      <c r="D1754" s="2" t="s">
        <v>85</v>
      </c>
      <c r="E1754" s="2" t="s">
        <v>3090</v>
      </c>
      <c r="F1754" s="2" t="s">
        <v>14</v>
      </c>
      <c r="G1754" s="2" t="s">
        <v>15</v>
      </c>
      <c r="H1754" s="2">
        <v>25000000</v>
      </c>
      <c r="I1754" s="2">
        <v>6.5</v>
      </c>
      <c r="J1754" s="2">
        <f t="shared" si="12"/>
        <v>35443237</v>
      </c>
      <c r="K1754" s="2">
        <f t="shared" si="13"/>
        <v>-2.1781413357814968E-2</v>
      </c>
      <c r="L1754" s="2" t="str">
        <f>IF(ISNUMBER(SEARCH("|",IMDB_Movies!$D1754)),LEFT(IMDB_Movies!$D1754,SEARCH("|",IMDB_Movies!$D1754)-1),IMDB_Movies!$D1754)</f>
        <v>Drama</v>
      </c>
      <c r="V1754" s="2"/>
      <c r="W1754" s="2"/>
    </row>
    <row r="1755" spans="1:23" ht="12.5" x14ac:dyDescent="0.25">
      <c r="A1755" s="2" t="s">
        <v>3091</v>
      </c>
      <c r="B1755" s="2">
        <v>96</v>
      </c>
      <c r="C1755" s="2">
        <v>82234139</v>
      </c>
      <c r="D1755" s="2" t="s">
        <v>214</v>
      </c>
      <c r="E1755" s="2" t="s">
        <v>3092</v>
      </c>
      <c r="F1755" s="2" t="s">
        <v>14</v>
      </c>
      <c r="G1755" s="2" t="s">
        <v>15</v>
      </c>
      <c r="H1755" s="2">
        <v>17000000</v>
      </c>
      <c r="I1755" s="2">
        <v>7.2</v>
      </c>
      <c r="J1755" s="2">
        <f t="shared" si="12"/>
        <v>65234139</v>
      </c>
      <c r="K1755" s="2">
        <f t="shared" si="13"/>
        <v>-2.1786848965758061E-2</v>
      </c>
      <c r="L1755" s="2" t="str">
        <f>IF(ISNUMBER(SEARCH("|",IMDB_Movies!$D1755)),LEFT(IMDB_Movies!$D1755,SEARCH("|",IMDB_Movies!$D1755)-1),IMDB_Movies!$D1755)</f>
        <v>Adventure</v>
      </c>
      <c r="V1755" s="2"/>
      <c r="W1755" s="2"/>
    </row>
    <row r="1756" spans="1:23" ht="12.5" x14ac:dyDescent="0.25">
      <c r="A1756" s="2" t="s">
        <v>54</v>
      </c>
      <c r="B1756" s="2">
        <v>101</v>
      </c>
      <c r="C1756" s="2">
        <v>51676606</v>
      </c>
      <c r="D1756" s="2" t="s">
        <v>3093</v>
      </c>
      <c r="E1756" s="2" t="s">
        <v>3094</v>
      </c>
      <c r="F1756" s="2" t="s">
        <v>14</v>
      </c>
      <c r="G1756" s="2" t="s">
        <v>15</v>
      </c>
      <c r="H1756" s="2">
        <v>25000000</v>
      </c>
      <c r="I1756" s="2">
        <v>7.8</v>
      </c>
      <c r="J1756" s="2">
        <f t="shared" si="12"/>
        <v>26676606</v>
      </c>
      <c r="K1756" s="2">
        <f t="shared" si="13"/>
        <v>-2.1779161956029646E-2</v>
      </c>
      <c r="L1756" s="2" t="str">
        <f>IF(ISNUMBER(SEARCH("|",IMDB_Movies!$D1756)),LEFT(IMDB_Movies!$D1756,SEARCH("|",IMDB_Movies!$D1756)-1),IMDB_Movies!$D1756)</f>
        <v>Biography</v>
      </c>
      <c r="V1756" s="2"/>
      <c r="W1756" s="2"/>
    </row>
    <row r="1757" spans="1:23" ht="12.5" x14ac:dyDescent="0.25">
      <c r="A1757" s="2" t="s">
        <v>3095</v>
      </c>
      <c r="B1757" s="2">
        <v>100</v>
      </c>
      <c r="C1757" s="2">
        <v>52528330</v>
      </c>
      <c r="D1757" s="2" t="s">
        <v>891</v>
      </c>
      <c r="E1757" s="2" t="s">
        <v>3096</v>
      </c>
      <c r="F1757" s="2" t="s">
        <v>14</v>
      </c>
      <c r="G1757" s="2" t="s">
        <v>15</v>
      </c>
      <c r="H1757" s="2">
        <v>25000000</v>
      </c>
      <c r="I1757" s="2">
        <v>4.7</v>
      </c>
      <c r="J1757" s="2">
        <f t="shared" si="12"/>
        <v>27528330</v>
      </c>
      <c r="K1757" s="2">
        <f t="shared" si="13"/>
        <v>-2.1782266645083901E-2</v>
      </c>
      <c r="L1757" s="2" t="str">
        <f>IF(ISNUMBER(SEARCH("|",IMDB_Movies!$D1757)),LEFT(IMDB_Movies!$D1757,SEARCH("|",IMDB_Movies!$D1757)-1),IMDB_Movies!$D1757)</f>
        <v>Comedy</v>
      </c>
      <c r="V1757" s="2"/>
      <c r="W1757" s="2"/>
    </row>
    <row r="1758" spans="1:23" ht="12.5" x14ac:dyDescent="0.25">
      <c r="A1758" s="2" t="s">
        <v>3097</v>
      </c>
      <c r="B1758" s="2">
        <v>117</v>
      </c>
      <c r="C1758" s="2">
        <v>51533608</v>
      </c>
      <c r="D1758" s="2" t="s">
        <v>267</v>
      </c>
      <c r="E1758" s="2" t="s">
        <v>3098</v>
      </c>
      <c r="F1758" s="2" t="s">
        <v>14</v>
      </c>
      <c r="G1758" s="2" t="s">
        <v>15</v>
      </c>
      <c r="H1758" s="2">
        <v>25000000</v>
      </c>
      <c r="I1758" s="2">
        <v>6.8</v>
      </c>
      <c r="J1758" s="2">
        <f t="shared" si="12"/>
        <v>26533608</v>
      </c>
      <c r="K1758" s="2">
        <f t="shared" si="13"/>
        <v>-2.1785575644215203E-2</v>
      </c>
      <c r="L1758" s="2" t="str">
        <f>IF(ISNUMBER(SEARCH("|",IMDB_Movies!$D1758)),LEFT(IMDB_Movies!$D1758,SEARCH("|",IMDB_Movies!$D1758)-1),IMDB_Movies!$D1758)</f>
        <v>Action</v>
      </c>
      <c r="V1758" s="2"/>
      <c r="W1758" s="2"/>
    </row>
    <row r="1759" spans="1:23" ht="12.5" x14ac:dyDescent="0.25">
      <c r="A1759" s="2" t="s">
        <v>3099</v>
      </c>
      <c r="B1759" s="2">
        <v>101</v>
      </c>
      <c r="C1759" s="2">
        <v>51097664</v>
      </c>
      <c r="D1759" s="2" t="s">
        <v>2061</v>
      </c>
      <c r="E1759" s="2" t="s">
        <v>3100</v>
      </c>
      <c r="F1759" s="2" t="s">
        <v>14</v>
      </c>
      <c r="G1759" s="2" t="s">
        <v>15</v>
      </c>
      <c r="H1759" s="2">
        <v>30000000</v>
      </c>
      <c r="I1759" s="2">
        <v>5.9</v>
      </c>
      <c r="J1759" s="2">
        <f t="shared" si="12"/>
        <v>21097664</v>
      </c>
      <c r="K1759" s="2">
        <f t="shared" si="13"/>
        <v>-2.1788656931726436E-2</v>
      </c>
      <c r="L1759" s="2" t="str">
        <f>IF(ISNUMBER(SEARCH("|",IMDB_Movies!$D1759)),LEFT(IMDB_Movies!$D1759,SEARCH("|",IMDB_Movies!$D1759)-1),IMDB_Movies!$D1759)</f>
        <v>Drama</v>
      </c>
      <c r="V1759" s="2"/>
      <c r="W1759" s="2"/>
    </row>
    <row r="1760" spans="1:23" ht="12.5" x14ac:dyDescent="0.25">
      <c r="A1760" s="2" t="s">
        <v>622</v>
      </c>
      <c r="B1760" s="2">
        <v>98</v>
      </c>
      <c r="C1760" s="2">
        <v>84136909</v>
      </c>
      <c r="D1760" s="2" t="s">
        <v>709</v>
      </c>
      <c r="E1760" s="2" t="s">
        <v>3101</v>
      </c>
      <c r="F1760" s="2" t="s">
        <v>14</v>
      </c>
      <c r="G1760" s="2" t="s">
        <v>15</v>
      </c>
      <c r="H1760" s="2">
        <v>26000000</v>
      </c>
      <c r="I1760" s="2">
        <v>7.2</v>
      </c>
      <c r="J1760" s="2">
        <f t="shared" si="12"/>
        <v>58136909</v>
      </c>
      <c r="K1760" s="2">
        <f t="shared" si="13"/>
        <v>-2.1798164700097152E-2</v>
      </c>
      <c r="L1760" s="2" t="str">
        <f>IF(ISNUMBER(SEARCH("|",IMDB_Movies!$D1760)),LEFT(IMDB_Movies!$D1760,SEARCH("|",IMDB_Movies!$D1760)-1),IMDB_Movies!$D1760)</f>
        <v>Comedy</v>
      </c>
      <c r="V1760" s="2"/>
      <c r="W1760" s="2"/>
    </row>
    <row r="1761" spans="1:23" ht="12.5" x14ac:dyDescent="0.25">
      <c r="A1761" s="2" t="s">
        <v>191</v>
      </c>
      <c r="B1761" s="2">
        <v>146</v>
      </c>
      <c r="C1761" s="2">
        <v>46836394</v>
      </c>
      <c r="D1761" s="2" t="s">
        <v>614</v>
      </c>
      <c r="E1761" s="2" t="s">
        <v>3102</v>
      </c>
      <c r="F1761" s="2" t="s">
        <v>14</v>
      </c>
      <c r="G1761" s="2" t="s">
        <v>15</v>
      </c>
      <c r="H1761" s="2">
        <v>25000000</v>
      </c>
      <c r="I1761" s="2">
        <v>8.6999999999999993</v>
      </c>
      <c r="J1761" s="2">
        <f t="shared" si="12"/>
        <v>21836394</v>
      </c>
      <c r="K1761" s="2">
        <f t="shared" si="13"/>
        <v>-2.1816138494599433E-2</v>
      </c>
      <c r="L1761" s="2" t="str">
        <f>IF(ISNUMBER(SEARCH("|",IMDB_Movies!$D1761)),LEFT(IMDB_Movies!$D1761,SEARCH("|",IMDB_Movies!$D1761)-1),IMDB_Movies!$D1761)</f>
        <v>Biography</v>
      </c>
      <c r="V1761" s="2"/>
      <c r="W1761" s="2"/>
    </row>
    <row r="1762" spans="1:23" ht="12.5" x14ac:dyDescent="0.25">
      <c r="A1762" s="2" t="s">
        <v>1501</v>
      </c>
      <c r="B1762" s="2">
        <v>102</v>
      </c>
      <c r="C1762" s="2">
        <v>47285499</v>
      </c>
      <c r="D1762" s="2" t="s">
        <v>3103</v>
      </c>
      <c r="E1762" s="2" t="s">
        <v>3104</v>
      </c>
      <c r="F1762" s="2" t="s">
        <v>14</v>
      </c>
      <c r="G1762" s="2" t="s">
        <v>15</v>
      </c>
      <c r="H1762" s="2">
        <v>26000000</v>
      </c>
      <c r="I1762" s="2">
        <v>5</v>
      </c>
      <c r="J1762" s="2">
        <f t="shared" si="12"/>
        <v>21285499</v>
      </c>
      <c r="K1762" s="2">
        <f t="shared" si="13"/>
        <v>-2.1818256793695638E-2</v>
      </c>
      <c r="L1762" s="2" t="str">
        <f>IF(ISNUMBER(SEARCH("|",IMDB_Movies!$D1762)),LEFT(IMDB_Movies!$D1762,SEARCH("|",IMDB_Movies!$D1762)-1),IMDB_Movies!$D1762)</f>
        <v>Action</v>
      </c>
      <c r="V1762" s="2"/>
      <c r="W1762" s="2"/>
    </row>
    <row r="1763" spans="1:23" ht="12.5" x14ac:dyDescent="0.25">
      <c r="A1763" s="2" t="s">
        <v>2369</v>
      </c>
      <c r="B1763" s="2">
        <v>97</v>
      </c>
      <c r="C1763" s="2">
        <v>47124400</v>
      </c>
      <c r="D1763" s="2" t="s">
        <v>204</v>
      </c>
      <c r="E1763" s="2" t="s">
        <v>3105</v>
      </c>
      <c r="F1763" s="2" t="s">
        <v>14</v>
      </c>
      <c r="G1763" s="2" t="s">
        <v>15</v>
      </c>
      <c r="H1763" s="2">
        <v>25000000</v>
      </c>
      <c r="I1763" s="2">
        <v>6.6</v>
      </c>
      <c r="J1763" s="2">
        <f t="shared" si="12"/>
        <v>22124400</v>
      </c>
      <c r="K1763" s="2">
        <f t="shared" si="13"/>
        <v>-2.1821597712264815E-2</v>
      </c>
      <c r="L1763" s="2" t="str">
        <f>IF(ISNUMBER(SEARCH("|",IMDB_Movies!$D1763)),LEFT(IMDB_Movies!$D1763,SEARCH("|",IMDB_Movies!$D1763)-1),IMDB_Movies!$D1763)</f>
        <v>Comedy</v>
      </c>
      <c r="V1763" s="2"/>
      <c r="W1763" s="2"/>
    </row>
    <row r="1764" spans="1:23" ht="12.5" x14ac:dyDescent="0.25">
      <c r="A1764" s="2" t="s">
        <v>803</v>
      </c>
      <c r="B1764" s="2">
        <v>142</v>
      </c>
      <c r="C1764" s="2">
        <v>44700000</v>
      </c>
      <c r="D1764" s="2" t="s">
        <v>694</v>
      </c>
      <c r="E1764" s="2" t="s">
        <v>3106</v>
      </c>
      <c r="F1764" s="2" t="s">
        <v>14</v>
      </c>
      <c r="G1764" s="2" t="s">
        <v>15</v>
      </c>
      <c r="H1764" s="2">
        <v>25000000</v>
      </c>
      <c r="I1764" s="2">
        <v>8.3000000000000007</v>
      </c>
      <c r="J1764" s="2">
        <f t="shared" si="12"/>
        <v>19700000</v>
      </c>
      <c r="K1764" s="2">
        <f t="shared" si="13"/>
        <v>-2.1823777991860381E-2</v>
      </c>
      <c r="L1764" s="2" t="str">
        <f>IF(ISNUMBER(SEARCH("|",IMDB_Movies!$D1764)),LEFT(IMDB_Movies!$D1764,SEARCH("|",IMDB_Movies!$D1764)-1),IMDB_Movies!$D1764)</f>
        <v>Crime</v>
      </c>
      <c r="V1764" s="2"/>
      <c r="W1764" s="2"/>
    </row>
    <row r="1765" spans="1:23" ht="12.5" x14ac:dyDescent="0.25">
      <c r="A1765" s="2" t="s">
        <v>1695</v>
      </c>
      <c r="B1765" s="2">
        <v>98</v>
      </c>
      <c r="C1765" s="2">
        <v>44455658</v>
      </c>
      <c r="D1765" s="2" t="s">
        <v>498</v>
      </c>
      <c r="E1765" s="2" t="s">
        <v>3107</v>
      </c>
      <c r="F1765" s="2" t="s">
        <v>14</v>
      </c>
      <c r="G1765" s="2" t="s">
        <v>15</v>
      </c>
      <c r="H1765" s="2">
        <v>25000000</v>
      </c>
      <c r="I1765" s="2">
        <v>6.7</v>
      </c>
      <c r="J1765" s="2">
        <f t="shared" si="12"/>
        <v>19455658</v>
      </c>
      <c r="K1765" s="2">
        <f t="shared" si="13"/>
        <v>-2.1825515999387753E-2</v>
      </c>
      <c r="L1765" s="2" t="str">
        <f>IF(ISNUMBER(SEARCH("|",IMDB_Movies!$D1765)),LEFT(IMDB_Movies!$D1765,SEARCH("|",IMDB_Movies!$D1765)-1),IMDB_Movies!$D1765)</f>
        <v>Action</v>
      </c>
      <c r="V1765" s="2"/>
      <c r="W1765" s="2"/>
    </row>
    <row r="1766" spans="1:23" ht="12.5" x14ac:dyDescent="0.25">
      <c r="A1766" s="2" t="s">
        <v>3108</v>
      </c>
      <c r="B1766" s="2">
        <v>219</v>
      </c>
      <c r="C1766" s="2">
        <v>43984230</v>
      </c>
      <c r="D1766" s="2" t="s">
        <v>2000</v>
      </c>
      <c r="E1766" s="2" t="s">
        <v>3109</v>
      </c>
      <c r="F1766" s="2" t="s">
        <v>14</v>
      </c>
      <c r="G1766" s="2" t="s">
        <v>331</v>
      </c>
      <c r="H1766" s="2">
        <v>23000000</v>
      </c>
      <c r="I1766" s="2">
        <v>7.8</v>
      </c>
      <c r="J1766" s="2">
        <f t="shared" si="12"/>
        <v>20984230</v>
      </c>
      <c r="K1766" s="2">
        <f t="shared" si="13"/>
        <v>-2.1827214147825069E-2</v>
      </c>
      <c r="L1766" s="2" t="str">
        <f>IF(ISNUMBER(SEARCH("|",IMDB_Movies!$D1766)),LEFT(IMDB_Movies!$D1766,SEARCH("|",IMDB_Movies!$D1766)-1),IMDB_Movies!$D1766)</f>
        <v>Biography</v>
      </c>
      <c r="V1766" s="2"/>
      <c r="W1766" s="2"/>
    </row>
    <row r="1767" spans="1:23" ht="12.5" x14ac:dyDescent="0.25">
      <c r="A1767" s="2" t="s">
        <v>1322</v>
      </c>
      <c r="B1767" s="2">
        <v>109</v>
      </c>
      <c r="C1767" s="2">
        <v>66489425</v>
      </c>
      <c r="D1767" s="2" t="s">
        <v>177</v>
      </c>
      <c r="E1767" s="2" t="s">
        <v>3110</v>
      </c>
      <c r="F1767" s="2" t="s">
        <v>14</v>
      </c>
      <c r="G1767" s="2" t="s">
        <v>15</v>
      </c>
      <c r="H1767" s="2">
        <v>25000000</v>
      </c>
      <c r="I1767" s="2">
        <v>6.5</v>
      </c>
      <c r="J1767" s="2">
        <f t="shared" si="12"/>
        <v>41489425</v>
      </c>
      <c r="K1767" s="2">
        <f t="shared" si="13"/>
        <v>-2.1826866801009249E-2</v>
      </c>
      <c r="L1767" s="2" t="str">
        <f>IF(ISNUMBER(SEARCH("|",IMDB_Movies!$D1767)),LEFT(IMDB_Movies!$D1767,SEARCH("|",IMDB_Movies!$D1767)-1),IMDB_Movies!$D1767)</f>
        <v>Action</v>
      </c>
      <c r="V1767" s="2"/>
      <c r="W1767" s="2"/>
    </row>
    <row r="1768" spans="1:23" ht="12.5" x14ac:dyDescent="0.25">
      <c r="A1768" s="2" t="s">
        <v>101</v>
      </c>
      <c r="B1768" s="2">
        <v>97</v>
      </c>
      <c r="C1768" s="2">
        <v>41067398</v>
      </c>
      <c r="D1768" s="2" t="s">
        <v>150</v>
      </c>
      <c r="E1768" s="2" t="s">
        <v>3111</v>
      </c>
      <c r="F1768" s="2" t="s">
        <v>14</v>
      </c>
      <c r="G1768" s="2" t="s">
        <v>15</v>
      </c>
      <c r="H1768" s="2">
        <v>25000000</v>
      </c>
      <c r="I1768" s="2">
        <v>6.1</v>
      </c>
      <c r="J1768" s="2">
        <f t="shared" si="12"/>
        <v>16067398</v>
      </c>
      <c r="K1768" s="2">
        <f t="shared" si="13"/>
        <v>-2.1834429075949863E-2</v>
      </c>
      <c r="L1768" s="2" t="str">
        <f>IF(ISNUMBER(SEARCH("|",IMDB_Movies!$D1768)),LEFT(IMDB_Movies!$D1768,SEARCH("|",IMDB_Movies!$D1768)-1),IMDB_Movies!$D1768)</f>
        <v>Action</v>
      </c>
      <c r="V1768" s="2"/>
      <c r="W1768" s="2"/>
    </row>
    <row r="1769" spans="1:23" ht="12.5" x14ac:dyDescent="0.25">
      <c r="A1769" s="2" t="s">
        <v>2361</v>
      </c>
      <c r="B1769" s="2">
        <v>158</v>
      </c>
      <c r="C1769" s="2">
        <v>40218903</v>
      </c>
      <c r="D1769" s="2" t="s">
        <v>1180</v>
      </c>
      <c r="E1769" s="2" t="s">
        <v>3112</v>
      </c>
      <c r="F1769" s="2" t="s">
        <v>14</v>
      </c>
      <c r="G1769" s="2" t="s">
        <v>15</v>
      </c>
      <c r="H1769" s="2">
        <v>25000000</v>
      </c>
      <c r="I1769" s="2">
        <v>8.1</v>
      </c>
      <c r="J1769" s="2">
        <f t="shared" si="12"/>
        <v>15218903</v>
      </c>
      <c r="K1769" s="2">
        <f t="shared" si="13"/>
        <v>-2.1835602903678926E-2</v>
      </c>
      <c r="L1769" s="2" t="str">
        <f>IF(ISNUMBER(SEARCH("|",IMDB_Movies!$D1769)),LEFT(IMDB_Movies!$D1769,SEARCH("|",IMDB_Movies!$D1769)-1),IMDB_Movies!$D1769)</f>
        <v>Drama</v>
      </c>
      <c r="V1769" s="2"/>
      <c r="W1769" s="2"/>
    </row>
    <row r="1770" spans="1:23" ht="12.5" x14ac:dyDescent="0.25">
      <c r="A1770" s="2" t="s">
        <v>3113</v>
      </c>
      <c r="B1770" s="2">
        <v>85</v>
      </c>
      <c r="C1770" s="2">
        <v>39880476</v>
      </c>
      <c r="D1770" s="2" t="s">
        <v>106</v>
      </c>
      <c r="E1770" s="2" t="s">
        <v>3114</v>
      </c>
      <c r="F1770" s="2" t="s">
        <v>14</v>
      </c>
      <c r="G1770" s="2" t="s">
        <v>15</v>
      </c>
      <c r="H1770" s="2">
        <v>25000000</v>
      </c>
      <c r="I1770" s="2">
        <v>5.2</v>
      </c>
      <c r="J1770" s="2">
        <f t="shared" si="12"/>
        <v>14880476</v>
      </c>
      <c r="K1770" s="2">
        <f t="shared" si="13"/>
        <v>-2.1836659971042727E-2</v>
      </c>
      <c r="L1770" s="2" t="str">
        <f>IF(ISNUMBER(SEARCH("|",IMDB_Movies!$D1770)),LEFT(IMDB_Movies!$D1770,SEARCH("|",IMDB_Movies!$D1770)-1),IMDB_Movies!$D1770)</f>
        <v>Adventure</v>
      </c>
      <c r="V1770" s="2"/>
      <c r="W1770" s="2"/>
    </row>
    <row r="1771" spans="1:23" ht="12.5" x14ac:dyDescent="0.25">
      <c r="A1771" s="2" t="s">
        <v>3115</v>
      </c>
      <c r="B1771" s="2">
        <v>80</v>
      </c>
      <c r="C1771" s="2">
        <v>39399750</v>
      </c>
      <c r="D1771" s="2" t="s">
        <v>308</v>
      </c>
      <c r="E1771" s="2" t="s">
        <v>3116</v>
      </c>
      <c r="F1771" s="2" t="s">
        <v>14</v>
      </c>
      <c r="G1771" s="2" t="s">
        <v>15</v>
      </c>
      <c r="H1771" s="2">
        <v>25000000</v>
      </c>
      <c r="I1771" s="2">
        <v>5.6</v>
      </c>
      <c r="J1771" s="2">
        <f t="shared" si="12"/>
        <v>14399750</v>
      </c>
      <c r="K1771" s="2">
        <f t="shared" si="13"/>
        <v>-2.1837672854331244E-2</v>
      </c>
      <c r="L1771" s="2" t="str">
        <f>IF(ISNUMBER(SEARCH("|",IMDB_Movies!$D1771)),LEFT(IMDB_Movies!$D1771,SEARCH("|",IMDB_Movies!$D1771)-1),IMDB_Movies!$D1771)</f>
        <v>Adventure</v>
      </c>
      <c r="V1771" s="2"/>
      <c r="W1771" s="2"/>
    </row>
    <row r="1772" spans="1:23" ht="12.5" x14ac:dyDescent="0.25">
      <c r="A1772" s="2" t="s">
        <v>2965</v>
      </c>
      <c r="B1772" s="2">
        <v>86</v>
      </c>
      <c r="C1772" s="2">
        <v>38230435</v>
      </c>
      <c r="D1772" s="2" t="s">
        <v>768</v>
      </c>
      <c r="E1772" s="2" t="s">
        <v>3117</v>
      </c>
      <c r="F1772" s="2" t="s">
        <v>14</v>
      </c>
      <c r="G1772" s="2" t="s">
        <v>15</v>
      </c>
      <c r="H1772" s="2">
        <v>25000000</v>
      </c>
      <c r="I1772" s="2">
        <v>5.8</v>
      </c>
      <c r="J1772" s="2">
        <f t="shared" si="12"/>
        <v>13230435</v>
      </c>
      <c r="K1772" s="2">
        <f t="shared" si="13"/>
        <v>-2.1838624031991723E-2</v>
      </c>
      <c r="L1772" s="2" t="str">
        <f>IF(ISNUMBER(SEARCH("|",IMDB_Movies!$D1772)),LEFT(IMDB_Movies!$D1772,SEARCH("|",IMDB_Movies!$D1772)-1),IMDB_Movies!$D1772)</f>
        <v>Action</v>
      </c>
      <c r="V1772" s="2"/>
      <c r="W1772" s="2"/>
    </row>
    <row r="1773" spans="1:23" ht="12.5" x14ac:dyDescent="0.25">
      <c r="A1773" s="2" t="s">
        <v>2112</v>
      </c>
      <c r="B1773" s="2">
        <v>119</v>
      </c>
      <c r="C1773" s="2">
        <v>39008741</v>
      </c>
      <c r="D1773" s="2" t="s">
        <v>3056</v>
      </c>
      <c r="E1773" s="2" t="s">
        <v>3118</v>
      </c>
      <c r="F1773" s="2" t="s">
        <v>14</v>
      </c>
      <c r="G1773" s="2" t="s">
        <v>15</v>
      </c>
      <c r="H1773" s="2">
        <v>25000000</v>
      </c>
      <c r="I1773" s="2">
        <v>6.6</v>
      </c>
      <c r="J1773" s="2">
        <f t="shared" si="12"/>
        <v>14008741</v>
      </c>
      <c r="K1773" s="2">
        <f t="shared" si="13"/>
        <v>-2.1839431492128757E-2</v>
      </c>
      <c r="L1773" s="2" t="str">
        <f>IF(ISNUMBER(SEARCH("|",IMDB_Movies!$D1773)),LEFT(IMDB_Movies!$D1773,SEARCH("|",IMDB_Movies!$D1773)-1),IMDB_Movies!$D1773)</f>
        <v>Comedy</v>
      </c>
      <c r="V1773" s="2"/>
      <c r="W1773" s="2"/>
    </row>
    <row r="1774" spans="1:23" ht="12.5" x14ac:dyDescent="0.25">
      <c r="A1774" s="2" t="s">
        <v>3119</v>
      </c>
      <c r="B1774" s="2">
        <v>98</v>
      </c>
      <c r="C1774" s="2">
        <v>36833473</v>
      </c>
      <c r="D1774" s="2" t="s">
        <v>177</v>
      </c>
      <c r="E1774" s="2" t="s">
        <v>3120</v>
      </c>
      <c r="F1774" s="2" t="s">
        <v>14</v>
      </c>
      <c r="G1774" s="2" t="s">
        <v>686</v>
      </c>
      <c r="H1774" s="2">
        <v>25000000</v>
      </c>
      <c r="I1774" s="2">
        <v>6.6</v>
      </c>
      <c r="J1774" s="2">
        <f t="shared" si="12"/>
        <v>11833473</v>
      </c>
      <c r="K1774" s="2">
        <f t="shared" si="13"/>
        <v>-2.1840335044202647E-2</v>
      </c>
      <c r="L1774" s="2" t="str">
        <f>IF(ISNUMBER(SEARCH("|",IMDB_Movies!$D1774)),LEFT(IMDB_Movies!$D1774,SEARCH("|",IMDB_Movies!$D1774)-1),IMDB_Movies!$D1774)</f>
        <v>Action</v>
      </c>
      <c r="V1774" s="2"/>
      <c r="W1774" s="2"/>
    </row>
    <row r="1775" spans="1:23" ht="12.5" x14ac:dyDescent="0.25">
      <c r="A1775" s="2" t="s">
        <v>3121</v>
      </c>
      <c r="B1775" s="2">
        <v>97</v>
      </c>
      <c r="C1775" s="2">
        <v>48237389</v>
      </c>
      <c r="D1775" s="2" t="s">
        <v>600</v>
      </c>
      <c r="E1775" s="2" t="s">
        <v>3122</v>
      </c>
      <c r="F1775" s="2" t="s">
        <v>14</v>
      </c>
      <c r="G1775" s="2" t="s">
        <v>15</v>
      </c>
      <c r="H1775" s="2">
        <v>25000000</v>
      </c>
      <c r="I1775" s="2">
        <v>5.5</v>
      </c>
      <c r="J1775" s="2">
        <f t="shared" si="12"/>
        <v>23237389</v>
      </c>
      <c r="K1775" s="2">
        <f t="shared" si="13"/>
        <v>-2.1840986561482815E-2</v>
      </c>
      <c r="L1775" s="2" t="str">
        <f>IF(ISNUMBER(SEARCH("|",IMDB_Movies!$D1775)),LEFT(IMDB_Movies!$D1775,SEARCH("|",IMDB_Movies!$D1775)-1),IMDB_Movies!$D1775)</f>
        <v>Comedy</v>
      </c>
      <c r="V1775" s="2"/>
      <c r="W1775" s="2"/>
    </row>
    <row r="1776" spans="1:23" ht="12.5" x14ac:dyDescent="0.25">
      <c r="A1776" s="2" t="s">
        <v>2839</v>
      </c>
      <c r="B1776" s="2">
        <v>124</v>
      </c>
      <c r="C1776" s="2">
        <v>36447959</v>
      </c>
      <c r="D1776" s="2" t="s">
        <v>585</v>
      </c>
      <c r="E1776" s="2" t="s">
        <v>3123</v>
      </c>
      <c r="F1776" s="2" t="s">
        <v>14</v>
      </c>
      <c r="G1776" s="2" t="s">
        <v>15</v>
      </c>
      <c r="H1776" s="2">
        <v>25000000</v>
      </c>
      <c r="I1776" s="2">
        <v>7</v>
      </c>
      <c r="J1776" s="2">
        <f t="shared" si="12"/>
        <v>11447959</v>
      </c>
      <c r="K1776" s="2">
        <f t="shared" si="13"/>
        <v>-2.1843418323054638E-2</v>
      </c>
      <c r="L1776" s="2" t="str">
        <f>IF(ISNUMBER(SEARCH("|",IMDB_Movies!$D1776)),LEFT(IMDB_Movies!$D1776,SEARCH("|",IMDB_Movies!$D1776)-1),IMDB_Movies!$D1776)</f>
        <v>Biography</v>
      </c>
      <c r="V1776" s="2"/>
      <c r="W1776" s="2"/>
    </row>
    <row r="1777" spans="1:23" ht="12.5" x14ac:dyDescent="0.25">
      <c r="A1777" s="2" t="s">
        <v>439</v>
      </c>
      <c r="B1777" s="2">
        <v>97</v>
      </c>
      <c r="C1777" s="2">
        <v>45089048</v>
      </c>
      <c r="D1777" s="2" t="s">
        <v>3124</v>
      </c>
      <c r="E1777" s="2" t="s">
        <v>3125</v>
      </c>
      <c r="F1777" s="2" t="s">
        <v>14</v>
      </c>
      <c r="G1777" s="2" t="s">
        <v>2695</v>
      </c>
      <c r="H1777" s="2">
        <v>25000000</v>
      </c>
      <c r="I1777" s="2">
        <v>6.5</v>
      </c>
      <c r="J1777" s="2">
        <f t="shared" si="12"/>
        <v>20089048</v>
      </c>
      <c r="K1777" s="2">
        <f t="shared" si="13"/>
        <v>-2.1844031435150048E-2</v>
      </c>
      <c r="L1777" s="2" t="str">
        <f>IF(ISNUMBER(SEARCH("|",IMDB_Movies!$D1777)),LEFT(IMDB_Movies!$D1777,SEARCH("|",IMDB_Movies!$D1777)-1),IMDB_Movies!$D1777)</f>
        <v>Drama</v>
      </c>
      <c r="V1777" s="2"/>
      <c r="W1777" s="2"/>
    </row>
    <row r="1778" spans="1:23" ht="12.5" x14ac:dyDescent="0.25">
      <c r="A1778" s="2" t="s">
        <v>2259</v>
      </c>
      <c r="B1778" s="2">
        <v>105</v>
      </c>
      <c r="C1778" s="2">
        <v>35990505</v>
      </c>
      <c r="D1778" s="2" t="s">
        <v>3056</v>
      </c>
      <c r="E1778" s="2" t="s">
        <v>3126</v>
      </c>
      <c r="F1778" s="2" t="s">
        <v>14</v>
      </c>
      <c r="G1778" s="2" t="s">
        <v>15</v>
      </c>
      <c r="H1778" s="2">
        <v>20000000</v>
      </c>
      <c r="I1778" s="2">
        <v>5.8</v>
      </c>
      <c r="J1778" s="2">
        <f t="shared" si="12"/>
        <v>15990505</v>
      </c>
      <c r="K1778" s="2">
        <f t="shared" si="13"/>
        <v>-2.184586444629678E-2</v>
      </c>
      <c r="L1778" s="2" t="str">
        <f>IF(ISNUMBER(SEARCH("|",IMDB_Movies!$D1778)),LEFT(IMDB_Movies!$D1778,SEARCH("|",IMDB_Movies!$D1778)-1),IMDB_Movies!$D1778)</f>
        <v>Comedy</v>
      </c>
      <c r="V1778" s="2"/>
      <c r="W1778" s="2"/>
    </row>
    <row r="1779" spans="1:23" ht="12.5" x14ac:dyDescent="0.25">
      <c r="A1779" s="2" t="s">
        <v>3127</v>
      </c>
      <c r="B1779" s="2">
        <v>104</v>
      </c>
      <c r="C1779" s="2">
        <v>35143332</v>
      </c>
      <c r="D1779" s="2" t="s">
        <v>2148</v>
      </c>
      <c r="E1779" s="2" t="s">
        <v>3128</v>
      </c>
      <c r="F1779" s="2" t="s">
        <v>14</v>
      </c>
      <c r="G1779" s="2" t="s">
        <v>15</v>
      </c>
      <c r="H1779" s="2">
        <v>17000000</v>
      </c>
      <c r="I1779" s="2">
        <v>5.6</v>
      </c>
      <c r="J1779" s="2">
        <f t="shared" si="12"/>
        <v>18143332</v>
      </c>
      <c r="K1779" s="2">
        <f t="shared" si="13"/>
        <v>-2.1843317080354356E-2</v>
      </c>
      <c r="L1779" s="2" t="str">
        <f>IF(ISNUMBER(SEARCH("|",IMDB_Movies!$D1779)),LEFT(IMDB_Movies!$D1779,SEARCH("|",IMDB_Movies!$D1779)-1),IMDB_Movies!$D1779)</f>
        <v>Horror</v>
      </c>
      <c r="V1779" s="2"/>
      <c r="W1779" s="2"/>
    </row>
    <row r="1780" spans="1:23" ht="12.5" x14ac:dyDescent="0.25">
      <c r="A1780" s="2" t="s">
        <v>3129</v>
      </c>
      <c r="B1780" s="2">
        <v>101</v>
      </c>
      <c r="C1780" s="2">
        <v>35000629</v>
      </c>
      <c r="D1780" s="2" t="s">
        <v>600</v>
      </c>
      <c r="E1780" s="2" t="s">
        <v>3130</v>
      </c>
      <c r="F1780" s="2" t="s">
        <v>14</v>
      </c>
      <c r="G1780" s="2" t="s">
        <v>15</v>
      </c>
      <c r="H1780" s="2">
        <v>25000000</v>
      </c>
      <c r="I1780" s="2">
        <v>5.6</v>
      </c>
      <c r="J1780" s="2">
        <f t="shared" si="12"/>
        <v>10000629</v>
      </c>
      <c r="K1780" s="2">
        <f t="shared" si="13"/>
        <v>-2.1839127662866366E-2</v>
      </c>
      <c r="L1780" s="2" t="str">
        <f>IF(ISNUMBER(SEARCH("|",IMDB_Movies!$D1780)),LEFT(IMDB_Movies!$D1780,SEARCH("|",IMDB_Movies!$D1780)-1),IMDB_Movies!$D1780)</f>
        <v>Comedy</v>
      </c>
      <c r="V1780" s="2"/>
      <c r="W1780" s="2"/>
    </row>
    <row r="1781" spans="1:23" ht="12.5" x14ac:dyDescent="0.25">
      <c r="A1781" s="2" t="s">
        <v>1192</v>
      </c>
      <c r="B1781" s="2">
        <v>101</v>
      </c>
      <c r="C1781" s="2">
        <v>34604054</v>
      </c>
      <c r="D1781" s="2" t="s">
        <v>177</v>
      </c>
      <c r="E1781" s="2" t="s">
        <v>3131</v>
      </c>
      <c r="F1781" s="2" t="s">
        <v>14</v>
      </c>
      <c r="G1781" s="2" t="s">
        <v>15</v>
      </c>
      <c r="H1781" s="2">
        <v>30000000</v>
      </c>
      <c r="I1781" s="2">
        <v>5.8</v>
      </c>
      <c r="J1781" s="2">
        <f t="shared" si="12"/>
        <v>4604054</v>
      </c>
      <c r="K1781" s="2">
        <f t="shared" si="13"/>
        <v>-2.1839598191862698E-2</v>
      </c>
      <c r="L1781" s="2" t="str">
        <f>IF(ISNUMBER(SEARCH("|",IMDB_Movies!$D1781)),LEFT(IMDB_Movies!$D1781,SEARCH("|",IMDB_Movies!$D1781)-1),IMDB_Movies!$D1781)</f>
        <v>Action</v>
      </c>
      <c r="V1781" s="2"/>
      <c r="W1781" s="2"/>
    </row>
    <row r="1782" spans="1:23" ht="12.5" x14ac:dyDescent="0.25">
      <c r="A1782" s="2" t="s">
        <v>2210</v>
      </c>
      <c r="B1782" s="2">
        <v>114</v>
      </c>
      <c r="C1782" s="2">
        <v>41597830</v>
      </c>
      <c r="D1782" s="2" t="s">
        <v>85</v>
      </c>
      <c r="E1782" s="2" t="s">
        <v>3132</v>
      </c>
      <c r="F1782" s="2" t="s">
        <v>14</v>
      </c>
      <c r="G1782" s="2" t="s">
        <v>15</v>
      </c>
      <c r="H1782" s="2">
        <v>25000000</v>
      </c>
      <c r="I1782" s="2">
        <v>7.6</v>
      </c>
      <c r="J1782" s="2">
        <f t="shared" si="12"/>
        <v>16597830</v>
      </c>
      <c r="K1782" s="2">
        <f t="shared" si="13"/>
        <v>-2.1842838521957321E-2</v>
      </c>
      <c r="L1782" s="2" t="str">
        <f>IF(ISNUMBER(SEARCH("|",IMDB_Movies!$D1782)),LEFT(IMDB_Movies!$D1782,SEARCH("|",IMDB_Movies!$D1782)-1),IMDB_Movies!$D1782)</f>
        <v>Drama</v>
      </c>
      <c r="V1782" s="2"/>
      <c r="W1782" s="2"/>
    </row>
    <row r="1783" spans="1:23" ht="12.5" x14ac:dyDescent="0.25">
      <c r="A1783" s="2" t="s">
        <v>1743</v>
      </c>
      <c r="B1783" s="2">
        <v>105</v>
      </c>
      <c r="C1783" s="2">
        <v>33687630</v>
      </c>
      <c r="D1783" s="2" t="s">
        <v>600</v>
      </c>
      <c r="E1783" s="2" t="s">
        <v>3133</v>
      </c>
      <c r="F1783" s="2" t="s">
        <v>14</v>
      </c>
      <c r="G1783" s="2" t="s">
        <v>15</v>
      </c>
      <c r="H1783" s="2">
        <v>20000000</v>
      </c>
      <c r="I1783" s="2">
        <v>6.4</v>
      </c>
      <c r="J1783" s="2">
        <f t="shared" si="12"/>
        <v>13687630</v>
      </c>
      <c r="K1783" s="2">
        <f t="shared" si="13"/>
        <v>-2.1844103422397922E-2</v>
      </c>
      <c r="L1783" s="2" t="str">
        <f>IF(ISNUMBER(SEARCH("|",IMDB_Movies!$D1783)),LEFT(IMDB_Movies!$D1783,SEARCH("|",IMDB_Movies!$D1783)-1),IMDB_Movies!$D1783)</f>
        <v>Comedy</v>
      </c>
      <c r="V1783" s="2"/>
      <c r="W1783" s="2"/>
    </row>
    <row r="1784" spans="1:23" ht="12.5" x14ac:dyDescent="0.25">
      <c r="A1784" s="2" t="s">
        <v>3134</v>
      </c>
      <c r="B1784" s="2">
        <v>90</v>
      </c>
      <c r="C1784" s="2">
        <v>32553210</v>
      </c>
      <c r="D1784" s="2" t="s">
        <v>1058</v>
      </c>
      <c r="E1784" s="2" t="s">
        <v>3135</v>
      </c>
      <c r="F1784" s="2" t="s">
        <v>14</v>
      </c>
      <c r="G1784" s="2" t="s">
        <v>22</v>
      </c>
      <c r="H1784" s="2">
        <v>25000000</v>
      </c>
      <c r="I1784" s="2">
        <v>6.3</v>
      </c>
      <c r="J1784" s="2">
        <f t="shared" si="12"/>
        <v>7553210</v>
      </c>
      <c r="K1784" s="2">
        <f t="shared" si="13"/>
        <v>-2.18418690171698E-2</v>
      </c>
      <c r="L1784" s="2" t="str">
        <f>IF(ISNUMBER(SEARCH("|",IMDB_Movies!$D1784)),LEFT(IMDB_Movies!$D1784,SEARCH("|",IMDB_Movies!$D1784)-1),IMDB_Movies!$D1784)</f>
        <v>Comedy</v>
      </c>
      <c r="V1784" s="2"/>
      <c r="W1784" s="2"/>
    </row>
    <row r="1785" spans="1:23" ht="12.5" x14ac:dyDescent="0.25">
      <c r="A1785" s="2" t="s">
        <v>3136</v>
      </c>
      <c r="B1785" s="2">
        <v>97</v>
      </c>
      <c r="C1785" s="2">
        <v>31526393</v>
      </c>
      <c r="D1785" s="2" t="s">
        <v>1944</v>
      </c>
      <c r="E1785" s="2" t="s">
        <v>3137</v>
      </c>
      <c r="F1785" s="2" t="s">
        <v>14</v>
      </c>
      <c r="G1785" s="2" t="s">
        <v>15</v>
      </c>
      <c r="H1785" s="2">
        <v>25000000</v>
      </c>
      <c r="I1785" s="2">
        <v>4.5999999999999996</v>
      </c>
      <c r="J1785" s="2">
        <f t="shared" si="12"/>
        <v>6526393</v>
      </c>
      <c r="K1785" s="2">
        <f t="shared" si="13"/>
        <v>-2.1842143244612224E-2</v>
      </c>
      <c r="L1785" s="2" t="str">
        <f>IF(ISNUMBER(SEARCH("|",IMDB_Movies!$D1785)),LEFT(IMDB_Movies!$D1785,SEARCH("|",IMDB_Movies!$D1785)-1),IMDB_Movies!$D1785)</f>
        <v>Action</v>
      </c>
      <c r="V1785" s="2"/>
      <c r="W1785" s="2"/>
    </row>
    <row r="1786" spans="1:23" ht="12.5" x14ac:dyDescent="0.25">
      <c r="A1786" s="2" t="s">
        <v>3138</v>
      </c>
      <c r="B1786" s="2">
        <v>144</v>
      </c>
      <c r="C1786" s="2">
        <v>41229</v>
      </c>
      <c r="D1786" s="2" t="s">
        <v>763</v>
      </c>
      <c r="E1786" s="2" t="s">
        <v>3139</v>
      </c>
      <c r="F1786" s="2" t="s">
        <v>14</v>
      </c>
      <c r="G1786" s="2" t="s">
        <v>686</v>
      </c>
      <c r="H1786" s="2">
        <v>25500000</v>
      </c>
      <c r="I1786" s="2">
        <v>6.5</v>
      </c>
      <c r="J1786" s="2">
        <f t="shared" si="12"/>
        <v>-25458771</v>
      </c>
      <c r="K1786" s="2">
        <f t="shared" si="13"/>
        <v>-2.1842349698769453E-2</v>
      </c>
      <c r="L1786" s="2" t="str">
        <f>IF(ISNUMBER(SEARCH("|",IMDB_Movies!$D1786)),LEFT(IMDB_Movies!$D1786,SEARCH("|",IMDB_Movies!$D1786)-1),IMDB_Movies!$D1786)</f>
        <v>Crime</v>
      </c>
      <c r="V1786" s="2"/>
      <c r="W1786" s="2"/>
    </row>
    <row r="1787" spans="1:23" ht="12.5" x14ac:dyDescent="0.25">
      <c r="A1787" s="2" t="s">
        <v>3140</v>
      </c>
      <c r="B1787" s="2">
        <v>114</v>
      </c>
      <c r="C1787" s="2">
        <v>31655091</v>
      </c>
      <c r="D1787" s="2" t="s">
        <v>2082</v>
      </c>
      <c r="E1787" s="2" t="s">
        <v>3141</v>
      </c>
      <c r="F1787" s="2" t="s">
        <v>14</v>
      </c>
      <c r="G1787" s="2" t="s">
        <v>15</v>
      </c>
      <c r="H1787" s="2">
        <v>30000000</v>
      </c>
      <c r="I1787" s="2">
        <v>7.5</v>
      </c>
      <c r="J1787" s="2">
        <f t="shared" ref="J1787:J2041" si="14">(C1787-H1787)</f>
        <v>1655091</v>
      </c>
      <c r="K1787" s="2">
        <f t="shared" si="13"/>
        <v>-2.1844353236409576E-2</v>
      </c>
      <c r="L1787" s="2" t="str">
        <f>IF(ISNUMBER(SEARCH("|",IMDB_Movies!$D1787)),LEFT(IMDB_Movies!$D1787,SEARCH("|",IMDB_Movies!$D1787)-1),IMDB_Movies!$D1787)</f>
        <v>Drama</v>
      </c>
      <c r="V1787" s="2"/>
      <c r="W1787" s="2"/>
    </row>
    <row r="1788" spans="1:23" ht="12.5" x14ac:dyDescent="0.25">
      <c r="A1788" s="2" t="s">
        <v>1626</v>
      </c>
      <c r="B1788" s="2">
        <v>124</v>
      </c>
      <c r="C1788" s="2">
        <v>30012990</v>
      </c>
      <c r="D1788" s="2" t="s">
        <v>2000</v>
      </c>
      <c r="E1788" s="2" t="s">
        <v>3142</v>
      </c>
      <c r="F1788" s="2" t="s">
        <v>14</v>
      </c>
      <c r="G1788" s="2" t="s">
        <v>22</v>
      </c>
      <c r="H1788" s="2">
        <v>25000000</v>
      </c>
      <c r="I1788" s="2">
        <v>7.5</v>
      </c>
      <c r="J1788" s="2">
        <f t="shared" si="14"/>
        <v>5012990</v>
      </c>
      <c r="K1788" s="2">
        <f t="shared" ref="K1788:K2042" si="15">CORREL(H1788:H5573,C1788:C5573)</f>
        <v>-2.1846699896679943E-2</v>
      </c>
      <c r="L1788" s="2" t="str">
        <f>IF(ISNUMBER(SEARCH("|",IMDB_Movies!$D1788)),LEFT(IMDB_Movies!$D1788,SEARCH("|",IMDB_Movies!$D1788)-1),IMDB_Movies!$D1788)</f>
        <v>Biography</v>
      </c>
      <c r="V1788" s="2"/>
      <c r="W1788" s="2"/>
    </row>
    <row r="1789" spans="1:23" ht="12.5" x14ac:dyDescent="0.25">
      <c r="A1789" s="2" t="s">
        <v>2546</v>
      </c>
      <c r="B1789" s="2">
        <v>89</v>
      </c>
      <c r="C1789" s="2">
        <v>32368960</v>
      </c>
      <c r="D1789" s="2" t="s">
        <v>3143</v>
      </c>
      <c r="E1789" s="2" t="s">
        <v>3144</v>
      </c>
      <c r="F1789" s="2" t="s">
        <v>14</v>
      </c>
      <c r="G1789" s="2" t="s">
        <v>104</v>
      </c>
      <c r="H1789" s="2">
        <v>25000000</v>
      </c>
      <c r="I1789" s="2">
        <v>5.3</v>
      </c>
      <c r="J1789" s="2">
        <f t="shared" si="14"/>
        <v>7368960</v>
      </c>
      <c r="K1789" s="2">
        <f t="shared" si="15"/>
        <v>-2.1846823324024434E-2</v>
      </c>
      <c r="L1789" s="2" t="str">
        <f>IF(ISNUMBER(SEARCH("|",IMDB_Movies!$D1789)),LEFT(IMDB_Movies!$D1789,SEARCH("|",IMDB_Movies!$D1789)-1),IMDB_Movies!$D1789)</f>
        <v>Comedy</v>
      </c>
      <c r="V1789" s="2"/>
      <c r="W1789" s="2"/>
    </row>
    <row r="1790" spans="1:23" ht="12.5" x14ac:dyDescent="0.25">
      <c r="A1790" s="2" t="s">
        <v>3145</v>
      </c>
      <c r="B1790" s="2">
        <v>160</v>
      </c>
      <c r="C1790" s="2">
        <v>14500000</v>
      </c>
      <c r="D1790" s="2" t="s">
        <v>378</v>
      </c>
      <c r="E1790" s="2" t="s">
        <v>3146</v>
      </c>
      <c r="F1790" s="2" t="s">
        <v>14</v>
      </c>
      <c r="G1790" s="2" t="s">
        <v>1032</v>
      </c>
      <c r="H1790" s="2">
        <v>25000000</v>
      </c>
      <c r="I1790" s="2">
        <v>7.5</v>
      </c>
      <c r="J1790" s="2">
        <f t="shared" si="14"/>
        <v>-10500000</v>
      </c>
      <c r="K1790" s="2">
        <f t="shared" si="15"/>
        <v>-2.1847086213890764E-2</v>
      </c>
      <c r="L1790" s="2" t="str">
        <f>IF(ISNUMBER(SEARCH("|",IMDB_Movies!$D1790)),LEFT(IMDB_Movies!$D1790,SEARCH("|",IMDB_Movies!$D1790)-1),IMDB_Movies!$D1790)</f>
        <v>Action</v>
      </c>
      <c r="V1790" s="2"/>
      <c r="W1790" s="2"/>
    </row>
    <row r="1791" spans="1:23" ht="12.5" x14ac:dyDescent="0.25">
      <c r="A1791" s="2" t="s">
        <v>3147</v>
      </c>
      <c r="B1791" s="2">
        <v>93</v>
      </c>
      <c r="C1791" s="2">
        <v>29247405</v>
      </c>
      <c r="D1791" s="2" t="s">
        <v>3148</v>
      </c>
      <c r="E1791" s="2" t="s">
        <v>3149</v>
      </c>
      <c r="F1791" s="2" t="s">
        <v>14</v>
      </c>
      <c r="G1791" s="2" t="s">
        <v>22</v>
      </c>
      <c r="H1791" s="2">
        <v>25000000</v>
      </c>
      <c r="I1791" s="2">
        <v>3.3</v>
      </c>
      <c r="J1791" s="2">
        <f t="shared" si="14"/>
        <v>4247405</v>
      </c>
      <c r="K1791" s="2">
        <f t="shared" si="15"/>
        <v>-2.1847483455390084E-2</v>
      </c>
      <c r="L1791" s="2" t="str">
        <f>IF(ISNUMBER(SEARCH("|",IMDB_Movies!$D1791)),LEFT(IMDB_Movies!$D1791,SEARCH("|",IMDB_Movies!$D1791)-1),IMDB_Movies!$D1791)</f>
        <v>Comedy</v>
      </c>
      <c r="V1791" s="2"/>
      <c r="W1791" s="2"/>
    </row>
    <row r="1792" spans="1:23" ht="12.5" x14ac:dyDescent="0.25">
      <c r="A1792" s="2" t="s">
        <v>3150</v>
      </c>
      <c r="B1792" s="2">
        <v>88</v>
      </c>
      <c r="C1792" s="2">
        <v>25615792</v>
      </c>
      <c r="D1792" s="2" t="s">
        <v>3151</v>
      </c>
      <c r="E1792" s="2" t="s">
        <v>3152</v>
      </c>
      <c r="F1792" s="2" t="s">
        <v>14</v>
      </c>
      <c r="G1792" s="2" t="s">
        <v>15</v>
      </c>
      <c r="H1792" s="2">
        <v>25000000</v>
      </c>
      <c r="I1792" s="2">
        <v>3.5</v>
      </c>
      <c r="J1792" s="2">
        <f t="shared" si="14"/>
        <v>615792</v>
      </c>
      <c r="K1792" s="2">
        <f t="shared" si="15"/>
        <v>-2.1847571953318934E-2</v>
      </c>
      <c r="L1792" s="2" t="str">
        <f>IF(ISNUMBER(SEARCH("|",IMDB_Movies!$D1792)),LEFT(IMDB_Movies!$D1792,SEARCH("|",IMDB_Movies!$D1792)-1),IMDB_Movies!$D1792)</f>
        <v>Action</v>
      </c>
      <c r="V1792" s="2"/>
      <c r="W1792" s="2"/>
    </row>
    <row r="1793" spans="1:23" ht="12.5" x14ac:dyDescent="0.25">
      <c r="A1793" s="2" t="s">
        <v>1131</v>
      </c>
      <c r="B1793" s="2">
        <v>142</v>
      </c>
      <c r="C1793" s="2">
        <v>28341469</v>
      </c>
      <c r="D1793" s="2" t="s">
        <v>694</v>
      </c>
      <c r="E1793" s="2" t="s">
        <v>3153</v>
      </c>
      <c r="F1793" s="2" t="s">
        <v>14</v>
      </c>
      <c r="G1793" s="2" t="s">
        <v>15</v>
      </c>
      <c r="H1793" s="2">
        <v>25000000</v>
      </c>
      <c r="I1793" s="2">
        <v>9.3000000000000007</v>
      </c>
      <c r="J1793" s="2">
        <f t="shared" si="14"/>
        <v>3341469</v>
      </c>
      <c r="K1793" s="2">
        <f t="shared" si="15"/>
        <v>-2.1847563069803812E-2</v>
      </c>
      <c r="L1793" s="2" t="str">
        <f>IF(ISNUMBER(SEARCH("|",IMDB_Movies!$D1793)),LEFT(IMDB_Movies!$D1793,SEARCH("|",IMDB_Movies!$D1793)-1),IMDB_Movies!$D1793)</f>
        <v>Crime</v>
      </c>
      <c r="V1793" s="2"/>
      <c r="W1793" s="2"/>
    </row>
    <row r="1794" spans="1:23" ht="12.5" x14ac:dyDescent="0.25">
      <c r="A1794" s="2" t="s">
        <v>1996</v>
      </c>
      <c r="B1794" s="2">
        <v>92</v>
      </c>
      <c r="C1794" s="2">
        <v>25590119</v>
      </c>
      <c r="D1794" s="2" t="s">
        <v>3154</v>
      </c>
      <c r="E1794" s="2" t="s">
        <v>3155</v>
      </c>
      <c r="F1794" s="2" t="s">
        <v>14</v>
      </c>
      <c r="G1794" s="2" t="s">
        <v>135</v>
      </c>
      <c r="H1794" s="2">
        <v>21150000</v>
      </c>
      <c r="I1794" s="2">
        <v>4.8</v>
      </c>
      <c r="J1794" s="2">
        <f t="shared" si="14"/>
        <v>4440119</v>
      </c>
      <c r="K1794" s="2">
        <f t="shared" si="15"/>
        <v>-2.1847616736388426E-2</v>
      </c>
      <c r="L1794" s="2" t="str">
        <f>IF(ISNUMBER(SEARCH("|",IMDB_Movies!$D1794)),LEFT(IMDB_Movies!$D1794,SEARCH("|",IMDB_Movies!$D1794)-1),IMDB_Movies!$D1794)</f>
        <v>Adventure</v>
      </c>
      <c r="V1794" s="2"/>
      <c r="W1794" s="2"/>
    </row>
    <row r="1795" spans="1:23" ht="12.5" x14ac:dyDescent="0.25">
      <c r="A1795" s="2" t="s">
        <v>1211</v>
      </c>
      <c r="B1795" s="2">
        <v>117</v>
      </c>
      <c r="C1795" s="2">
        <v>24944213</v>
      </c>
      <c r="D1795" s="2" t="s">
        <v>1350</v>
      </c>
      <c r="E1795" s="2" t="s">
        <v>3156</v>
      </c>
      <c r="F1795" s="2" t="s">
        <v>14</v>
      </c>
      <c r="G1795" s="2" t="s">
        <v>15</v>
      </c>
      <c r="H1795" s="2">
        <v>27000000</v>
      </c>
      <c r="I1795" s="2">
        <v>6.9</v>
      </c>
      <c r="J1795" s="2">
        <f t="shared" si="14"/>
        <v>-2055787</v>
      </c>
      <c r="K1795" s="2">
        <f t="shared" si="15"/>
        <v>-2.1847037443829504E-2</v>
      </c>
      <c r="L1795" s="2" t="str">
        <f>IF(ISNUMBER(SEARCH("|",IMDB_Movies!$D1795)),LEFT(IMDB_Movies!$D1795,SEARCH("|",IMDB_Movies!$D1795)-1),IMDB_Movies!$D1795)</f>
        <v>Comedy</v>
      </c>
      <c r="V1795" s="2"/>
      <c r="W1795" s="2"/>
    </row>
    <row r="1796" spans="1:23" ht="12.5" x14ac:dyDescent="0.25">
      <c r="A1796" s="2" t="s">
        <v>733</v>
      </c>
      <c r="B1796" s="2">
        <v>111</v>
      </c>
      <c r="C1796" s="2">
        <v>33631221</v>
      </c>
      <c r="D1796" s="2" t="s">
        <v>763</v>
      </c>
      <c r="E1796" s="2" t="s">
        <v>3157</v>
      </c>
      <c r="F1796" s="2" t="s">
        <v>14</v>
      </c>
      <c r="G1796" s="2" t="s">
        <v>15</v>
      </c>
      <c r="H1796" s="2">
        <v>25000000</v>
      </c>
      <c r="I1796" s="2">
        <v>6</v>
      </c>
      <c r="J1796" s="2">
        <f t="shared" si="14"/>
        <v>8631221</v>
      </c>
      <c r="K1796" s="2">
        <f t="shared" si="15"/>
        <v>-2.1847260328198937E-2</v>
      </c>
      <c r="L1796" s="2" t="str">
        <f>IF(ISNUMBER(SEARCH("|",IMDB_Movies!$D1796)),LEFT(IMDB_Movies!$D1796,SEARCH("|",IMDB_Movies!$D1796)-1),IMDB_Movies!$D1796)</f>
        <v>Crime</v>
      </c>
      <c r="V1796" s="2"/>
      <c r="W1796" s="2"/>
    </row>
    <row r="1797" spans="1:23" ht="12.5" x14ac:dyDescent="0.25">
      <c r="A1797" s="2" t="s">
        <v>3158</v>
      </c>
      <c r="B1797" s="2">
        <v>121</v>
      </c>
      <c r="C1797" s="2">
        <v>37738400</v>
      </c>
      <c r="D1797" s="2" t="s">
        <v>1180</v>
      </c>
      <c r="E1797" s="2" t="s">
        <v>3159</v>
      </c>
      <c r="F1797" s="2" t="s">
        <v>14</v>
      </c>
      <c r="G1797" s="2" t="s">
        <v>15</v>
      </c>
      <c r="H1797" s="2">
        <v>25000000</v>
      </c>
      <c r="I1797" s="2">
        <v>7.3</v>
      </c>
      <c r="J1797" s="2">
        <f t="shared" si="14"/>
        <v>12738400</v>
      </c>
      <c r="K1797" s="2">
        <f t="shared" si="15"/>
        <v>-2.1847617386125819E-2</v>
      </c>
      <c r="L1797" s="2" t="str">
        <f>IF(ISNUMBER(SEARCH("|",IMDB_Movies!$D1797)),LEFT(IMDB_Movies!$D1797,SEARCH("|",IMDB_Movies!$D1797)-1),IMDB_Movies!$D1797)</f>
        <v>Drama</v>
      </c>
      <c r="V1797" s="2"/>
      <c r="W1797" s="2"/>
    </row>
    <row r="1798" spans="1:23" ht="12.5" x14ac:dyDescent="0.25">
      <c r="A1798" s="2" t="s">
        <v>3160</v>
      </c>
      <c r="B1798" s="2">
        <v>107</v>
      </c>
      <c r="C1798" s="2">
        <v>21835784</v>
      </c>
      <c r="D1798" s="2" t="s">
        <v>514</v>
      </c>
      <c r="E1798" s="2" t="s">
        <v>3161</v>
      </c>
      <c r="F1798" s="2" t="s">
        <v>14</v>
      </c>
      <c r="G1798" s="2" t="s">
        <v>15</v>
      </c>
      <c r="H1798" s="2">
        <v>30000000</v>
      </c>
      <c r="I1798" s="2">
        <v>6.6</v>
      </c>
      <c r="J1798" s="2">
        <f t="shared" si="14"/>
        <v>-8164216</v>
      </c>
      <c r="K1798" s="2">
        <f t="shared" si="15"/>
        <v>-2.1848376686448314E-2</v>
      </c>
      <c r="L1798" s="2" t="str">
        <f>IF(ISNUMBER(SEARCH("|",IMDB_Movies!$D1798)),LEFT(IMDB_Movies!$D1798,SEARCH("|",IMDB_Movies!$D1798)-1),IMDB_Movies!$D1798)</f>
        <v>Comedy</v>
      </c>
      <c r="V1798" s="2"/>
      <c r="W1798" s="2"/>
    </row>
    <row r="1799" spans="1:23" ht="12.5" x14ac:dyDescent="0.25">
      <c r="A1799" s="2" t="s">
        <v>3162</v>
      </c>
      <c r="B1799" s="2">
        <v>106</v>
      </c>
      <c r="C1799" s="2">
        <v>15785632</v>
      </c>
      <c r="D1799" s="2" t="s">
        <v>3163</v>
      </c>
      <c r="E1799" s="2" t="s">
        <v>3164</v>
      </c>
      <c r="F1799" s="2" t="s">
        <v>14</v>
      </c>
      <c r="G1799" s="2" t="s">
        <v>22</v>
      </c>
      <c r="H1799" s="2">
        <v>23000000</v>
      </c>
      <c r="I1799" s="2">
        <v>7.5</v>
      </c>
      <c r="J1799" s="2">
        <f t="shared" si="14"/>
        <v>-7214368</v>
      </c>
      <c r="K1799" s="2">
        <f t="shared" si="15"/>
        <v>-2.1848270402016735E-2</v>
      </c>
      <c r="L1799" s="2" t="str">
        <f>IF(ISNUMBER(SEARCH("|",IMDB_Movies!$D1799)),LEFT(IMDB_Movies!$D1799,SEARCH("|",IMDB_Movies!$D1799)-1),IMDB_Movies!$D1799)</f>
        <v>Biography</v>
      </c>
      <c r="V1799" s="2"/>
      <c r="W1799" s="2"/>
    </row>
    <row r="1800" spans="1:23" ht="12.5" x14ac:dyDescent="0.25">
      <c r="A1800" s="2" t="s">
        <v>1725</v>
      </c>
      <c r="B1800" s="2">
        <v>136</v>
      </c>
      <c r="C1800" s="2">
        <v>21554585</v>
      </c>
      <c r="D1800" s="2" t="s">
        <v>1307</v>
      </c>
      <c r="E1800" s="2" t="s">
        <v>3165</v>
      </c>
      <c r="F1800" s="2" t="s">
        <v>14</v>
      </c>
      <c r="G1800" s="2" t="s">
        <v>15</v>
      </c>
      <c r="H1800" s="2">
        <v>25000000</v>
      </c>
      <c r="I1800" s="2">
        <v>6.9</v>
      </c>
      <c r="J1800" s="2">
        <f t="shared" si="14"/>
        <v>-3445415</v>
      </c>
      <c r="K1800" s="2">
        <f t="shared" si="15"/>
        <v>-2.1849168358045668E-2</v>
      </c>
      <c r="L1800" s="2" t="str">
        <f>IF(ISNUMBER(SEARCH("|",IMDB_Movies!$D1800)),LEFT(IMDB_Movies!$D1800,SEARCH("|",IMDB_Movies!$D1800)-1),IMDB_Movies!$D1800)</f>
        <v>Drama</v>
      </c>
      <c r="V1800" s="2"/>
      <c r="W1800" s="2"/>
    </row>
    <row r="1801" spans="1:23" ht="12.5" x14ac:dyDescent="0.25">
      <c r="A1801" s="2" t="s">
        <v>3166</v>
      </c>
      <c r="B1801" s="2">
        <v>97</v>
      </c>
      <c r="C1801" s="2">
        <v>22200000</v>
      </c>
      <c r="D1801" s="2" t="s">
        <v>514</v>
      </c>
      <c r="E1801" s="2" t="s">
        <v>3167</v>
      </c>
      <c r="F1801" s="2" t="s">
        <v>14</v>
      </c>
      <c r="G1801" s="2" t="s">
        <v>15</v>
      </c>
      <c r="H1801" s="2">
        <v>25000000</v>
      </c>
      <c r="I1801" s="2">
        <v>6.8</v>
      </c>
      <c r="J1801" s="2">
        <f t="shared" si="14"/>
        <v>-2800000</v>
      </c>
      <c r="K1801" s="2">
        <f t="shared" si="15"/>
        <v>-2.1849184392348332E-2</v>
      </c>
      <c r="L1801" s="2" t="str">
        <f>IF(ISNUMBER(SEARCH("|",IMDB_Movies!$D1801)),LEFT(IMDB_Movies!$D1801,SEARCH("|",IMDB_Movies!$D1801)-1),IMDB_Movies!$D1801)</f>
        <v>Comedy</v>
      </c>
      <c r="V1801" s="2"/>
      <c r="W1801" s="2"/>
    </row>
    <row r="1802" spans="1:23" ht="12.5" x14ac:dyDescent="0.25">
      <c r="A1802" s="2" t="s">
        <v>2527</v>
      </c>
      <c r="B1802" s="2">
        <v>108</v>
      </c>
      <c r="C1802" s="2">
        <v>80014842</v>
      </c>
      <c r="D1802" s="2" t="s">
        <v>2432</v>
      </c>
      <c r="E1802" s="2" t="s">
        <v>3168</v>
      </c>
      <c r="F1802" s="2" t="s">
        <v>14</v>
      </c>
      <c r="G1802" s="2" t="s">
        <v>15</v>
      </c>
      <c r="H1802" s="2">
        <v>25000000</v>
      </c>
      <c r="I1802" s="2">
        <v>6.3</v>
      </c>
      <c r="J1802" s="2">
        <f t="shared" si="14"/>
        <v>55014842</v>
      </c>
      <c r="K1802" s="2">
        <f t="shared" si="15"/>
        <v>-2.1849187007272577E-2</v>
      </c>
      <c r="L1802" s="2" t="str">
        <f>IF(ISNUMBER(SEARCH("|",IMDB_Movies!$D1802)),LEFT(IMDB_Movies!$D1802,SEARCH("|",IMDB_Movies!$D1802)-1),IMDB_Movies!$D1802)</f>
        <v>Drama</v>
      </c>
      <c r="V1802" s="2"/>
      <c r="W1802" s="2"/>
    </row>
    <row r="1803" spans="1:23" ht="12.5" x14ac:dyDescent="0.25">
      <c r="A1803" s="2" t="s">
        <v>3169</v>
      </c>
      <c r="B1803" s="2">
        <v>97</v>
      </c>
      <c r="C1803" s="2">
        <v>23527955</v>
      </c>
      <c r="D1803" s="2" t="s">
        <v>845</v>
      </c>
      <c r="E1803" s="2" t="s">
        <v>3170</v>
      </c>
      <c r="F1803" s="2" t="s">
        <v>14</v>
      </c>
      <c r="G1803" s="2" t="s">
        <v>15</v>
      </c>
      <c r="H1803" s="2">
        <v>25000000</v>
      </c>
      <c r="I1803" s="2">
        <v>6.4</v>
      </c>
      <c r="J1803" s="2">
        <f t="shared" si="14"/>
        <v>-1472045</v>
      </c>
      <c r="K1803" s="2">
        <f t="shared" si="15"/>
        <v>-2.1862531357543426E-2</v>
      </c>
      <c r="L1803" s="2" t="str">
        <f>IF(ISNUMBER(SEARCH("|",IMDB_Movies!$D1803)),LEFT(IMDB_Movies!$D1803,SEARCH("|",IMDB_Movies!$D1803)-1),IMDB_Movies!$D1803)</f>
        <v>Action</v>
      </c>
      <c r="V1803" s="2"/>
      <c r="W1803" s="2"/>
    </row>
    <row r="1804" spans="1:23" ht="12.5" x14ac:dyDescent="0.25">
      <c r="A1804" s="2" t="s">
        <v>3171</v>
      </c>
      <c r="B1804" s="2">
        <v>99</v>
      </c>
      <c r="C1804" s="2">
        <v>24042490</v>
      </c>
      <c r="D1804" s="2" t="s">
        <v>3172</v>
      </c>
      <c r="E1804" s="2" t="s">
        <v>3173</v>
      </c>
      <c r="F1804" s="2" t="s">
        <v>14</v>
      </c>
      <c r="G1804" s="2" t="s">
        <v>15</v>
      </c>
      <c r="H1804" s="2">
        <v>25000000</v>
      </c>
      <c r="I1804" s="2">
        <v>5.6</v>
      </c>
      <c r="J1804" s="2">
        <f t="shared" si="14"/>
        <v>-957510</v>
      </c>
      <c r="K1804" s="2">
        <f t="shared" si="15"/>
        <v>-2.1862517386246109E-2</v>
      </c>
      <c r="L1804" s="2" t="str">
        <f>IF(ISNUMBER(SEARCH("|",IMDB_Movies!$D1804)),LEFT(IMDB_Movies!$D1804,SEARCH("|",IMDB_Movies!$D1804)-1),IMDB_Movies!$D1804)</f>
        <v>Fantasy</v>
      </c>
      <c r="V1804" s="2"/>
      <c r="W1804" s="2"/>
    </row>
    <row r="1805" spans="1:23" ht="12.5" x14ac:dyDescent="0.25">
      <c r="A1805" s="2" t="s">
        <v>3174</v>
      </c>
      <c r="B1805" s="2">
        <v>103</v>
      </c>
      <c r="C1805" s="2">
        <v>22466994</v>
      </c>
      <c r="D1805" s="2" t="s">
        <v>125</v>
      </c>
      <c r="E1805" s="2" t="s">
        <v>3175</v>
      </c>
      <c r="F1805" s="2" t="s">
        <v>14</v>
      </c>
      <c r="G1805" s="2" t="s">
        <v>15</v>
      </c>
      <c r="H1805" s="2">
        <v>25000000</v>
      </c>
      <c r="I1805" s="2">
        <v>6.3</v>
      </c>
      <c r="J1805" s="2">
        <f t="shared" si="14"/>
        <v>-2533006</v>
      </c>
      <c r="K1805" s="2">
        <f t="shared" si="15"/>
        <v>-2.1862501256460564E-2</v>
      </c>
      <c r="L1805" s="2" t="str">
        <f>IF(ISNUMBER(SEARCH("|",IMDB_Movies!$D1805)),LEFT(IMDB_Movies!$D1805,SEARCH("|",IMDB_Movies!$D1805)-1),IMDB_Movies!$D1805)</f>
        <v>Action</v>
      </c>
      <c r="V1805" s="2"/>
      <c r="W1805" s="2"/>
    </row>
    <row r="1806" spans="1:23" ht="12.5" x14ac:dyDescent="0.25">
      <c r="A1806" s="2" t="s">
        <v>2361</v>
      </c>
      <c r="B1806" s="2">
        <v>95</v>
      </c>
      <c r="C1806" s="2">
        <v>17791031</v>
      </c>
      <c r="D1806" s="2" t="s">
        <v>3176</v>
      </c>
      <c r="E1806" s="2" t="s">
        <v>3177</v>
      </c>
      <c r="F1806" s="2" t="s">
        <v>14</v>
      </c>
      <c r="G1806" s="2" t="s">
        <v>15</v>
      </c>
      <c r="H1806" s="2">
        <v>25000000</v>
      </c>
      <c r="I1806" s="2">
        <v>7.3</v>
      </c>
      <c r="J1806" s="2">
        <f t="shared" si="14"/>
        <v>-7208969</v>
      </c>
      <c r="K1806" s="2">
        <f t="shared" si="15"/>
        <v>-2.1862498878937826E-2</v>
      </c>
      <c r="L1806" s="2" t="str">
        <f>IF(ISNUMBER(SEARCH("|",IMDB_Movies!$D1806)),LEFT(IMDB_Movies!$D1806,SEARCH("|",IMDB_Movies!$D1806)-1),IMDB_Movies!$D1806)</f>
        <v>Comedy</v>
      </c>
      <c r="V1806" s="2"/>
      <c r="W1806" s="2"/>
    </row>
    <row r="1807" spans="1:23" ht="12.5" x14ac:dyDescent="0.25">
      <c r="A1807" s="2" t="s">
        <v>3178</v>
      </c>
      <c r="B1807" s="2">
        <v>93</v>
      </c>
      <c r="C1807" s="2">
        <v>17718223</v>
      </c>
      <c r="D1807" s="2" t="s">
        <v>709</v>
      </c>
      <c r="E1807" s="2" t="s">
        <v>3179</v>
      </c>
      <c r="F1807" s="2" t="s">
        <v>14</v>
      </c>
      <c r="G1807" s="2" t="s">
        <v>15</v>
      </c>
      <c r="H1807" s="2">
        <v>25000000</v>
      </c>
      <c r="I1807" s="2">
        <v>6.6</v>
      </c>
      <c r="J1807" s="2">
        <f t="shared" si="14"/>
        <v>-7281777</v>
      </c>
      <c r="K1807" s="2">
        <f t="shared" si="15"/>
        <v>-2.1862663328855121E-2</v>
      </c>
      <c r="L1807" s="2" t="str">
        <f>IF(ISNUMBER(SEARCH("|",IMDB_Movies!$D1807)),LEFT(IMDB_Movies!$D1807,SEARCH("|",IMDB_Movies!$D1807)-1),IMDB_Movies!$D1807)</f>
        <v>Comedy</v>
      </c>
      <c r="V1807" s="2"/>
      <c r="W1807" s="2"/>
    </row>
    <row r="1808" spans="1:23" ht="12.5" x14ac:dyDescent="0.25">
      <c r="A1808" s="2" t="s">
        <v>3180</v>
      </c>
      <c r="B1808" s="2">
        <v>98</v>
      </c>
      <c r="C1808" s="2">
        <v>15361537</v>
      </c>
      <c r="D1808" s="2" t="s">
        <v>125</v>
      </c>
      <c r="E1808" s="2" t="s">
        <v>3181</v>
      </c>
      <c r="F1808" s="2" t="s">
        <v>14</v>
      </c>
      <c r="G1808" s="2" t="s">
        <v>287</v>
      </c>
      <c r="H1808" s="2">
        <v>13000000</v>
      </c>
      <c r="I1808" s="2">
        <v>4.5999999999999996</v>
      </c>
      <c r="J1808" s="2">
        <f t="shared" si="14"/>
        <v>2361537</v>
      </c>
      <c r="K1808" s="2">
        <f t="shared" si="15"/>
        <v>-2.1862832035835809E-2</v>
      </c>
      <c r="L1808" s="2" t="str">
        <f>IF(ISNUMBER(SEARCH("|",IMDB_Movies!$D1808)),LEFT(IMDB_Movies!$D1808,SEARCH("|",IMDB_Movies!$D1808)-1),IMDB_Movies!$D1808)</f>
        <v>Action</v>
      </c>
      <c r="V1808" s="2"/>
      <c r="W1808" s="2"/>
    </row>
    <row r="1809" spans="1:23" ht="12.5" x14ac:dyDescent="0.25">
      <c r="A1809" s="2" t="s">
        <v>358</v>
      </c>
      <c r="B1809" s="2">
        <v>90</v>
      </c>
      <c r="C1809" s="2">
        <v>16647384</v>
      </c>
      <c r="D1809" s="2" t="s">
        <v>3182</v>
      </c>
      <c r="E1809" s="2" t="s">
        <v>3183</v>
      </c>
      <c r="F1809" s="2" t="s">
        <v>14</v>
      </c>
      <c r="G1809" s="2" t="s">
        <v>15</v>
      </c>
      <c r="H1809" s="2">
        <v>26000000</v>
      </c>
      <c r="I1809" s="2">
        <v>5.0999999999999996</v>
      </c>
      <c r="J1809" s="2">
        <f t="shared" si="14"/>
        <v>-9352616</v>
      </c>
      <c r="K1809" s="2">
        <f t="shared" si="15"/>
        <v>-2.1867009724642554E-2</v>
      </c>
      <c r="L1809" s="2" t="str">
        <f>IF(ISNUMBER(SEARCH("|",IMDB_Movies!$D1809)),LEFT(IMDB_Movies!$D1809,SEARCH("|",IMDB_Movies!$D1809)-1),IMDB_Movies!$D1809)</f>
        <v>Adventure</v>
      </c>
      <c r="V1809" s="2"/>
      <c r="W1809" s="2"/>
    </row>
    <row r="1810" spans="1:23" ht="12.5" x14ac:dyDescent="0.25">
      <c r="A1810" s="2" t="s">
        <v>3184</v>
      </c>
      <c r="B1810" s="2">
        <v>107</v>
      </c>
      <c r="C1810" s="2">
        <v>16118077</v>
      </c>
      <c r="D1810" s="2" t="s">
        <v>1180</v>
      </c>
      <c r="E1810" s="2" t="s">
        <v>3185</v>
      </c>
      <c r="F1810" s="2" t="s">
        <v>14</v>
      </c>
      <c r="G1810" s="2" t="s">
        <v>15</v>
      </c>
      <c r="H1810" s="2">
        <v>25000000</v>
      </c>
      <c r="I1810" s="2">
        <v>5.6</v>
      </c>
      <c r="J1810" s="2">
        <f t="shared" si="14"/>
        <v>-8881923</v>
      </c>
      <c r="K1810" s="2">
        <f t="shared" si="15"/>
        <v>-2.1866984713396948E-2</v>
      </c>
      <c r="L1810" s="2" t="str">
        <f>IF(ISNUMBER(SEARCH("|",IMDB_Movies!$D1810)),LEFT(IMDB_Movies!$D1810,SEARCH("|",IMDB_Movies!$D1810)-1),IMDB_Movies!$D1810)</f>
        <v>Drama</v>
      </c>
      <c r="V1810" s="2"/>
      <c r="W1810" s="2"/>
    </row>
    <row r="1811" spans="1:23" ht="12.5" x14ac:dyDescent="0.25">
      <c r="A1811" s="2" t="s">
        <v>3186</v>
      </c>
      <c r="B1811" s="2">
        <v>90</v>
      </c>
      <c r="C1811" s="2">
        <v>15091542</v>
      </c>
      <c r="D1811" s="2" t="s">
        <v>3187</v>
      </c>
      <c r="E1811" s="2" t="s">
        <v>3188</v>
      </c>
      <c r="F1811" s="2" t="s">
        <v>3189</v>
      </c>
      <c r="G1811" s="2" t="s">
        <v>22</v>
      </c>
      <c r="H1811" s="2">
        <v>25000000</v>
      </c>
      <c r="I1811" s="2">
        <v>5.3</v>
      </c>
      <c r="J1811" s="2">
        <f t="shared" si="14"/>
        <v>-9908458</v>
      </c>
      <c r="K1811" s="2">
        <f t="shared" si="15"/>
        <v>-2.1867257228024524E-2</v>
      </c>
      <c r="L1811" s="2" t="str">
        <f>IF(ISNUMBER(SEARCH("|",IMDB_Movies!$D1811)),LEFT(IMDB_Movies!$D1811,SEARCH("|",IMDB_Movies!$D1811)-1),IMDB_Movies!$D1811)</f>
        <v>Adventure</v>
      </c>
      <c r="V1811" s="2"/>
      <c r="W1811" s="2"/>
    </row>
    <row r="1812" spans="1:23" ht="12.5" x14ac:dyDescent="0.25">
      <c r="A1812" s="2" t="s">
        <v>3190</v>
      </c>
      <c r="B1812" s="2">
        <v>115</v>
      </c>
      <c r="C1812" s="2">
        <v>15045676</v>
      </c>
      <c r="D1812" s="2" t="s">
        <v>1161</v>
      </c>
      <c r="E1812" s="2" t="s">
        <v>3191</v>
      </c>
      <c r="F1812" s="2" t="s">
        <v>14</v>
      </c>
      <c r="G1812" s="2" t="s">
        <v>15</v>
      </c>
      <c r="H1812" s="2">
        <v>16000000</v>
      </c>
      <c r="I1812" s="2">
        <v>5.6</v>
      </c>
      <c r="J1812" s="2">
        <f t="shared" si="14"/>
        <v>-954324</v>
      </c>
      <c r="K1812" s="2">
        <f t="shared" si="15"/>
        <v>-2.1867607113917085E-2</v>
      </c>
      <c r="L1812" s="2" t="str">
        <f>IF(ISNUMBER(SEARCH("|",IMDB_Movies!$D1812)),LEFT(IMDB_Movies!$D1812,SEARCH("|",IMDB_Movies!$D1812)-1),IMDB_Movies!$D1812)</f>
        <v>Drama</v>
      </c>
      <c r="V1812" s="2"/>
      <c r="W1812" s="2"/>
    </row>
    <row r="1813" spans="1:23" ht="12.5" x14ac:dyDescent="0.25">
      <c r="A1813" s="2" t="s">
        <v>3192</v>
      </c>
      <c r="B1813" s="2">
        <v>93</v>
      </c>
      <c r="C1813" s="2">
        <v>17427926</v>
      </c>
      <c r="D1813" s="2" t="s">
        <v>2148</v>
      </c>
      <c r="E1813" s="2" t="s">
        <v>3193</v>
      </c>
      <c r="F1813" s="2" t="s">
        <v>14</v>
      </c>
      <c r="G1813" s="2" t="s">
        <v>15</v>
      </c>
      <c r="H1813" s="2">
        <v>8000000</v>
      </c>
      <c r="I1813" s="2">
        <v>5.9</v>
      </c>
      <c r="J1813" s="2">
        <f t="shared" si="14"/>
        <v>9427926</v>
      </c>
      <c r="K1813" s="2">
        <f t="shared" si="15"/>
        <v>-2.187098454864074E-2</v>
      </c>
      <c r="L1813" s="2" t="str">
        <f>IF(ISNUMBER(SEARCH("|",IMDB_Movies!$D1813)),LEFT(IMDB_Movies!$D1813,SEARCH("|",IMDB_Movies!$D1813)-1),IMDB_Movies!$D1813)</f>
        <v>Horror</v>
      </c>
      <c r="V1813" s="2"/>
      <c r="W1813" s="2"/>
    </row>
    <row r="1814" spans="1:23" ht="12.5" x14ac:dyDescent="0.25">
      <c r="A1814" s="2" t="s">
        <v>3194</v>
      </c>
      <c r="B1814" s="2">
        <v>99</v>
      </c>
      <c r="C1814" s="2">
        <v>14983572</v>
      </c>
      <c r="D1814" s="2" t="s">
        <v>514</v>
      </c>
      <c r="E1814" s="2" t="s">
        <v>3195</v>
      </c>
      <c r="F1814" s="2" t="s">
        <v>14</v>
      </c>
      <c r="G1814" s="2" t="s">
        <v>15</v>
      </c>
      <c r="H1814" s="2">
        <v>25000000</v>
      </c>
      <c r="I1814" s="2">
        <v>4.7</v>
      </c>
      <c r="J1814" s="2">
        <f t="shared" si="14"/>
        <v>-10016428</v>
      </c>
      <c r="K1814" s="2">
        <f t="shared" si="15"/>
        <v>-2.1875033008755606E-2</v>
      </c>
      <c r="L1814" s="2" t="str">
        <f>IF(ISNUMBER(SEARCH("|",IMDB_Movies!$D1814)),LEFT(IMDB_Movies!$D1814,SEARCH("|",IMDB_Movies!$D1814)-1),IMDB_Movies!$D1814)</f>
        <v>Comedy</v>
      </c>
      <c r="V1814" s="2"/>
      <c r="W1814" s="2"/>
    </row>
    <row r="1815" spans="1:23" ht="12.5" x14ac:dyDescent="0.25">
      <c r="A1815" s="2" t="s">
        <v>2115</v>
      </c>
      <c r="B1815" s="2">
        <v>107</v>
      </c>
      <c r="C1815" s="2">
        <v>14637490</v>
      </c>
      <c r="D1815" s="2" t="s">
        <v>1050</v>
      </c>
      <c r="E1815" s="2" t="s">
        <v>3196</v>
      </c>
      <c r="F1815" s="2" t="s">
        <v>14</v>
      </c>
      <c r="G1815" s="2" t="s">
        <v>15</v>
      </c>
      <c r="H1815" s="2">
        <v>25000000</v>
      </c>
      <c r="I1815" s="2">
        <v>4.8</v>
      </c>
      <c r="J1815" s="2">
        <f t="shared" si="14"/>
        <v>-10362510</v>
      </c>
      <c r="K1815" s="2">
        <f t="shared" si="15"/>
        <v>-2.1875397072579711E-2</v>
      </c>
      <c r="L1815" s="2" t="str">
        <f>IF(ISNUMBER(SEARCH("|",IMDB_Movies!$D1815)),LEFT(IMDB_Movies!$D1815,SEARCH("|",IMDB_Movies!$D1815)-1),IMDB_Movies!$D1815)</f>
        <v>Horror</v>
      </c>
      <c r="V1815" s="2"/>
      <c r="W1815" s="2"/>
    </row>
    <row r="1816" spans="1:23" ht="12.5" x14ac:dyDescent="0.25">
      <c r="A1816" s="2" t="s">
        <v>2472</v>
      </c>
      <c r="B1816" s="2">
        <v>110</v>
      </c>
      <c r="C1816" s="2">
        <v>14589444</v>
      </c>
      <c r="D1816" s="2" t="s">
        <v>514</v>
      </c>
      <c r="E1816" s="2" t="s">
        <v>3197</v>
      </c>
      <c r="F1816" s="2" t="s">
        <v>14</v>
      </c>
      <c r="G1816" s="2" t="s">
        <v>15</v>
      </c>
      <c r="H1816" s="2">
        <v>25000000</v>
      </c>
      <c r="I1816" s="2">
        <v>6.8</v>
      </c>
      <c r="J1816" s="2">
        <f t="shared" si="14"/>
        <v>-10410556</v>
      </c>
      <c r="K1816" s="2">
        <f t="shared" si="15"/>
        <v>-2.1875790147580499E-2</v>
      </c>
      <c r="L1816" s="2" t="str">
        <f>IF(ISNUMBER(SEARCH("|",IMDB_Movies!$D1816)),LEFT(IMDB_Movies!$D1816,SEARCH("|",IMDB_Movies!$D1816)-1),IMDB_Movies!$D1816)</f>
        <v>Comedy</v>
      </c>
      <c r="V1816" s="2"/>
      <c r="W1816" s="2"/>
    </row>
    <row r="1817" spans="1:23" ht="12.5" x14ac:dyDescent="0.25">
      <c r="A1817" s="2" t="s">
        <v>3198</v>
      </c>
      <c r="B1817" s="2">
        <v>101</v>
      </c>
      <c r="C1817" s="2">
        <v>14095303</v>
      </c>
      <c r="D1817" s="2" t="s">
        <v>944</v>
      </c>
      <c r="E1817" s="2" t="s">
        <v>3199</v>
      </c>
      <c r="F1817" s="2" t="s">
        <v>14</v>
      </c>
      <c r="G1817" s="2" t="s">
        <v>15</v>
      </c>
      <c r="H1817" s="2">
        <v>25000000</v>
      </c>
      <c r="I1817" s="2">
        <v>5.4</v>
      </c>
      <c r="J1817" s="2">
        <f t="shared" si="14"/>
        <v>-10904697</v>
      </c>
      <c r="K1817" s="2">
        <f t="shared" si="15"/>
        <v>-2.1876187692397613E-2</v>
      </c>
      <c r="L1817" s="2" t="str">
        <f>IF(ISNUMBER(SEARCH("|",IMDB_Movies!$D1817)),LEFT(IMDB_Movies!$D1817,SEARCH("|",IMDB_Movies!$D1817)-1),IMDB_Movies!$D1817)</f>
        <v>Action</v>
      </c>
      <c r="V1817" s="2"/>
      <c r="W1817" s="2"/>
    </row>
    <row r="1818" spans="1:23" ht="12.5" x14ac:dyDescent="0.25">
      <c r="A1818" s="2" t="s">
        <v>3200</v>
      </c>
      <c r="B1818" s="2">
        <v>85</v>
      </c>
      <c r="C1818" s="2">
        <v>13973532</v>
      </c>
      <c r="D1818" s="2" t="s">
        <v>375</v>
      </c>
      <c r="E1818" s="2" t="s">
        <v>3201</v>
      </c>
      <c r="F1818" s="2" t="s">
        <v>14</v>
      </c>
      <c r="G1818" s="2" t="s">
        <v>15</v>
      </c>
      <c r="H1818" s="2">
        <v>25000000</v>
      </c>
      <c r="I1818" s="2">
        <v>5.0999999999999996</v>
      </c>
      <c r="J1818" s="2">
        <f t="shared" si="14"/>
        <v>-11026468</v>
      </c>
      <c r="K1818" s="2">
        <f t="shared" si="15"/>
        <v>-2.187662857434804E-2</v>
      </c>
      <c r="L1818" s="2" t="str">
        <f>IF(ISNUMBER(SEARCH("|",IMDB_Movies!$D1818)),LEFT(IMDB_Movies!$D1818,SEARCH("|",IMDB_Movies!$D1818)-1),IMDB_Movies!$D1818)</f>
        <v>Comedy</v>
      </c>
      <c r="V1818" s="2"/>
      <c r="W1818" s="2"/>
    </row>
    <row r="1819" spans="1:23" ht="12.5" x14ac:dyDescent="0.25">
      <c r="A1819" s="2" t="s">
        <v>1727</v>
      </c>
      <c r="B1819" s="2">
        <v>132</v>
      </c>
      <c r="C1819" s="2">
        <v>1865774</v>
      </c>
      <c r="D1819" s="2" t="s">
        <v>3202</v>
      </c>
      <c r="E1819" s="2" t="s">
        <v>3203</v>
      </c>
      <c r="F1819" s="2" t="s">
        <v>14</v>
      </c>
      <c r="G1819" s="2" t="s">
        <v>22</v>
      </c>
      <c r="H1819" s="2">
        <v>30000000</v>
      </c>
      <c r="I1819" s="2">
        <v>7</v>
      </c>
      <c r="J1819" s="2">
        <f t="shared" si="14"/>
        <v>-28134226</v>
      </c>
      <c r="K1819" s="2">
        <f t="shared" si="15"/>
        <v>-2.1877080826311616E-2</v>
      </c>
      <c r="L1819" s="2" t="str">
        <f>IF(ISNUMBER(SEARCH("|",IMDB_Movies!$D1819)),LEFT(IMDB_Movies!$D1819,SEARCH("|",IMDB_Movies!$D1819)-1),IMDB_Movies!$D1819)</f>
        <v>Biography</v>
      </c>
      <c r="V1819" s="2"/>
      <c r="W1819" s="2"/>
    </row>
    <row r="1820" spans="1:23" ht="12.5" x14ac:dyDescent="0.25">
      <c r="A1820" s="2" t="s">
        <v>1970</v>
      </c>
      <c r="B1820" s="2">
        <v>90</v>
      </c>
      <c r="C1820" s="2">
        <v>18860403</v>
      </c>
      <c r="D1820" s="2" t="s">
        <v>2228</v>
      </c>
      <c r="E1820" s="2" t="s">
        <v>3204</v>
      </c>
      <c r="F1820" s="2" t="s">
        <v>14</v>
      </c>
      <c r="G1820" s="2" t="s">
        <v>15</v>
      </c>
      <c r="H1820" s="2">
        <v>25000000</v>
      </c>
      <c r="I1820" s="2">
        <v>4</v>
      </c>
      <c r="J1820" s="2">
        <f t="shared" si="14"/>
        <v>-6139597</v>
      </c>
      <c r="K1820" s="2">
        <f t="shared" si="15"/>
        <v>-2.1874543778011561E-2</v>
      </c>
      <c r="L1820" s="2" t="str">
        <f>IF(ISNUMBER(SEARCH("|",IMDB_Movies!$D1820)),LEFT(IMDB_Movies!$D1820,SEARCH("|",IMDB_Movies!$D1820)-1),IMDB_Movies!$D1820)</f>
        <v>Horror</v>
      </c>
      <c r="V1820" s="2"/>
      <c r="W1820" s="2"/>
    </row>
    <row r="1821" spans="1:23" ht="12.5" x14ac:dyDescent="0.25">
      <c r="A1821" s="2" t="s">
        <v>1601</v>
      </c>
      <c r="B1821" s="2">
        <v>145</v>
      </c>
      <c r="C1821" s="2">
        <v>13038660</v>
      </c>
      <c r="D1821" s="2" t="s">
        <v>1180</v>
      </c>
      <c r="E1821" s="2" t="s">
        <v>3205</v>
      </c>
      <c r="F1821" s="2" t="s">
        <v>14</v>
      </c>
      <c r="G1821" s="2" t="s">
        <v>15</v>
      </c>
      <c r="H1821" s="2">
        <v>25000000</v>
      </c>
      <c r="I1821" s="2">
        <v>7.3</v>
      </c>
      <c r="J1821" s="2">
        <f t="shared" si="14"/>
        <v>-11961340</v>
      </c>
      <c r="K1821" s="2">
        <f t="shared" si="15"/>
        <v>-2.1874659121483293E-2</v>
      </c>
      <c r="L1821" s="2" t="str">
        <f>IF(ISNUMBER(SEARCH("|",IMDB_Movies!$D1821)),LEFT(IMDB_Movies!$D1821,SEARCH("|",IMDB_Movies!$D1821)-1),IMDB_Movies!$D1821)</f>
        <v>Drama</v>
      </c>
      <c r="V1821" s="2"/>
      <c r="W1821" s="2"/>
    </row>
    <row r="1822" spans="1:23" ht="12.5" x14ac:dyDescent="0.25">
      <c r="A1822" s="2" t="s">
        <v>947</v>
      </c>
      <c r="B1822" s="2">
        <v>110</v>
      </c>
      <c r="C1822" s="2">
        <v>28831145</v>
      </c>
      <c r="D1822" s="2" t="s">
        <v>1307</v>
      </c>
      <c r="E1822" s="2" t="s">
        <v>3206</v>
      </c>
      <c r="F1822" s="2" t="s">
        <v>14</v>
      </c>
      <c r="G1822" s="2" t="s">
        <v>15</v>
      </c>
      <c r="H1822" s="2">
        <v>25000000</v>
      </c>
      <c r="I1822" s="2">
        <v>6.8</v>
      </c>
      <c r="J1822" s="2">
        <f t="shared" si="14"/>
        <v>3831145</v>
      </c>
      <c r="K1822" s="2">
        <f t="shared" si="15"/>
        <v>-2.1875200200136145E-2</v>
      </c>
      <c r="L1822" s="2" t="str">
        <f>IF(ISNUMBER(SEARCH("|",IMDB_Movies!$D1822)),LEFT(IMDB_Movies!$D1822,SEARCH("|",IMDB_Movies!$D1822)-1),IMDB_Movies!$D1822)</f>
        <v>Drama</v>
      </c>
      <c r="V1822" s="2"/>
      <c r="W1822" s="2"/>
    </row>
    <row r="1823" spans="1:23" ht="12.5" x14ac:dyDescent="0.25">
      <c r="A1823" s="2" t="s">
        <v>1388</v>
      </c>
      <c r="B1823" s="2">
        <v>122</v>
      </c>
      <c r="C1823" s="2">
        <v>11538204</v>
      </c>
      <c r="D1823" s="2" t="s">
        <v>3207</v>
      </c>
      <c r="E1823" s="2" t="s">
        <v>3208</v>
      </c>
      <c r="F1823" s="2" t="s">
        <v>14</v>
      </c>
      <c r="G1823" s="2" t="s">
        <v>15</v>
      </c>
      <c r="H1823" s="2">
        <v>25000000</v>
      </c>
      <c r="I1823" s="2">
        <v>7</v>
      </c>
      <c r="J1823" s="2">
        <f t="shared" si="14"/>
        <v>-13461796</v>
      </c>
      <c r="K1823" s="2">
        <f t="shared" si="15"/>
        <v>-2.1875265509814144E-2</v>
      </c>
      <c r="L1823" s="2" t="str">
        <f>IF(ISNUMBER(SEARCH("|",IMDB_Movies!$D1823)),LEFT(IMDB_Movies!$D1823,SEARCH("|",IMDB_Movies!$D1823)-1),IMDB_Movies!$D1823)</f>
        <v>Crime</v>
      </c>
      <c r="V1823" s="2"/>
      <c r="W1823" s="2"/>
    </row>
    <row r="1824" spans="1:23" ht="12.5" x14ac:dyDescent="0.25">
      <c r="A1824" s="2" t="s">
        <v>2066</v>
      </c>
      <c r="B1824" s="2">
        <v>107</v>
      </c>
      <c r="C1824" s="2">
        <v>11008432</v>
      </c>
      <c r="D1824" s="2" t="s">
        <v>585</v>
      </c>
      <c r="E1824" s="2" t="s">
        <v>3209</v>
      </c>
      <c r="F1824" s="2" t="s">
        <v>14</v>
      </c>
      <c r="G1824" s="2" t="s">
        <v>15</v>
      </c>
      <c r="H1824" s="2">
        <v>25000000</v>
      </c>
      <c r="I1824" s="2">
        <v>7.1</v>
      </c>
      <c r="J1824" s="2">
        <f t="shared" si="14"/>
        <v>-13991568</v>
      </c>
      <c r="K1824" s="2">
        <f t="shared" si="15"/>
        <v>-2.1875964069347324E-2</v>
      </c>
      <c r="L1824" s="2" t="str">
        <f>IF(ISNUMBER(SEARCH("|",IMDB_Movies!$D1824)),LEFT(IMDB_Movies!$D1824,SEARCH("|",IMDB_Movies!$D1824)-1),IMDB_Movies!$D1824)</f>
        <v>Biography</v>
      </c>
      <c r="V1824" s="2"/>
      <c r="W1824" s="2"/>
    </row>
    <row r="1825" spans="1:23" ht="12.5" x14ac:dyDescent="0.25">
      <c r="A1825" s="2" t="s">
        <v>3210</v>
      </c>
      <c r="B1825" s="2">
        <v>127</v>
      </c>
      <c r="C1825" s="2">
        <v>12188642</v>
      </c>
      <c r="D1825" s="2" t="s">
        <v>2000</v>
      </c>
      <c r="E1825" s="2" t="s">
        <v>3211</v>
      </c>
      <c r="F1825" s="2" t="s">
        <v>14</v>
      </c>
      <c r="G1825" s="2" t="s">
        <v>3212</v>
      </c>
      <c r="H1825" s="2">
        <v>26000000</v>
      </c>
      <c r="I1825" s="2">
        <v>6.9</v>
      </c>
      <c r="J1825" s="2">
        <f t="shared" si="14"/>
        <v>-13811358</v>
      </c>
      <c r="K1825" s="2">
        <f t="shared" si="15"/>
        <v>-2.1876723538497265E-2</v>
      </c>
      <c r="L1825" s="2" t="str">
        <f>IF(ISNUMBER(SEARCH("|",IMDB_Movies!$D1825)),LEFT(IMDB_Movies!$D1825,SEARCH("|",IMDB_Movies!$D1825)-1),IMDB_Movies!$D1825)</f>
        <v>Biography</v>
      </c>
      <c r="V1825" s="2"/>
      <c r="W1825" s="2"/>
    </row>
    <row r="1826" spans="1:23" ht="12.5" x14ac:dyDescent="0.25">
      <c r="A1826" s="2" t="s">
        <v>1818</v>
      </c>
      <c r="B1826" s="2">
        <v>99</v>
      </c>
      <c r="C1826" s="2">
        <v>11100000</v>
      </c>
      <c r="D1826" s="2" t="s">
        <v>856</v>
      </c>
      <c r="E1826" s="2" t="s">
        <v>3213</v>
      </c>
      <c r="F1826" s="2" t="s">
        <v>14</v>
      </c>
      <c r="G1826" s="2" t="s">
        <v>15</v>
      </c>
      <c r="H1826" s="2">
        <v>25000000</v>
      </c>
      <c r="I1826" s="2">
        <v>7.3</v>
      </c>
      <c r="J1826" s="2">
        <f t="shared" si="14"/>
        <v>-13900000</v>
      </c>
      <c r="K1826" s="2">
        <f t="shared" si="15"/>
        <v>-2.1876883812936176E-2</v>
      </c>
      <c r="L1826" s="2" t="str">
        <f>IF(ISNUMBER(SEARCH("|",IMDB_Movies!$D1826)),LEFT(IMDB_Movies!$D1826,SEARCH("|",IMDB_Movies!$D1826)-1),IMDB_Movies!$D1826)</f>
        <v>Action</v>
      </c>
      <c r="V1826" s="2"/>
      <c r="W1826" s="2"/>
    </row>
    <row r="1827" spans="1:23" ht="12.5" x14ac:dyDescent="0.25">
      <c r="A1827" s="2" t="s">
        <v>2832</v>
      </c>
      <c r="B1827" s="2">
        <v>140</v>
      </c>
      <c r="C1827" s="2">
        <v>13651662</v>
      </c>
      <c r="D1827" s="2" t="s">
        <v>1307</v>
      </c>
      <c r="E1827" s="2" t="s">
        <v>3214</v>
      </c>
      <c r="F1827" s="2" t="s">
        <v>14</v>
      </c>
      <c r="G1827" s="2" t="s">
        <v>15</v>
      </c>
      <c r="H1827" s="2">
        <v>25000000</v>
      </c>
      <c r="I1827" s="2">
        <v>8.1999999999999993</v>
      </c>
      <c r="J1827" s="2">
        <f t="shared" si="14"/>
        <v>-11348338</v>
      </c>
      <c r="K1827" s="2">
        <f t="shared" si="15"/>
        <v>-2.1877633999400226E-2</v>
      </c>
      <c r="L1827" s="2" t="str">
        <f>IF(ISNUMBER(SEARCH("|",IMDB_Movies!$D1827)),LEFT(IMDB_Movies!$D1827,SEARCH("|",IMDB_Movies!$D1827)-1),IMDB_Movies!$D1827)</f>
        <v>Drama</v>
      </c>
      <c r="V1827" s="2"/>
      <c r="W1827" s="2"/>
    </row>
    <row r="1828" spans="1:23" ht="12.5" x14ac:dyDescent="0.25">
      <c r="A1828" s="2" t="s">
        <v>1715</v>
      </c>
      <c r="B1828" s="2">
        <v>133</v>
      </c>
      <c r="C1828" s="2">
        <v>11030963</v>
      </c>
      <c r="D1828" s="2" t="s">
        <v>3215</v>
      </c>
      <c r="E1828" s="2" t="s">
        <v>3216</v>
      </c>
      <c r="F1828" s="2" t="s">
        <v>14</v>
      </c>
      <c r="G1828" s="2" t="s">
        <v>22</v>
      </c>
      <c r="H1828" s="2">
        <v>28000000</v>
      </c>
      <c r="I1828" s="2">
        <v>7.1</v>
      </c>
      <c r="J1828" s="2">
        <f t="shared" si="14"/>
        <v>-16969037</v>
      </c>
      <c r="K1828" s="2">
        <f t="shared" si="15"/>
        <v>-2.187811911222845E-2</v>
      </c>
      <c r="L1828" s="2" t="str">
        <f>IF(ISNUMBER(SEARCH("|",IMDB_Movies!$D1828)),LEFT(IMDB_Movies!$D1828,SEARCH("|",IMDB_Movies!$D1828)-1),IMDB_Movies!$D1828)</f>
        <v>Biography</v>
      </c>
      <c r="V1828" s="2"/>
      <c r="W1828" s="2"/>
    </row>
    <row r="1829" spans="1:23" ht="12.5" x14ac:dyDescent="0.25">
      <c r="A1829" s="2" t="s">
        <v>1630</v>
      </c>
      <c r="B1829" s="2">
        <v>271</v>
      </c>
      <c r="C1829" s="2">
        <v>10769960</v>
      </c>
      <c r="D1829" s="2" t="s">
        <v>706</v>
      </c>
      <c r="E1829" s="2" t="s">
        <v>3217</v>
      </c>
      <c r="F1829" s="2" t="s">
        <v>14</v>
      </c>
      <c r="G1829" s="2" t="s">
        <v>15</v>
      </c>
      <c r="H1829" s="2">
        <v>25000000</v>
      </c>
      <c r="I1829" s="2">
        <v>7.7</v>
      </c>
      <c r="J1829" s="2">
        <f t="shared" si="14"/>
        <v>-14230040</v>
      </c>
      <c r="K1829" s="2">
        <f t="shared" si="15"/>
        <v>-2.1877309341930756E-2</v>
      </c>
      <c r="L1829" s="2" t="str">
        <f>IF(ISNUMBER(SEARCH("|",IMDB_Movies!$D1829)),LEFT(IMDB_Movies!$D1829,SEARCH("|",IMDB_Movies!$D1829)-1),IMDB_Movies!$D1829)</f>
        <v>Drama</v>
      </c>
      <c r="V1829" s="2"/>
      <c r="W1829" s="2"/>
    </row>
    <row r="1830" spans="1:23" ht="12.5" x14ac:dyDescent="0.25">
      <c r="A1830" s="2" t="s">
        <v>2779</v>
      </c>
      <c r="B1830" s="2">
        <v>112</v>
      </c>
      <c r="C1830" s="2">
        <v>10911750</v>
      </c>
      <c r="D1830" s="2" t="s">
        <v>1175</v>
      </c>
      <c r="E1830" s="2" t="s">
        <v>3218</v>
      </c>
      <c r="F1830" s="2" t="s">
        <v>14</v>
      </c>
      <c r="G1830" s="2" t="s">
        <v>15</v>
      </c>
      <c r="H1830" s="2">
        <v>25000000</v>
      </c>
      <c r="I1830" s="2">
        <v>6.5</v>
      </c>
      <c r="J1830" s="2">
        <f t="shared" si="14"/>
        <v>-14088250</v>
      </c>
      <c r="K1830" s="2">
        <f t="shared" si="15"/>
        <v>-2.1878099491026339E-2</v>
      </c>
      <c r="L1830" s="2" t="str">
        <f>IF(ISNUMBER(SEARCH("|",IMDB_Movies!$D1830)),LEFT(IMDB_Movies!$D1830,SEARCH("|",IMDB_Movies!$D1830)-1),IMDB_Movies!$D1830)</f>
        <v>Drama</v>
      </c>
      <c r="V1830" s="2"/>
      <c r="W1830" s="2"/>
    </row>
    <row r="1831" spans="1:23" ht="12.5" x14ac:dyDescent="0.25">
      <c r="A1831" s="2" t="s">
        <v>1761</v>
      </c>
      <c r="B1831" s="2">
        <v>99</v>
      </c>
      <c r="C1831" s="2">
        <v>10719367</v>
      </c>
      <c r="D1831" s="2" t="s">
        <v>3219</v>
      </c>
      <c r="E1831" s="2" t="s">
        <v>3220</v>
      </c>
      <c r="F1831" s="2" t="s">
        <v>14</v>
      </c>
      <c r="G1831" s="2" t="s">
        <v>15</v>
      </c>
      <c r="H1831" s="2">
        <v>25000000</v>
      </c>
      <c r="I1831" s="2">
        <v>4.9000000000000004</v>
      </c>
      <c r="J1831" s="2">
        <f t="shared" si="14"/>
        <v>-14280633</v>
      </c>
      <c r="K1831" s="2">
        <f t="shared" si="15"/>
        <v>-2.1878873836387185E-2</v>
      </c>
      <c r="L1831" s="2" t="str">
        <f>IF(ISNUMBER(SEARCH("|",IMDB_Movies!$D1831)),LEFT(IMDB_Movies!$D1831,SEARCH("|",IMDB_Movies!$D1831)-1),IMDB_Movies!$D1831)</f>
        <v>Drama</v>
      </c>
      <c r="V1831" s="2"/>
      <c r="W1831" s="2"/>
    </row>
    <row r="1832" spans="1:23" ht="12.5" x14ac:dyDescent="0.25">
      <c r="A1832" s="2" t="s">
        <v>3221</v>
      </c>
      <c r="B1832" s="2">
        <v>100</v>
      </c>
      <c r="C1832" s="2">
        <v>10114315</v>
      </c>
      <c r="D1832" s="2" t="s">
        <v>690</v>
      </c>
      <c r="E1832" s="2" t="s">
        <v>3222</v>
      </c>
      <c r="F1832" s="2" t="s">
        <v>14</v>
      </c>
      <c r="G1832" s="2" t="s">
        <v>15</v>
      </c>
      <c r="H1832" s="2">
        <v>25000000</v>
      </c>
      <c r="I1832" s="2">
        <v>6.4</v>
      </c>
      <c r="J1832" s="2">
        <f t="shared" si="14"/>
        <v>-14885685</v>
      </c>
      <c r="K1832" s="2">
        <f t="shared" si="15"/>
        <v>-2.1879671701213726E-2</v>
      </c>
      <c r="L1832" s="2" t="str">
        <f>IF(ISNUMBER(SEARCH("|",IMDB_Movies!$D1832)),LEFT(IMDB_Movies!$D1832,SEARCH("|",IMDB_Movies!$D1832)-1),IMDB_Movies!$D1832)</f>
        <v>Drama</v>
      </c>
      <c r="V1832" s="2"/>
      <c r="W1832" s="2"/>
    </row>
    <row r="1833" spans="1:23" ht="12.5" x14ac:dyDescent="0.25">
      <c r="A1833" s="2" t="s">
        <v>3223</v>
      </c>
      <c r="B1833" s="2">
        <v>92</v>
      </c>
      <c r="C1833" s="2">
        <v>49122319</v>
      </c>
      <c r="D1833" s="2" t="s">
        <v>2228</v>
      </c>
      <c r="E1833" s="2" t="s">
        <v>3224</v>
      </c>
      <c r="F1833" s="2" t="s">
        <v>14</v>
      </c>
      <c r="G1833" s="2" t="s">
        <v>15</v>
      </c>
      <c r="H1833" s="2">
        <v>14000000</v>
      </c>
      <c r="I1833" s="2">
        <v>5.9</v>
      </c>
      <c r="J1833" s="2">
        <f t="shared" si="14"/>
        <v>35122319</v>
      </c>
      <c r="K1833" s="2">
        <f t="shared" si="15"/>
        <v>-2.1880543871790222E-2</v>
      </c>
      <c r="L1833" s="2" t="str">
        <f>IF(ISNUMBER(SEARCH("|",IMDB_Movies!$D1833)),LEFT(IMDB_Movies!$D1833,SEARCH("|",IMDB_Movies!$D1833)-1),IMDB_Movies!$D1833)</f>
        <v>Horror</v>
      </c>
      <c r="V1833" s="2"/>
      <c r="W1833" s="2"/>
    </row>
    <row r="1834" spans="1:23" ht="12.5" x14ac:dyDescent="0.25">
      <c r="A1834" s="2" t="s">
        <v>3225</v>
      </c>
      <c r="B1834" s="2">
        <v>105</v>
      </c>
      <c r="C1834" s="2">
        <v>10070000</v>
      </c>
      <c r="D1834" s="2" t="s">
        <v>514</v>
      </c>
      <c r="E1834" s="2" t="s">
        <v>3226</v>
      </c>
      <c r="F1834" s="2" t="s">
        <v>14</v>
      </c>
      <c r="G1834" s="2" t="s">
        <v>15</v>
      </c>
      <c r="H1834" s="2">
        <v>25000000</v>
      </c>
      <c r="I1834" s="2">
        <v>6.2</v>
      </c>
      <c r="J1834" s="2">
        <f t="shared" si="14"/>
        <v>-14930000</v>
      </c>
      <c r="K1834" s="2">
        <f t="shared" si="15"/>
        <v>-2.1869642610826915E-2</v>
      </c>
      <c r="L1834" s="2" t="str">
        <f>IF(ISNUMBER(SEARCH("|",IMDB_Movies!$D1834)),LEFT(IMDB_Movies!$D1834,SEARCH("|",IMDB_Movies!$D1834)-1),IMDB_Movies!$D1834)</f>
        <v>Comedy</v>
      </c>
      <c r="V1834" s="2"/>
      <c r="W1834" s="2"/>
    </row>
    <row r="1835" spans="1:23" ht="12.5" x14ac:dyDescent="0.25">
      <c r="A1835" s="2" t="s">
        <v>1494</v>
      </c>
      <c r="B1835" s="2">
        <v>110</v>
      </c>
      <c r="C1835" s="2">
        <v>10324441</v>
      </c>
      <c r="D1835" s="2" t="s">
        <v>342</v>
      </c>
      <c r="E1835" s="2" t="s">
        <v>3227</v>
      </c>
      <c r="F1835" s="2" t="s">
        <v>14</v>
      </c>
      <c r="G1835" s="2" t="s">
        <v>15</v>
      </c>
      <c r="H1835" s="2">
        <v>25000000</v>
      </c>
      <c r="I1835" s="2">
        <v>5.8</v>
      </c>
      <c r="J1835" s="2">
        <f t="shared" si="14"/>
        <v>-14675559</v>
      </c>
      <c r="K1835" s="2">
        <f t="shared" si="15"/>
        <v>-2.1870522752803236E-2</v>
      </c>
      <c r="L1835" s="2" t="str">
        <f>IF(ISNUMBER(SEARCH("|",IMDB_Movies!$D1835)),LEFT(IMDB_Movies!$D1835,SEARCH("|",IMDB_Movies!$D1835)-1),IMDB_Movies!$D1835)</f>
        <v>Action</v>
      </c>
      <c r="V1835" s="2"/>
      <c r="W1835" s="2"/>
    </row>
    <row r="1836" spans="1:23" ht="12.5" x14ac:dyDescent="0.25">
      <c r="A1836" s="2" t="s">
        <v>2527</v>
      </c>
      <c r="B1836" s="2">
        <v>116</v>
      </c>
      <c r="C1836" s="2">
        <v>7156933</v>
      </c>
      <c r="D1836" s="2" t="s">
        <v>891</v>
      </c>
      <c r="E1836" s="2" t="s">
        <v>3228</v>
      </c>
      <c r="F1836" s="2" t="s">
        <v>14</v>
      </c>
      <c r="G1836" s="2" t="s">
        <v>15</v>
      </c>
      <c r="H1836" s="2">
        <v>25000000</v>
      </c>
      <c r="I1836" s="2">
        <v>6.7</v>
      </c>
      <c r="J1836" s="2">
        <f t="shared" si="14"/>
        <v>-17843067</v>
      </c>
      <c r="K1836" s="2">
        <f t="shared" si="15"/>
        <v>-2.187137243648709E-2</v>
      </c>
      <c r="L1836" s="2" t="str">
        <f>IF(ISNUMBER(SEARCH("|",IMDB_Movies!$D1836)),LEFT(IMDB_Movies!$D1836,SEARCH("|",IMDB_Movies!$D1836)-1),IMDB_Movies!$D1836)</f>
        <v>Comedy</v>
      </c>
      <c r="V1836" s="2"/>
      <c r="W1836" s="2"/>
    </row>
    <row r="1837" spans="1:23" ht="12.5" x14ac:dyDescent="0.25">
      <c r="A1837" s="2" t="s">
        <v>3229</v>
      </c>
      <c r="B1837" s="2">
        <v>88</v>
      </c>
      <c r="C1837" s="2">
        <v>9286314</v>
      </c>
      <c r="D1837" s="2" t="s">
        <v>177</v>
      </c>
      <c r="E1837" s="2" t="s">
        <v>3230</v>
      </c>
      <c r="F1837" s="2" t="s">
        <v>14</v>
      </c>
      <c r="G1837" s="2" t="s">
        <v>15</v>
      </c>
      <c r="H1837" s="2">
        <v>17000000</v>
      </c>
      <c r="I1837" s="2">
        <v>5.9</v>
      </c>
      <c r="J1837" s="2">
        <f t="shared" si="14"/>
        <v>-7713686</v>
      </c>
      <c r="K1837" s="2">
        <f t="shared" si="15"/>
        <v>-2.1872654431032066E-2</v>
      </c>
      <c r="L1837" s="2" t="str">
        <f>IF(ISNUMBER(SEARCH("|",IMDB_Movies!$D1837)),LEFT(IMDB_Movies!$D1837,SEARCH("|",IMDB_Movies!$D1837)-1),IMDB_Movies!$D1837)</f>
        <v>Action</v>
      </c>
      <c r="V1837" s="2"/>
      <c r="W1837" s="2"/>
    </row>
    <row r="1838" spans="1:23" ht="12.5" x14ac:dyDescent="0.25">
      <c r="A1838" s="2" t="s">
        <v>3231</v>
      </c>
      <c r="B1838" s="2">
        <v>111</v>
      </c>
      <c r="C1838" s="2">
        <v>56692</v>
      </c>
      <c r="D1838" s="2" t="s">
        <v>2349</v>
      </c>
      <c r="E1838" s="2" t="s">
        <v>3232</v>
      </c>
      <c r="F1838" s="2" t="s">
        <v>14</v>
      </c>
      <c r="G1838" s="2" t="s">
        <v>15</v>
      </c>
      <c r="H1838" s="2">
        <v>25000000</v>
      </c>
      <c r="I1838" s="2">
        <v>7.3</v>
      </c>
      <c r="J1838" s="2">
        <f t="shared" si="14"/>
        <v>-24943308</v>
      </c>
      <c r="K1838" s="2">
        <f t="shared" si="15"/>
        <v>-2.1878485950457386E-2</v>
      </c>
      <c r="L1838" s="2" t="str">
        <f>IF(ISNUMBER(SEARCH("|",IMDB_Movies!$D1838)),LEFT(IMDB_Movies!$D1838,SEARCH("|",IMDB_Movies!$D1838)-1),IMDB_Movies!$D1838)</f>
        <v>Adventure</v>
      </c>
      <c r="V1838" s="2"/>
      <c r="W1838" s="2"/>
    </row>
    <row r="1839" spans="1:23" ht="12.5" x14ac:dyDescent="0.25">
      <c r="A1839" s="2" t="s">
        <v>3233</v>
      </c>
      <c r="B1839" s="2">
        <v>95</v>
      </c>
      <c r="C1839" s="2">
        <v>5654777</v>
      </c>
      <c r="D1839" s="2" t="s">
        <v>1232</v>
      </c>
      <c r="E1839" s="2" t="s">
        <v>3234</v>
      </c>
      <c r="F1839" s="2" t="s">
        <v>14</v>
      </c>
      <c r="G1839" s="2" t="s">
        <v>15</v>
      </c>
      <c r="H1839" s="2">
        <v>25000000</v>
      </c>
      <c r="I1839" s="2">
        <v>4.0999999999999996</v>
      </c>
      <c r="J1839" s="2">
        <f t="shared" si="14"/>
        <v>-19345223</v>
      </c>
      <c r="K1839" s="2">
        <f t="shared" si="15"/>
        <v>-2.188105849636169E-2</v>
      </c>
      <c r="L1839" s="2" t="str">
        <f>IF(ISNUMBER(SEARCH("|",IMDB_Movies!$D1839)),LEFT(IMDB_Movies!$D1839,SEARCH("|",IMDB_Movies!$D1839)-1),IMDB_Movies!$D1839)</f>
        <v>Action</v>
      </c>
      <c r="V1839" s="2"/>
      <c r="W1839" s="2"/>
    </row>
    <row r="1840" spans="1:23" ht="12.5" x14ac:dyDescent="0.25">
      <c r="A1840" s="2" t="s">
        <v>2677</v>
      </c>
      <c r="B1840" s="2">
        <v>95</v>
      </c>
      <c r="C1840" s="2">
        <v>5516708</v>
      </c>
      <c r="D1840" s="2" t="s">
        <v>600</v>
      </c>
      <c r="E1840" s="2" t="s">
        <v>3235</v>
      </c>
      <c r="F1840" s="2" t="s">
        <v>14</v>
      </c>
      <c r="G1840" s="2" t="s">
        <v>15</v>
      </c>
      <c r="H1840" s="2">
        <v>25000000</v>
      </c>
      <c r="I1840" s="2">
        <v>4.9000000000000004</v>
      </c>
      <c r="J1840" s="2">
        <f t="shared" si="14"/>
        <v>-19483292</v>
      </c>
      <c r="K1840" s="2">
        <f t="shared" si="15"/>
        <v>-2.1882584269035898E-2</v>
      </c>
      <c r="L1840" s="2" t="str">
        <f>IF(ISNUMBER(SEARCH("|",IMDB_Movies!$D1840)),LEFT(IMDB_Movies!$D1840,SEARCH("|",IMDB_Movies!$D1840)-1),IMDB_Movies!$D1840)</f>
        <v>Comedy</v>
      </c>
      <c r="V1840" s="2"/>
      <c r="W1840" s="2"/>
    </row>
    <row r="1841" spans="1:23" ht="12.5" x14ac:dyDescent="0.25">
      <c r="A1841" s="2" t="s">
        <v>536</v>
      </c>
      <c r="B1841" s="2">
        <v>127</v>
      </c>
      <c r="C1841" s="2">
        <v>5128124</v>
      </c>
      <c r="D1841" s="2" t="s">
        <v>585</v>
      </c>
      <c r="E1841" s="2" t="s">
        <v>3236</v>
      </c>
      <c r="F1841" s="2" t="s">
        <v>14</v>
      </c>
      <c r="G1841" s="2" t="s">
        <v>73</v>
      </c>
      <c r="H1841" s="2">
        <v>25000000</v>
      </c>
      <c r="I1841" s="2">
        <v>7.9</v>
      </c>
      <c r="J1841" s="2">
        <f t="shared" si="14"/>
        <v>-19871876</v>
      </c>
      <c r="K1841" s="2">
        <f t="shared" si="15"/>
        <v>-2.1884134504980363E-2</v>
      </c>
      <c r="L1841" s="2" t="str">
        <f>IF(ISNUMBER(SEARCH("|",IMDB_Movies!$D1841)),LEFT(IMDB_Movies!$D1841,SEARCH("|",IMDB_Movies!$D1841)-1),IMDB_Movies!$D1841)</f>
        <v>Biography</v>
      </c>
      <c r="V1841" s="2"/>
      <c r="W1841" s="2"/>
    </row>
    <row r="1842" spans="1:23" ht="12.5" x14ac:dyDescent="0.25">
      <c r="A1842" s="2" t="s">
        <v>3237</v>
      </c>
      <c r="B1842" s="2">
        <v>104</v>
      </c>
      <c r="C1842" s="2">
        <v>4064333</v>
      </c>
      <c r="D1842" s="2" t="s">
        <v>682</v>
      </c>
      <c r="E1842" s="2" t="s">
        <v>3238</v>
      </c>
      <c r="F1842" s="2" t="s">
        <v>14</v>
      </c>
      <c r="G1842" s="2" t="s">
        <v>15</v>
      </c>
      <c r="H1842" s="2">
        <v>25000000</v>
      </c>
      <c r="I1842" s="2">
        <v>5.2</v>
      </c>
      <c r="J1842" s="2">
        <f t="shared" si="14"/>
        <v>-20935667</v>
      </c>
      <c r="K1842" s="2">
        <f t="shared" si="15"/>
        <v>-2.1885751276996865E-2</v>
      </c>
      <c r="L1842" s="2" t="str">
        <f>IF(ISNUMBER(SEARCH("|",IMDB_Movies!$D1842)),LEFT(IMDB_Movies!$D1842,SEARCH("|",IMDB_Movies!$D1842)-1),IMDB_Movies!$D1842)</f>
        <v>Action</v>
      </c>
      <c r="V1842" s="2"/>
      <c r="W1842" s="2"/>
    </row>
    <row r="1843" spans="1:23" ht="12.5" x14ac:dyDescent="0.25">
      <c r="A1843" s="2" t="s">
        <v>3239</v>
      </c>
      <c r="B1843" s="2">
        <v>95</v>
      </c>
      <c r="C1843" s="2">
        <v>4006906</v>
      </c>
      <c r="D1843" s="2" t="s">
        <v>375</v>
      </c>
      <c r="E1843" s="2" t="s">
        <v>3240</v>
      </c>
      <c r="F1843" s="2" t="s">
        <v>14</v>
      </c>
      <c r="G1843" s="2" t="s">
        <v>15</v>
      </c>
      <c r="H1843" s="2">
        <v>15000000</v>
      </c>
      <c r="I1843" s="2">
        <v>4.0999999999999996</v>
      </c>
      <c r="J1843" s="2">
        <f t="shared" si="14"/>
        <v>-10993094</v>
      </c>
      <c r="K1843" s="2">
        <f t="shared" si="15"/>
        <v>-2.1887553898300004E-2</v>
      </c>
      <c r="L1843" s="2" t="str">
        <f>IF(ISNUMBER(SEARCH("|",IMDB_Movies!$D1843)),LEFT(IMDB_Movies!$D1843,SEARCH("|",IMDB_Movies!$D1843)-1),IMDB_Movies!$D1843)</f>
        <v>Comedy</v>
      </c>
      <c r="V1843" s="2"/>
      <c r="W1843" s="2"/>
    </row>
    <row r="1844" spans="1:23" ht="12.5" x14ac:dyDescent="0.25">
      <c r="A1844" s="2" t="s">
        <v>3052</v>
      </c>
      <c r="B1844" s="2">
        <v>121</v>
      </c>
      <c r="C1844" s="2">
        <v>3073392</v>
      </c>
      <c r="D1844" s="2" t="s">
        <v>788</v>
      </c>
      <c r="E1844" s="2" t="s">
        <v>3241</v>
      </c>
      <c r="F1844" s="2" t="s">
        <v>14</v>
      </c>
      <c r="G1844" s="2" t="s">
        <v>104</v>
      </c>
      <c r="H1844" s="2">
        <v>25000000</v>
      </c>
      <c r="I1844" s="2">
        <v>6.6</v>
      </c>
      <c r="J1844" s="2">
        <f t="shared" si="14"/>
        <v>-21926608</v>
      </c>
      <c r="K1844" s="2">
        <f t="shared" si="15"/>
        <v>-2.1897888166035197E-2</v>
      </c>
      <c r="L1844" s="2" t="str">
        <f>IF(ISNUMBER(SEARCH("|",IMDB_Movies!$D1844)),LEFT(IMDB_Movies!$D1844,SEARCH("|",IMDB_Movies!$D1844)-1),IMDB_Movies!$D1844)</f>
        <v>Drama</v>
      </c>
      <c r="V1844" s="2"/>
      <c r="W1844" s="2"/>
    </row>
    <row r="1845" spans="1:23" ht="12.5" x14ac:dyDescent="0.25">
      <c r="A1845" s="2" t="s">
        <v>1516</v>
      </c>
      <c r="B1845" s="2">
        <v>92</v>
      </c>
      <c r="C1845" s="2">
        <v>1550000</v>
      </c>
      <c r="D1845" s="2" t="s">
        <v>3242</v>
      </c>
      <c r="E1845" s="2" t="s">
        <v>3243</v>
      </c>
      <c r="F1845" s="2" t="s">
        <v>14</v>
      </c>
      <c r="G1845" s="2" t="s">
        <v>15</v>
      </c>
      <c r="H1845" s="2">
        <v>25000000</v>
      </c>
      <c r="I1845" s="2">
        <v>2.9</v>
      </c>
      <c r="J1845" s="2">
        <f t="shared" si="14"/>
        <v>-23450000</v>
      </c>
      <c r="K1845" s="2">
        <f t="shared" si="15"/>
        <v>-2.1899880807962346E-2</v>
      </c>
      <c r="L1845" s="2" t="str">
        <f>IF(ISNUMBER(SEARCH("|",IMDB_Movies!$D1845)),LEFT(IMDB_Movies!$D1845,SEARCH("|",IMDB_Movies!$D1845)-1),IMDB_Movies!$D1845)</f>
        <v>Action</v>
      </c>
      <c r="V1845" s="2"/>
      <c r="W1845" s="2"/>
    </row>
    <row r="1846" spans="1:23" ht="12.5" x14ac:dyDescent="0.25">
      <c r="A1846" s="2" t="s">
        <v>3244</v>
      </c>
      <c r="B1846" s="2">
        <v>107</v>
      </c>
      <c r="C1846" s="2">
        <v>871527</v>
      </c>
      <c r="D1846" s="2" t="s">
        <v>770</v>
      </c>
      <c r="E1846" s="2" t="s">
        <v>3245</v>
      </c>
      <c r="F1846" s="2" t="s">
        <v>14</v>
      </c>
      <c r="G1846" s="2" t="s">
        <v>104</v>
      </c>
      <c r="H1846" s="2">
        <v>25000000</v>
      </c>
      <c r="I1846" s="2">
        <v>6.5</v>
      </c>
      <c r="J1846" s="2">
        <f t="shared" si="14"/>
        <v>-24128473</v>
      </c>
      <c r="K1846" s="2">
        <f t="shared" si="15"/>
        <v>-2.1902170473448737E-2</v>
      </c>
      <c r="L1846" s="2" t="str">
        <f>IF(ISNUMBER(SEARCH("|",IMDB_Movies!$D1846)),LEFT(IMDB_Movies!$D1846,SEARCH("|",IMDB_Movies!$D1846)-1),IMDB_Movies!$D1846)</f>
        <v>Crime</v>
      </c>
      <c r="V1846" s="2"/>
      <c r="W1846" s="2"/>
    </row>
    <row r="1847" spans="1:23" ht="12.5" x14ac:dyDescent="0.25">
      <c r="A1847" s="2" t="s">
        <v>3246</v>
      </c>
      <c r="B1847" s="2">
        <v>117</v>
      </c>
      <c r="C1847" s="2">
        <v>777423</v>
      </c>
      <c r="D1847" s="2" t="s">
        <v>585</v>
      </c>
      <c r="E1847" s="2" t="s">
        <v>3247</v>
      </c>
      <c r="F1847" s="2" t="s">
        <v>14</v>
      </c>
      <c r="G1847" s="2" t="s">
        <v>15</v>
      </c>
      <c r="H1847" s="2">
        <v>25000000</v>
      </c>
      <c r="I1847" s="2">
        <v>7.2</v>
      </c>
      <c r="J1847" s="2">
        <f t="shared" si="14"/>
        <v>-24222577</v>
      </c>
      <c r="K1847" s="2">
        <f t="shared" si="15"/>
        <v>-2.190460082011178E-2</v>
      </c>
      <c r="L1847" s="2" t="str">
        <f>IF(ISNUMBER(SEARCH("|",IMDB_Movies!$D1847)),LEFT(IMDB_Movies!$D1847,SEARCH("|",IMDB_Movies!$D1847)-1),IMDB_Movies!$D1847)</f>
        <v>Biography</v>
      </c>
      <c r="V1847" s="2"/>
      <c r="W1847" s="2"/>
    </row>
    <row r="1848" spans="1:23" ht="12.5" x14ac:dyDescent="0.25">
      <c r="A1848" s="2" t="s">
        <v>2991</v>
      </c>
      <c r="B1848" s="2">
        <v>107</v>
      </c>
      <c r="C1848" s="2">
        <v>1186957</v>
      </c>
      <c r="D1848" s="2" t="s">
        <v>1180</v>
      </c>
      <c r="E1848" s="2" t="s">
        <v>3248</v>
      </c>
      <c r="F1848" s="2" t="s">
        <v>14</v>
      </c>
      <c r="G1848" s="2" t="s">
        <v>22</v>
      </c>
      <c r="H1848" s="2">
        <v>25000000</v>
      </c>
      <c r="I1848" s="2">
        <v>6.8</v>
      </c>
      <c r="J1848" s="2">
        <f t="shared" si="14"/>
        <v>-23813043</v>
      </c>
      <c r="K1848" s="2">
        <f t="shared" si="15"/>
        <v>-2.1907053749004726E-2</v>
      </c>
      <c r="L1848" s="2" t="str">
        <f>IF(ISNUMBER(SEARCH("|",IMDB_Movies!$D1848)),LEFT(IMDB_Movies!$D1848,SEARCH("|",IMDB_Movies!$D1848)-1),IMDB_Movies!$D1848)</f>
        <v>Drama</v>
      </c>
      <c r="V1848" s="2"/>
      <c r="W1848" s="2"/>
    </row>
    <row r="1849" spans="1:23" ht="12.5" x14ac:dyDescent="0.25">
      <c r="A1849" s="2" t="s">
        <v>3249</v>
      </c>
      <c r="B1849" s="2">
        <v>131</v>
      </c>
      <c r="C1849" s="2">
        <v>85433</v>
      </c>
      <c r="D1849" s="2" t="s">
        <v>3250</v>
      </c>
      <c r="E1849" s="2" t="s">
        <v>3251</v>
      </c>
      <c r="F1849" s="2" t="s">
        <v>14</v>
      </c>
      <c r="G1849" s="2" t="s">
        <v>2862</v>
      </c>
      <c r="H1849" s="2">
        <v>13500000</v>
      </c>
      <c r="I1849" s="2">
        <v>7.8</v>
      </c>
      <c r="J1849" s="2">
        <f t="shared" si="14"/>
        <v>-13414567</v>
      </c>
      <c r="K1849" s="2">
        <f t="shared" si="15"/>
        <v>-2.1909425762447705E-2</v>
      </c>
      <c r="L1849" s="2" t="str">
        <f>IF(ISNUMBER(SEARCH("|",IMDB_Movies!$D1849)),LEFT(IMDB_Movies!$D1849,SEARCH("|",IMDB_Movies!$D1849)-1),IMDB_Movies!$D1849)</f>
        <v>Crime</v>
      </c>
      <c r="V1849" s="2"/>
      <c r="W1849" s="2"/>
    </row>
    <row r="1850" spans="1:23" ht="12.5" x14ac:dyDescent="0.25">
      <c r="A1850" s="2" t="s">
        <v>3252</v>
      </c>
      <c r="B1850" s="2">
        <v>122</v>
      </c>
      <c r="C1850" s="2">
        <v>1697956</v>
      </c>
      <c r="D1850" s="2" t="s">
        <v>694</v>
      </c>
      <c r="E1850" s="2" t="s">
        <v>3253</v>
      </c>
      <c r="F1850" s="2" t="s">
        <v>14</v>
      </c>
      <c r="G1850" s="2" t="s">
        <v>15</v>
      </c>
      <c r="H1850" s="2">
        <v>20000000</v>
      </c>
      <c r="I1850" s="2">
        <v>6.7</v>
      </c>
      <c r="J1850" s="2">
        <f t="shared" si="14"/>
        <v>-18302044</v>
      </c>
      <c r="K1850" s="2">
        <f t="shared" si="15"/>
        <v>-2.192394539329947E-2</v>
      </c>
      <c r="L1850" s="2" t="str">
        <f>IF(ISNUMBER(SEARCH("|",IMDB_Movies!$D1850)),LEFT(IMDB_Movies!$D1850,SEARCH("|",IMDB_Movies!$D1850)-1),IMDB_Movies!$D1850)</f>
        <v>Crime</v>
      </c>
      <c r="V1850" s="2"/>
      <c r="W1850" s="2"/>
    </row>
    <row r="1851" spans="1:23" ht="12.5" x14ac:dyDescent="0.25">
      <c r="A1851" s="2" t="s">
        <v>3138</v>
      </c>
      <c r="B1851" s="2">
        <v>134</v>
      </c>
      <c r="C1851" s="2">
        <v>183662</v>
      </c>
      <c r="D1851" s="2" t="s">
        <v>891</v>
      </c>
      <c r="E1851" s="2" t="s">
        <v>3254</v>
      </c>
      <c r="F1851" s="2" t="s">
        <v>1006</v>
      </c>
      <c r="G1851" s="2" t="s">
        <v>686</v>
      </c>
      <c r="H1851" s="2">
        <v>25000000</v>
      </c>
      <c r="I1851" s="2">
        <v>7.1</v>
      </c>
      <c r="J1851" s="2">
        <f t="shared" si="14"/>
        <v>-24816338</v>
      </c>
      <c r="K1851" s="2">
        <f t="shared" si="15"/>
        <v>-2.1931037475994813E-2</v>
      </c>
      <c r="L1851" s="2" t="str">
        <f>IF(ISNUMBER(SEARCH("|",IMDB_Movies!$D1851)),LEFT(IMDB_Movies!$D1851,SEARCH("|",IMDB_Movies!$D1851)-1),IMDB_Movies!$D1851)</f>
        <v>Comedy</v>
      </c>
      <c r="V1851" s="2"/>
      <c r="W1851" s="2"/>
    </row>
    <row r="1852" spans="1:23" ht="12.5" x14ac:dyDescent="0.25">
      <c r="A1852" s="2" t="s">
        <v>1303</v>
      </c>
      <c r="B1852" s="2">
        <v>117</v>
      </c>
      <c r="C1852" s="2">
        <v>134904</v>
      </c>
      <c r="D1852" s="2" t="s">
        <v>1537</v>
      </c>
      <c r="E1852" s="2" t="s">
        <v>3255</v>
      </c>
      <c r="F1852" s="2" t="s">
        <v>14</v>
      </c>
      <c r="G1852" s="2" t="s">
        <v>15</v>
      </c>
      <c r="H1852" s="2">
        <v>25000000</v>
      </c>
      <c r="I1852" s="2">
        <v>5.7</v>
      </c>
      <c r="J1852" s="2">
        <f t="shared" si="14"/>
        <v>-24865096</v>
      </c>
      <c r="K1852" s="2">
        <f t="shared" si="15"/>
        <v>-2.1933638321030638E-2</v>
      </c>
      <c r="L1852" s="2" t="str">
        <f>IF(ISNUMBER(SEARCH("|",IMDB_Movies!$D1852)),LEFT(IMDB_Movies!$D1852,SEARCH("|",IMDB_Movies!$D1852)-1),IMDB_Movies!$D1852)</f>
        <v>Comedy</v>
      </c>
      <c r="V1852" s="2"/>
      <c r="W1852" s="2"/>
    </row>
    <row r="1853" spans="1:23" ht="12.5" x14ac:dyDescent="0.25">
      <c r="A1853" s="2" t="s">
        <v>76</v>
      </c>
      <c r="B1853" s="2">
        <v>138</v>
      </c>
      <c r="C1853" s="2">
        <v>16969390</v>
      </c>
      <c r="D1853" s="2" t="s">
        <v>763</v>
      </c>
      <c r="E1853" s="2" t="s">
        <v>3256</v>
      </c>
      <c r="F1853" s="2" t="s">
        <v>14</v>
      </c>
      <c r="G1853" s="2" t="s">
        <v>15</v>
      </c>
      <c r="H1853" s="2">
        <v>25000000</v>
      </c>
      <c r="I1853" s="2">
        <v>5.3</v>
      </c>
      <c r="J1853" s="2">
        <f t="shared" si="14"/>
        <v>-8030610</v>
      </c>
      <c r="K1853" s="2">
        <f t="shared" si="15"/>
        <v>-2.1936253006665626E-2</v>
      </c>
      <c r="L1853" s="2" t="str">
        <f>IF(ISNUMBER(SEARCH("|",IMDB_Movies!$D1853)),LEFT(IMDB_Movies!$D1853,SEARCH("|",IMDB_Movies!$D1853)-1),IMDB_Movies!$D1853)</f>
        <v>Crime</v>
      </c>
      <c r="V1853" s="2"/>
      <c r="W1853" s="2"/>
    </row>
    <row r="1854" spans="1:23" ht="12.5" x14ac:dyDescent="0.25">
      <c r="A1854" s="2" t="s">
        <v>3257</v>
      </c>
      <c r="B1854" s="2">
        <v>100</v>
      </c>
      <c r="C1854" s="2">
        <v>129115</v>
      </c>
      <c r="D1854" s="2" t="s">
        <v>290</v>
      </c>
      <c r="E1854" s="2" t="s">
        <v>3258</v>
      </c>
      <c r="F1854" s="2" t="s">
        <v>2413</v>
      </c>
      <c r="G1854" s="2" t="s">
        <v>331</v>
      </c>
      <c r="H1854" s="2">
        <v>25000000</v>
      </c>
      <c r="I1854" s="2">
        <v>6.5</v>
      </c>
      <c r="J1854" s="2">
        <f t="shared" si="14"/>
        <v>-24870885</v>
      </c>
      <c r="K1854" s="2">
        <f t="shared" si="15"/>
        <v>-2.1936497823337071E-2</v>
      </c>
      <c r="L1854" s="2" t="str">
        <f>IF(ISNUMBER(SEARCH("|",IMDB_Movies!$D1854)),LEFT(IMDB_Movies!$D1854,SEARCH("|",IMDB_Movies!$D1854)-1),IMDB_Movies!$D1854)</f>
        <v>Action</v>
      </c>
      <c r="V1854" s="2"/>
      <c r="W1854" s="2"/>
    </row>
    <row r="1855" spans="1:23" ht="12.5" x14ac:dyDescent="0.25">
      <c r="A1855" s="2" t="s">
        <v>1900</v>
      </c>
      <c r="B1855" s="2">
        <v>119</v>
      </c>
      <c r="C1855" s="2">
        <v>34700000</v>
      </c>
      <c r="D1855" s="2" t="s">
        <v>85</v>
      </c>
      <c r="E1855" s="2" t="s">
        <v>3259</v>
      </c>
      <c r="F1855" s="2" t="s">
        <v>14</v>
      </c>
      <c r="G1855" s="2" t="s">
        <v>15</v>
      </c>
      <c r="H1855" s="2">
        <v>14000000</v>
      </c>
      <c r="I1855" s="2">
        <v>7.7</v>
      </c>
      <c r="J1855" s="2">
        <f t="shared" si="14"/>
        <v>20700000</v>
      </c>
      <c r="K1855" s="2">
        <f t="shared" si="15"/>
        <v>-2.1939118093742254E-2</v>
      </c>
      <c r="L1855" s="2" t="str">
        <f>IF(ISNUMBER(SEARCH("|",IMDB_Movies!$D1855)),LEFT(IMDB_Movies!$D1855,SEARCH("|",IMDB_Movies!$D1855)-1),IMDB_Movies!$D1855)</f>
        <v>Drama</v>
      </c>
      <c r="V1855" s="2"/>
      <c r="W1855" s="2"/>
    </row>
    <row r="1856" spans="1:23" ht="12.5" x14ac:dyDescent="0.25">
      <c r="A1856" s="2" t="s">
        <v>1506</v>
      </c>
      <c r="B1856" s="2">
        <v>137</v>
      </c>
      <c r="C1856" s="2">
        <v>717753</v>
      </c>
      <c r="D1856" s="2" t="s">
        <v>2349</v>
      </c>
      <c r="E1856" s="2" t="s">
        <v>3260</v>
      </c>
      <c r="F1856" s="2" t="s">
        <v>14</v>
      </c>
      <c r="G1856" s="2" t="s">
        <v>686</v>
      </c>
      <c r="H1856" s="2">
        <v>25000000</v>
      </c>
      <c r="I1856" s="2">
        <v>6.1</v>
      </c>
      <c r="J1856" s="2">
        <f t="shared" si="14"/>
        <v>-24282247</v>
      </c>
      <c r="K1856" s="2">
        <f t="shared" si="15"/>
        <v>-2.1933404079012515E-2</v>
      </c>
      <c r="L1856" s="2" t="str">
        <f>IF(ISNUMBER(SEARCH("|",IMDB_Movies!$D1856)),LEFT(IMDB_Movies!$D1856,SEARCH("|",IMDB_Movies!$D1856)-1),IMDB_Movies!$D1856)</f>
        <v>Adventure</v>
      </c>
      <c r="V1856" s="2"/>
      <c r="W1856" s="2"/>
    </row>
    <row r="1857" spans="1:23" ht="12.5" x14ac:dyDescent="0.25">
      <c r="A1857" s="2" t="s">
        <v>3261</v>
      </c>
      <c r="B1857" s="2">
        <v>119</v>
      </c>
      <c r="C1857" s="2">
        <v>109713132</v>
      </c>
      <c r="D1857" s="2" t="s">
        <v>670</v>
      </c>
      <c r="E1857" s="2" t="s">
        <v>3262</v>
      </c>
      <c r="F1857" s="2" t="s">
        <v>14</v>
      </c>
      <c r="G1857" s="2" t="s">
        <v>15</v>
      </c>
      <c r="H1857" s="2">
        <v>25000000</v>
      </c>
      <c r="I1857" s="2">
        <v>7.3</v>
      </c>
      <c r="J1857" s="2">
        <f t="shared" si="14"/>
        <v>84713132</v>
      </c>
      <c r="K1857" s="2">
        <f t="shared" si="15"/>
        <v>-2.1935907385835146E-2</v>
      </c>
      <c r="L1857" s="2" t="str">
        <f>IF(ISNUMBER(SEARCH("|",IMDB_Movies!$D1857)),LEFT(IMDB_Movies!$D1857,SEARCH("|",IMDB_Movies!$D1857)-1),IMDB_Movies!$D1857)</f>
        <v>Adventure</v>
      </c>
      <c r="V1857" s="2"/>
      <c r="W1857" s="2"/>
    </row>
    <row r="1858" spans="1:23" ht="12.5" x14ac:dyDescent="0.25">
      <c r="A1858" s="2" t="s">
        <v>893</v>
      </c>
      <c r="B1858" s="2">
        <v>139</v>
      </c>
      <c r="C1858" s="2">
        <v>70269171</v>
      </c>
      <c r="D1858" s="2" t="s">
        <v>1307</v>
      </c>
      <c r="E1858" s="2" t="s">
        <v>3263</v>
      </c>
      <c r="F1858" s="2" t="s">
        <v>14</v>
      </c>
      <c r="G1858" s="2" t="s">
        <v>15</v>
      </c>
      <c r="H1858" s="2">
        <v>24000000</v>
      </c>
      <c r="I1858" s="2">
        <v>7.2</v>
      </c>
      <c r="J1858" s="2">
        <f t="shared" si="14"/>
        <v>46269171</v>
      </c>
      <c r="K1858" s="2">
        <f t="shared" si="15"/>
        <v>-2.1967227703564574E-2</v>
      </c>
      <c r="L1858" s="2" t="str">
        <f>IF(ISNUMBER(SEARCH("|",IMDB_Movies!$D1858)),LEFT(IMDB_Movies!$D1858,SEARCH("|",IMDB_Movies!$D1858)-1),IMDB_Movies!$D1858)</f>
        <v>Drama</v>
      </c>
      <c r="V1858" s="2"/>
      <c r="W1858" s="2"/>
    </row>
    <row r="1859" spans="1:23" ht="12.5" x14ac:dyDescent="0.25">
      <c r="A1859" s="2" t="s">
        <v>2115</v>
      </c>
      <c r="B1859" s="2">
        <v>120</v>
      </c>
      <c r="C1859" s="2">
        <v>101334374</v>
      </c>
      <c r="D1859" s="2" t="s">
        <v>2116</v>
      </c>
      <c r="E1859" s="2" t="s">
        <v>3264</v>
      </c>
      <c r="F1859" s="2" t="s">
        <v>14</v>
      </c>
      <c r="G1859" s="2" t="s">
        <v>15</v>
      </c>
      <c r="H1859" s="2">
        <v>24000000</v>
      </c>
      <c r="I1859" s="2">
        <v>6.1</v>
      </c>
      <c r="J1859" s="2">
        <f t="shared" si="14"/>
        <v>77334374</v>
      </c>
      <c r="K1859" s="2">
        <f t="shared" si="15"/>
        <v>-2.1974027574687055E-2</v>
      </c>
      <c r="L1859" s="2" t="str">
        <f>IF(ISNUMBER(SEARCH("|",IMDB_Movies!$D1859)),LEFT(IMDB_Movies!$D1859,SEARCH("|",IMDB_Movies!$D1859)-1),IMDB_Movies!$D1859)</f>
        <v>Horror</v>
      </c>
      <c r="V1859" s="2"/>
      <c r="W1859" s="2"/>
    </row>
    <row r="1860" spans="1:23" ht="12.5" x14ac:dyDescent="0.25">
      <c r="A1860" s="2" t="s">
        <v>2832</v>
      </c>
      <c r="B1860" s="2">
        <v>98</v>
      </c>
      <c r="C1860" s="2">
        <v>1512815</v>
      </c>
      <c r="D1860" s="2" t="s">
        <v>3265</v>
      </c>
      <c r="E1860" s="2" t="s">
        <v>3266</v>
      </c>
      <c r="F1860" s="2" t="s">
        <v>14</v>
      </c>
      <c r="G1860" s="2" t="s">
        <v>15</v>
      </c>
      <c r="H1860" s="2">
        <v>25000000</v>
      </c>
      <c r="I1860" s="2">
        <v>5.8</v>
      </c>
      <c r="J1860" s="2">
        <f t="shared" si="14"/>
        <v>-23487185</v>
      </c>
      <c r="K1860" s="2">
        <f t="shared" si="15"/>
        <v>-2.1996004353860912E-2</v>
      </c>
      <c r="L1860" s="2" t="str">
        <f>IF(ISNUMBER(SEARCH("|",IMDB_Movies!$D1860)),LEFT(IMDB_Movies!$D1860,SEARCH("|",IMDB_Movies!$D1860)-1),IMDB_Movies!$D1860)</f>
        <v>Action</v>
      </c>
      <c r="V1860" s="2"/>
      <c r="W1860" s="2"/>
    </row>
    <row r="1861" spans="1:23" ht="12.5" x14ac:dyDescent="0.25">
      <c r="A1861" s="2" t="s">
        <v>490</v>
      </c>
      <c r="B1861" s="2">
        <v>106</v>
      </c>
      <c r="C1861" s="2">
        <v>65182182</v>
      </c>
      <c r="D1861" s="2" t="s">
        <v>600</v>
      </c>
      <c r="E1861" s="2" t="s">
        <v>3267</v>
      </c>
      <c r="F1861" s="2" t="s">
        <v>14</v>
      </c>
      <c r="G1861" s="2" t="s">
        <v>15</v>
      </c>
      <c r="H1861" s="2">
        <v>24000000</v>
      </c>
      <c r="I1861" s="2">
        <v>5.7</v>
      </c>
      <c r="J1861" s="2">
        <f t="shared" si="14"/>
        <v>41182182</v>
      </c>
      <c r="K1861" s="2">
        <f t="shared" si="15"/>
        <v>-2.1998345139920286E-2</v>
      </c>
      <c r="L1861" s="2" t="str">
        <f>IF(ISNUMBER(SEARCH("|",IMDB_Movies!$D1861)),LEFT(IMDB_Movies!$D1861,SEARCH("|",IMDB_Movies!$D1861)-1),IMDB_Movies!$D1861)</f>
        <v>Comedy</v>
      </c>
      <c r="V1861" s="2"/>
      <c r="W1861" s="2"/>
    </row>
    <row r="1862" spans="1:23" ht="12.5" x14ac:dyDescent="0.25">
      <c r="A1862" s="2" t="s">
        <v>2326</v>
      </c>
      <c r="B1862" s="2">
        <v>98</v>
      </c>
      <c r="C1862" s="2">
        <v>57262492</v>
      </c>
      <c r="D1862" s="2" t="s">
        <v>375</v>
      </c>
      <c r="E1862" s="2" t="s">
        <v>3268</v>
      </c>
      <c r="F1862" s="2" t="s">
        <v>14</v>
      </c>
      <c r="G1862" s="2" t="s">
        <v>15</v>
      </c>
      <c r="H1862" s="2">
        <v>24000000</v>
      </c>
      <c r="I1862" s="2">
        <v>6.7</v>
      </c>
      <c r="J1862" s="2">
        <f t="shared" si="14"/>
        <v>33262492</v>
      </c>
      <c r="K1862" s="2">
        <f t="shared" si="15"/>
        <v>-2.2003521113008753E-2</v>
      </c>
      <c r="L1862" s="2" t="str">
        <f>IF(ISNUMBER(SEARCH("|",IMDB_Movies!$D1862)),LEFT(IMDB_Movies!$D1862,SEARCH("|",IMDB_Movies!$D1862)-1),IMDB_Movies!$D1862)</f>
        <v>Comedy</v>
      </c>
      <c r="V1862" s="2"/>
      <c r="W1862" s="2"/>
    </row>
    <row r="1863" spans="1:23" ht="12.5" x14ac:dyDescent="0.25">
      <c r="A1863" s="2" t="s">
        <v>3269</v>
      </c>
      <c r="B1863" s="2">
        <v>107</v>
      </c>
      <c r="C1863" s="2">
        <v>80000000</v>
      </c>
      <c r="D1863" s="2" t="s">
        <v>2586</v>
      </c>
      <c r="E1863" s="2" t="s">
        <v>3270</v>
      </c>
      <c r="F1863" s="2" t="s">
        <v>14</v>
      </c>
      <c r="G1863" s="2" t="s">
        <v>15</v>
      </c>
      <c r="H1863" s="2">
        <v>8200000</v>
      </c>
      <c r="I1863" s="2">
        <v>6.5</v>
      </c>
      <c r="J1863" s="2">
        <f t="shared" si="14"/>
        <v>71800000</v>
      </c>
      <c r="K1863" s="2">
        <f t="shared" si="15"/>
        <v>-2.2006537440445589E-2</v>
      </c>
      <c r="L1863" s="2" t="str">
        <f>IF(ISNUMBER(SEARCH("|",IMDB_Movies!$D1863)),LEFT(IMDB_Movies!$D1863,SEARCH("|",IMDB_Movies!$D1863)-1),IMDB_Movies!$D1863)</f>
        <v>Drama</v>
      </c>
      <c r="V1863" s="2"/>
      <c r="W1863" s="2"/>
    </row>
    <row r="1864" spans="1:23" ht="12.5" x14ac:dyDescent="0.25">
      <c r="A1864" s="2" t="s">
        <v>897</v>
      </c>
      <c r="B1864" s="2">
        <v>88</v>
      </c>
      <c r="C1864" s="2">
        <v>74608545</v>
      </c>
      <c r="D1864" s="2" t="s">
        <v>709</v>
      </c>
      <c r="E1864" s="2" t="s">
        <v>3271</v>
      </c>
      <c r="F1864" s="2" t="s">
        <v>14</v>
      </c>
      <c r="G1864" s="2" t="s">
        <v>15</v>
      </c>
      <c r="H1864" s="2">
        <v>24000000</v>
      </c>
      <c r="I1864" s="2">
        <v>7.2</v>
      </c>
      <c r="J1864" s="2">
        <f t="shared" si="14"/>
        <v>50608545</v>
      </c>
      <c r="K1864" s="2">
        <f t="shared" si="15"/>
        <v>-2.1975222001297447E-2</v>
      </c>
      <c r="L1864" s="2" t="str">
        <f>IF(ISNUMBER(SEARCH("|",IMDB_Movies!$D1864)),LEFT(IMDB_Movies!$D1864,SEARCH("|",IMDB_Movies!$D1864)-1),IMDB_Movies!$D1864)</f>
        <v>Comedy</v>
      </c>
      <c r="V1864" s="2"/>
      <c r="W1864" s="2"/>
    </row>
    <row r="1865" spans="1:23" ht="12.5" x14ac:dyDescent="0.25">
      <c r="A1865" s="2" t="s">
        <v>977</v>
      </c>
      <c r="B1865" s="2">
        <v>137</v>
      </c>
      <c r="C1865" s="2">
        <v>41895491</v>
      </c>
      <c r="D1865" s="2" t="s">
        <v>2609</v>
      </c>
      <c r="E1865" s="2" t="s">
        <v>3272</v>
      </c>
      <c r="F1865" s="2" t="s">
        <v>14</v>
      </c>
      <c r="G1865" s="2" t="s">
        <v>15</v>
      </c>
      <c r="H1865" s="2">
        <v>24000000</v>
      </c>
      <c r="I1865" s="2">
        <v>7.6</v>
      </c>
      <c r="J1865" s="2">
        <f t="shared" si="14"/>
        <v>17895491</v>
      </c>
      <c r="K1865" s="2">
        <f t="shared" si="15"/>
        <v>-2.1983712770232429E-2</v>
      </c>
      <c r="L1865" s="2" t="str">
        <f>IF(ISNUMBER(SEARCH("|",IMDB_Movies!$D1865)),LEFT(IMDB_Movies!$D1865,SEARCH("|",IMDB_Movies!$D1865)-1),IMDB_Movies!$D1865)</f>
        <v>Comedy</v>
      </c>
      <c r="V1865" s="2"/>
      <c r="W1865" s="2"/>
    </row>
    <row r="1866" spans="1:23" ht="12.5" x14ac:dyDescent="0.25">
      <c r="A1866" s="2" t="s">
        <v>2595</v>
      </c>
      <c r="B1866" s="2">
        <v>100</v>
      </c>
      <c r="C1866" s="2">
        <v>39989008</v>
      </c>
      <c r="D1866" s="2" t="s">
        <v>2116</v>
      </c>
      <c r="E1866" s="2" t="s">
        <v>3273</v>
      </c>
      <c r="F1866" s="2" t="s">
        <v>14</v>
      </c>
      <c r="G1866" s="2" t="s">
        <v>15</v>
      </c>
      <c r="H1866" s="2">
        <v>24000000</v>
      </c>
      <c r="I1866" s="2">
        <v>4.5999999999999996</v>
      </c>
      <c r="J1866" s="2">
        <f t="shared" si="14"/>
        <v>15989008</v>
      </c>
      <c r="K1866" s="2">
        <f t="shared" si="15"/>
        <v>-2.19840875348686E-2</v>
      </c>
      <c r="L1866" s="2" t="str">
        <f>IF(ISNUMBER(SEARCH("|",IMDB_Movies!$D1866)),LEFT(IMDB_Movies!$D1866,SEARCH("|",IMDB_Movies!$D1866)-1),IMDB_Movies!$D1866)</f>
        <v>Horror</v>
      </c>
      <c r="V1866" s="2"/>
      <c r="W1866" s="2"/>
    </row>
    <row r="1867" spans="1:23" ht="12.5" x14ac:dyDescent="0.25">
      <c r="A1867" s="2" t="s">
        <v>3274</v>
      </c>
      <c r="B1867" s="2">
        <v>115</v>
      </c>
      <c r="C1867" s="2">
        <v>32662299</v>
      </c>
      <c r="D1867" s="2" t="s">
        <v>514</v>
      </c>
      <c r="E1867" s="2" t="s">
        <v>3275</v>
      </c>
      <c r="F1867" s="2" t="s">
        <v>14</v>
      </c>
      <c r="G1867" s="2" t="s">
        <v>15</v>
      </c>
      <c r="H1867" s="2">
        <v>24000000</v>
      </c>
      <c r="I1867" s="2">
        <v>6.9</v>
      </c>
      <c r="J1867" s="2">
        <f t="shared" si="14"/>
        <v>8662299</v>
      </c>
      <c r="K1867" s="2">
        <f t="shared" si="15"/>
        <v>-2.198427883240011E-2</v>
      </c>
      <c r="L1867" s="2" t="str">
        <f>IF(ISNUMBER(SEARCH("|",IMDB_Movies!$D1867)),LEFT(IMDB_Movies!$D1867,SEARCH("|",IMDB_Movies!$D1867)-1),IMDB_Movies!$D1867)</f>
        <v>Comedy</v>
      </c>
      <c r="V1867" s="2"/>
      <c r="W1867" s="2"/>
    </row>
    <row r="1868" spans="1:23" ht="12.5" x14ac:dyDescent="0.25">
      <c r="A1868" s="2" t="s">
        <v>2378</v>
      </c>
      <c r="B1868" s="2">
        <v>101</v>
      </c>
      <c r="C1868" s="2">
        <v>31452765</v>
      </c>
      <c r="D1868" s="2" t="s">
        <v>600</v>
      </c>
      <c r="E1868" s="2" t="s">
        <v>3276</v>
      </c>
      <c r="F1868" s="2" t="s">
        <v>14</v>
      </c>
      <c r="G1868" s="2" t="s">
        <v>15</v>
      </c>
      <c r="H1868" s="2">
        <v>24000000</v>
      </c>
      <c r="I1868" s="2">
        <v>6.6</v>
      </c>
      <c r="J1868" s="2">
        <f t="shared" si="14"/>
        <v>7452765</v>
      </c>
      <c r="K1868" s="2">
        <f t="shared" si="15"/>
        <v>-2.1984060234089161E-2</v>
      </c>
      <c r="L1868" s="2" t="str">
        <f>IF(ISNUMBER(SEARCH("|",IMDB_Movies!$D1868)),LEFT(IMDB_Movies!$D1868,SEARCH("|",IMDB_Movies!$D1868)-1),IMDB_Movies!$D1868)</f>
        <v>Comedy</v>
      </c>
      <c r="V1868" s="2"/>
      <c r="W1868" s="2"/>
    </row>
    <row r="1869" spans="1:23" ht="12.5" x14ac:dyDescent="0.25">
      <c r="A1869" s="2" t="s">
        <v>3277</v>
      </c>
      <c r="B1869" s="2">
        <v>110</v>
      </c>
      <c r="C1869" s="2">
        <v>25167270</v>
      </c>
      <c r="D1869" s="2" t="s">
        <v>3003</v>
      </c>
      <c r="E1869" s="2" t="s">
        <v>3278</v>
      </c>
      <c r="F1869" s="2" t="s">
        <v>14</v>
      </c>
      <c r="G1869" s="2" t="s">
        <v>287</v>
      </c>
      <c r="H1869" s="2">
        <v>24000000</v>
      </c>
      <c r="I1869" s="2">
        <v>6.3</v>
      </c>
      <c r="J1869" s="2">
        <f t="shared" si="14"/>
        <v>1167270</v>
      </c>
      <c r="K1869" s="2">
        <f t="shared" si="15"/>
        <v>-2.1983819078496971E-2</v>
      </c>
      <c r="L1869" s="2" t="str">
        <f>IF(ISNUMBER(SEARCH("|",IMDB_Movies!$D1869)),LEFT(IMDB_Movies!$D1869,SEARCH("|",IMDB_Movies!$D1869)-1),IMDB_Movies!$D1869)</f>
        <v>Comedy</v>
      </c>
      <c r="V1869" s="2"/>
      <c r="W1869" s="2"/>
    </row>
    <row r="1870" spans="1:23" ht="12.5" x14ac:dyDescent="0.25">
      <c r="A1870" s="2" t="s">
        <v>3279</v>
      </c>
      <c r="B1870" s="2">
        <v>94</v>
      </c>
      <c r="C1870" s="2">
        <v>32416109</v>
      </c>
      <c r="D1870" s="2" t="s">
        <v>3280</v>
      </c>
      <c r="E1870" s="2" t="s">
        <v>3281</v>
      </c>
      <c r="F1870" s="2" t="s">
        <v>14</v>
      </c>
      <c r="G1870" s="2" t="s">
        <v>15</v>
      </c>
      <c r="H1870" s="2">
        <v>25000000</v>
      </c>
      <c r="I1870" s="2">
        <v>6.2</v>
      </c>
      <c r="J1870" s="2">
        <f t="shared" si="14"/>
        <v>7416109</v>
      </c>
      <c r="K1870" s="2">
        <f t="shared" si="15"/>
        <v>-2.1983668738112371E-2</v>
      </c>
      <c r="L1870" s="2" t="str">
        <f>IF(ISNUMBER(SEARCH("|",IMDB_Movies!$D1870)),LEFT(IMDB_Movies!$D1870,SEARCH("|",IMDB_Movies!$D1870)-1),IMDB_Movies!$D1870)</f>
        <v>Comedy</v>
      </c>
      <c r="V1870" s="2"/>
      <c r="W1870" s="2"/>
    </row>
    <row r="1871" spans="1:23" ht="12.5" x14ac:dyDescent="0.25">
      <c r="A1871" s="2" t="s">
        <v>3282</v>
      </c>
      <c r="B1871" s="2">
        <v>88</v>
      </c>
      <c r="C1871" s="2">
        <v>20218</v>
      </c>
      <c r="D1871" s="2" t="s">
        <v>150</v>
      </c>
      <c r="E1871" s="2" t="s">
        <v>3283</v>
      </c>
      <c r="F1871" s="2" t="s">
        <v>14</v>
      </c>
      <c r="G1871" s="2" t="s">
        <v>15</v>
      </c>
      <c r="H1871" s="2">
        <v>24000000</v>
      </c>
      <c r="I1871" s="2">
        <v>5.3</v>
      </c>
      <c r="J1871" s="2">
        <f t="shared" si="14"/>
        <v>-23979782</v>
      </c>
      <c r="K1871" s="2">
        <f t="shared" si="15"/>
        <v>-2.1983908011455316E-2</v>
      </c>
      <c r="L1871" s="2" t="str">
        <f>IF(ISNUMBER(SEARCH("|",IMDB_Movies!$D1871)),LEFT(IMDB_Movies!$D1871,SEARCH("|",IMDB_Movies!$D1871)-1),IMDB_Movies!$D1871)</f>
        <v>Action</v>
      </c>
      <c r="V1871" s="2"/>
      <c r="W1871" s="2"/>
    </row>
    <row r="1872" spans="1:23" ht="12.5" x14ac:dyDescent="0.25">
      <c r="A1872" s="2" t="s">
        <v>516</v>
      </c>
      <c r="B1872" s="2">
        <v>127</v>
      </c>
      <c r="C1872" s="2">
        <v>28871190</v>
      </c>
      <c r="D1872" s="2" t="s">
        <v>555</v>
      </c>
      <c r="E1872" s="2" t="s">
        <v>3284</v>
      </c>
      <c r="F1872" s="2" t="s">
        <v>14</v>
      </c>
      <c r="G1872" s="2" t="s">
        <v>15</v>
      </c>
      <c r="H1872" s="2">
        <v>24000000</v>
      </c>
      <c r="I1872" s="2">
        <v>7.3</v>
      </c>
      <c r="J1872" s="2">
        <f t="shared" si="14"/>
        <v>4871190</v>
      </c>
      <c r="K1872" s="2">
        <f t="shared" si="15"/>
        <v>-2.1987597556216213E-2</v>
      </c>
      <c r="L1872" s="2" t="str">
        <f>IF(ISNUMBER(SEARCH("|",IMDB_Movies!$D1872)),LEFT(IMDB_Movies!$D1872,SEARCH("|",IMDB_Movies!$D1872)-1),IMDB_Movies!$D1872)</f>
        <v>Biography</v>
      </c>
      <c r="V1872" s="2"/>
      <c r="W1872" s="2"/>
    </row>
    <row r="1873" spans="1:23" ht="12.5" x14ac:dyDescent="0.25">
      <c r="A1873" s="2" t="s">
        <v>1073</v>
      </c>
      <c r="B1873" s="2">
        <v>95</v>
      </c>
      <c r="C1873" s="2">
        <v>16964743</v>
      </c>
      <c r="D1873" s="2" t="s">
        <v>600</v>
      </c>
      <c r="E1873" s="2" t="s">
        <v>3285</v>
      </c>
      <c r="F1873" s="2" t="s">
        <v>14</v>
      </c>
      <c r="G1873" s="2" t="s">
        <v>15</v>
      </c>
      <c r="H1873" s="2">
        <v>24000000</v>
      </c>
      <c r="I1873" s="2">
        <v>5.6</v>
      </c>
      <c r="J1873" s="2">
        <f t="shared" si="14"/>
        <v>-7035257</v>
      </c>
      <c r="K1873" s="2">
        <f t="shared" si="15"/>
        <v>-2.1987351059844465E-2</v>
      </c>
      <c r="L1873" s="2" t="str">
        <f>IF(ISNUMBER(SEARCH("|",IMDB_Movies!$D1873)),LEFT(IMDB_Movies!$D1873,SEARCH("|",IMDB_Movies!$D1873)-1),IMDB_Movies!$D1873)</f>
        <v>Comedy</v>
      </c>
      <c r="V1873" s="2"/>
      <c r="W1873" s="2"/>
    </row>
    <row r="1874" spans="1:23" ht="12.5" x14ac:dyDescent="0.25">
      <c r="A1874" s="2" t="s">
        <v>1352</v>
      </c>
      <c r="B1874" s="2">
        <v>87</v>
      </c>
      <c r="C1874" s="2">
        <v>16290976</v>
      </c>
      <c r="D1874" s="2" t="s">
        <v>3286</v>
      </c>
      <c r="E1874" s="2" t="s">
        <v>3287</v>
      </c>
      <c r="F1874" s="2" t="s">
        <v>14</v>
      </c>
      <c r="G1874" s="2" t="s">
        <v>15</v>
      </c>
      <c r="H1874" s="2">
        <v>24000000</v>
      </c>
      <c r="I1874" s="2">
        <v>6.2</v>
      </c>
      <c r="J1874" s="2">
        <f t="shared" si="14"/>
        <v>-7709024</v>
      </c>
      <c r="K1874" s="2">
        <f t="shared" si="15"/>
        <v>-2.1987843028070678E-2</v>
      </c>
      <c r="L1874" s="2" t="str">
        <f>IF(ISNUMBER(SEARCH("|",IMDB_Movies!$D1874)),LEFT(IMDB_Movies!$D1874,SEARCH("|",IMDB_Movies!$D1874)-1),IMDB_Movies!$D1874)</f>
        <v>Adventure</v>
      </c>
      <c r="V1874" s="2"/>
      <c r="W1874" s="2"/>
    </row>
    <row r="1875" spans="1:23" ht="12.5" x14ac:dyDescent="0.25">
      <c r="A1875" s="2" t="s">
        <v>3288</v>
      </c>
      <c r="B1875" s="2">
        <v>118</v>
      </c>
      <c r="C1875" s="2">
        <v>13000000</v>
      </c>
      <c r="D1875" s="2" t="s">
        <v>3289</v>
      </c>
      <c r="E1875" s="2" t="s">
        <v>3290</v>
      </c>
      <c r="F1875" s="2" t="s">
        <v>14</v>
      </c>
      <c r="G1875" s="2" t="s">
        <v>15</v>
      </c>
      <c r="H1875" s="2">
        <v>24000000</v>
      </c>
      <c r="I1875" s="2">
        <v>5.2</v>
      </c>
      <c r="J1875" s="2">
        <f t="shared" si="14"/>
        <v>-11000000</v>
      </c>
      <c r="K1875" s="2">
        <f t="shared" si="15"/>
        <v>-2.1988414650141661E-2</v>
      </c>
      <c r="L1875" s="2" t="str">
        <f>IF(ISNUMBER(SEARCH("|",IMDB_Movies!$D1875)),LEFT(IMDB_Movies!$D1875,SEARCH("|",IMDB_Movies!$D1875)-1),IMDB_Movies!$D1875)</f>
        <v>Adventure</v>
      </c>
      <c r="V1875" s="2"/>
      <c r="W1875" s="2"/>
    </row>
    <row r="1876" spans="1:23" ht="12.5" x14ac:dyDescent="0.25">
      <c r="A1876" s="2" t="s">
        <v>1408</v>
      </c>
      <c r="B1876" s="2">
        <v>107</v>
      </c>
      <c r="C1876" s="2">
        <v>12372410</v>
      </c>
      <c r="D1876" s="2" t="s">
        <v>1350</v>
      </c>
      <c r="E1876" s="2" t="s">
        <v>3291</v>
      </c>
      <c r="F1876" s="2" t="s">
        <v>14</v>
      </c>
      <c r="G1876" s="2" t="s">
        <v>15</v>
      </c>
      <c r="H1876" s="2">
        <v>24000000</v>
      </c>
      <c r="I1876" s="2">
        <v>5.3</v>
      </c>
      <c r="J1876" s="2">
        <f t="shared" si="14"/>
        <v>-11627590</v>
      </c>
      <c r="K1876" s="2">
        <f t="shared" si="15"/>
        <v>-2.1989431026626594E-2</v>
      </c>
      <c r="L1876" s="2" t="str">
        <f>IF(ISNUMBER(SEARCH("|",IMDB_Movies!$D1876)),LEFT(IMDB_Movies!$D1876,SEARCH("|",IMDB_Movies!$D1876)-1),IMDB_Movies!$D1876)</f>
        <v>Comedy</v>
      </c>
      <c r="V1876" s="2"/>
      <c r="W1876" s="2"/>
    </row>
    <row r="1877" spans="1:23" ht="12.5" x14ac:dyDescent="0.25">
      <c r="A1877" s="2" t="s">
        <v>1097</v>
      </c>
      <c r="B1877" s="2">
        <v>124</v>
      </c>
      <c r="C1877" s="2">
        <v>8427204</v>
      </c>
      <c r="D1877" s="2" t="s">
        <v>2108</v>
      </c>
      <c r="E1877" s="2" t="s">
        <v>3292</v>
      </c>
      <c r="F1877" s="2" t="s">
        <v>14</v>
      </c>
      <c r="G1877" s="2" t="s">
        <v>15</v>
      </c>
      <c r="H1877" s="2">
        <v>24000000</v>
      </c>
      <c r="I1877" s="2">
        <v>5.4</v>
      </c>
      <c r="J1877" s="2">
        <f t="shared" si="14"/>
        <v>-15572796</v>
      </c>
      <c r="K1877" s="2">
        <f t="shared" si="15"/>
        <v>-2.1990544084215042E-2</v>
      </c>
      <c r="L1877" s="2" t="str">
        <f>IF(ISNUMBER(SEARCH("|",IMDB_Movies!$D1877)),LEFT(IMDB_Movies!$D1877,SEARCH("|",IMDB_Movies!$D1877)-1),IMDB_Movies!$D1877)</f>
        <v>Comedy</v>
      </c>
      <c r="V1877" s="2"/>
      <c r="W1877" s="2"/>
    </row>
    <row r="1878" spans="1:23" ht="12.5" x14ac:dyDescent="0.25">
      <c r="A1878" s="2" t="s">
        <v>3293</v>
      </c>
      <c r="B1878" s="2">
        <v>89</v>
      </c>
      <c r="C1878" s="2">
        <v>9639242</v>
      </c>
      <c r="D1878" s="2" t="s">
        <v>600</v>
      </c>
      <c r="E1878" s="2" t="s">
        <v>3294</v>
      </c>
      <c r="F1878" s="2" t="s">
        <v>14</v>
      </c>
      <c r="G1878" s="2" t="s">
        <v>15</v>
      </c>
      <c r="H1878" s="2">
        <v>24000000</v>
      </c>
      <c r="I1878" s="2">
        <v>4.9000000000000004</v>
      </c>
      <c r="J1878" s="2">
        <f t="shared" si="14"/>
        <v>-14360758</v>
      </c>
      <c r="K1878" s="2">
        <f t="shared" si="15"/>
        <v>-2.1992338931838662E-2</v>
      </c>
      <c r="L1878" s="2" t="str">
        <f>IF(ISNUMBER(SEARCH("|",IMDB_Movies!$D1878)),LEFT(IMDB_Movies!$D1878,SEARCH("|",IMDB_Movies!$D1878)-1),IMDB_Movies!$D1878)</f>
        <v>Comedy</v>
      </c>
      <c r="V1878" s="2"/>
      <c r="W1878" s="2"/>
    </row>
    <row r="1879" spans="1:23" ht="12.5" x14ac:dyDescent="0.25">
      <c r="A1879" s="2" t="s">
        <v>2483</v>
      </c>
      <c r="B1879" s="2">
        <v>88</v>
      </c>
      <c r="C1879" s="2">
        <v>25003072</v>
      </c>
      <c r="D1879" s="2" t="s">
        <v>2514</v>
      </c>
      <c r="E1879" s="2" t="s">
        <v>3295</v>
      </c>
      <c r="F1879" s="2" t="s">
        <v>14</v>
      </c>
      <c r="G1879" s="2" t="s">
        <v>15</v>
      </c>
      <c r="H1879" s="2">
        <v>24000000</v>
      </c>
      <c r="I1879" s="2">
        <v>5.5</v>
      </c>
      <c r="J1879" s="2">
        <f t="shared" si="14"/>
        <v>1003072</v>
      </c>
      <c r="K1879" s="2">
        <f t="shared" si="15"/>
        <v>-2.1993912022488408E-2</v>
      </c>
      <c r="L1879" s="2" t="str">
        <f>IF(ISNUMBER(SEARCH("|",IMDB_Movies!$D1879)),LEFT(IMDB_Movies!$D1879,SEARCH("|",IMDB_Movies!$D1879)-1),IMDB_Movies!$D1879)</f>
        <v>Comedy</v>
      </c>
      <c r="V1879" s="2"/>
      <c r="W1879" s="2"/>
    </row>
    <row r="1880" spans="1:23" ht="12.5" x14ac:dyDescent="0.25">
      <c r="A1880" s="2" t="s">
        <v>3296</v>
      </c>
      <c r="B1880" s="2">
        <v>118</v>
      </c>
      <c r="C1880" s="2">
        <v>6144806</v>
      </c>
      <c r="D1880" s="2" t="s">
        <v>2178</v>
      </c>
      <c r="E1880" s="2" t="s">
        <v>3297</v>
      </c>
      <c r="F1880" s="2" t="s">
        <v>14</v>
      </c>
      <c r="G1880" s="2" t="s">
        <v>15</v>
      </c>
      <c r="H1880" s="2">
        <v>23000000</v>
      </c>
      <c r="I1880" s="2">
        <v>6.7</v>
      </c>
      <c r="J1880" s="2">
        <f t="shared" si="14"/>
        <v>-16855194</v>
      </c>
      <c r="K1880" s="2">
        <f t="shared" si="15"/>
        <v>-2.1993769261205762E-2</v>
      </c>
      <c r="L1880" s="2" t="str">
        <f>IF(ISNUMBER(SEARCH("|",IMDB_Movies!$D1880)),LEFT(IMDB_Movies!$D1880,SEARCH("|",IMDB_Movies!$D1880)-1),IMDB_Movies!$D1880)</f>
        <v>Biography</v>
      </c>
      <c r="V1880" s="2"/>
      <c r="W1880" s="2"/>
    </row>
    <row r="1881" spans="1:23" ht="12.5" x14ac:dyDescent="0.25">
      <c r="A1881" s="2" t="s">
        <v>3298</v>
      </c>
      <c r="B1881" s="2">
        <v>93</v>
      </c>
      <c r="C1881" s="2">
        <v>4308981</v>
      </c>
      <c r="D1881" s="2" t="s">
        <v>1058</v>
      </c>
      <c r="E1881" s="2" t="s">
        <v>3299</v>
      </c>
      <c r="F1881" s="2" t="s">
        <v>14</v>
      </c>
      <c r="G1881" s="2" t="s">
        <v>15</v>
      </c>
      <c r="H1881" s="2">
        <v>24000000</v>
      </c>
      <c r="I1881" s="2">
        <v>3.9</v>
      </c>
      <c r="J1881" s="2">
        <f t="shared" si="14"/>
        <v>-19691019</v>
      </c>
      <c r="K1881" s="2">
        <f t="shared" si="15"/>
        <v>-2.1996780179005627E-2</v>
      </c>
      <c r="L1881" s="2" t="str">
        <f>IF(ISNUMBER(SEARCH("|",IMDB_Movies!$D1881)),LEFT(IMDB_Movies!$D1881,SEARCH("|",IMDB_Movies!$D1881)-1),IMDB_Movies!$D1881)</f>
        <v>Comedy</v>
      </c>
      <c r="V1881" s="2"/>
      <c r="W1881" s="2"/>
    </row>
    <row r="1882" spans="1:23" ht="12.5" x14ac:dyDescent="0.25">
      <c r="A1882" s="2" t="s">
        <v>3300</v>
      </c>
      <c r="B1882" s="2">
        <v>80</v>
      </c>
      <c r="C1882" s="2">
        <v>669276</v>
      </c>
      <c r="D1882" s="2" t="s">
        <v>3301</v>
      </c>
      <c r="E1882" s="2" t="s">
        <v>3302</v>
      </c>
      <c r="F1882" s="2" t="s">
        <v>14</v>
      </c>
      <c r="G1882" s="2" t="s">
        <v>22</v>
      </c>
      <c r="H1882" s="2">
        <v>28000000</v>
      </c>
      <c r="I1882" s="2">
        <v>7.2</v>
      </c>
      <c r="J1882" s="2">
        <f t="shared" si="14"/>
        <v>-27330724</v>
      </c>
      <c r="K1882" s="2">
        <f t="shared" si="15"/>
        <v>-2.1999440338169442E-2</v>
      </c>
      <c r="L1882" s="2" t="str">
        <f>IF(ISNUMBER(SEARCH("|",IMDB_Movies!$D1882)),LEFT(IMDB_Movies!$D1882,SEARCH("|",IMDB_Movies!$D1882)-1),IMDB_Movies!$D1882)</f>
        <v>Action</v>
      </c>
      <c r="V1882" s="2"/>
      <c r="W1882" s="2"/>
    </row>
    <row r="1883" spans="1:23" ht="12.5" x14ac:dyDescent="0.25">
      <c r="A1883" s="2" t="s">
        <v>3303</v>
      </c>
      <c r="B1883" s="2">
        <v>120</v>
      </c>
      <c r="C1883" s="2">
        <v>42880</v>
      </c>
      <c r="D1883" s="2" t="s">
        <v>85</v>
      </c>
      <c r="E1883" s="2" t="s">
        <v>3304</v>
      </c>
      <c r="F1883" s="2" t="s">
        <v>14</v>
      </c>
      <c r="G1883" s="2" t="s">
        <v>22</v>
      </c>
      <c r="H1883" s="2">
        <v>24000000</v>
      </c>
      <c r="I1883" s="2">
        <v>5.0999999999999996</v>
      </c>
      <c r="J1883" s="2">
        <f t="shared" si="14"/>
        <v>-23957120</v>
      </c>
      <c r="K1883" s="2">
        <f t="shared" si="15"/>
        <v>-2.1998949434177968E-2</v>
      </c>
      <c r="L1883" s="2" t="str">
        <f>IF(ISNUMBER(SEARCH("|",IMDB_Movies!$D1883)),LEFT(IMDB_Movies!$D1883,SEARCH("|",IMDB_Movies!$D1883)-1),IMDB_Movies!$D1883)</f>
        <v>Drama</v>
      </c>
      <c r="V1883" s="2"/>
      <c r="W1883" s="2"/>
    </row>
    <row r="1884" spans="1:23" ht="12.5" x14ac:dyDescent="0.25">
      <c r="A1884" s="2" t="s">
        <v>2569</v>
      </c>
      <c r="B1884" s="2">
        <v>98</v>
      </c>
      <c r="C1884" s="2">
        <v>23225911</v>
      </c>
      <c r="D1884" s="2" t="s">
        <v>177</v>
      </c>
      <c r="E1884" s="2" t="s">
        <v>3305</v>
      </c>
      <c r="F1884" s="2" t="s">
        <v>14</v>
      </c>
      <c r="G1884" s="2" t="s">
        <v>15</v>
      </c>
      <c r="H1884" s="2">
        <v>24000000</v>
      </c>
      <c r="I1884" s="2">
        <v>6.5</v>
      </c>
      <c r="J1884" s="2">
        <f t="shared" si="14"/>
        <v>-774089</v>
      </c>
      <c r="K1884" s="2">
        <f t="shared" si="15"/>
        <v>-2.2002662503174921E-2</v>
      </c>
      <c r="L1884" s="2" t="str">
        <f>IF(ISNUMBER(SEARCH("|",IMDB_Movies!$D1884)),LEFT(IMDB_Movies!$D1884,SEARCH("|",IMDB_Movies!$D1884)-1),IMDB_Movies!$D1884)</f>
        <v>Action</v>
      </c>
      <c r="V1884" s="2"/>
      <c r="W1884" s="2"/>
    </row>
    <row r="1885" spans="1:23" ht="12.5" x14ac:dyDescent="0.25">
      <c r="A1885" s="2" t="s">
        <v>2566</v>
      </c>
      <c r="B1885" s="2">
        <v>119</v>
      </c>
      <c r="C1885" s="2">
        <v>4710455</v>
      </c>
      <c r="D1885" s="2" t="s">
        <v>240</v>
      </c>
      <c r="E1885" s="2" t="s">
        <v>3306</v>
      </c>
      <c r="F1885" s="2" t="s">
        <v>2568</v>
      </c>
      <c r="G1885" s="2" t="s">
        <v>1032</v>
      </c>
      <c r="H1885" s="2">
        <v>24000000</v>
      </c>
      <c r="I1885" s="2">
        <v>8.1999999999999993</v>
      </c>
      <c r="J1885" s="2">
        <f t="shared" si="14"/>
        <v>-19289545</v>
      </c>
      <c r="K1885" s="2">
        <f t="shared" si="15"/>
        <v>-2.2002614443602096E-2</v>
      </c>
      <c r="L1885" s="2" t="str">
        <f>IF(ISNUMBER(SEARCH("|",IMDB_Movies!$D1885)),LEFT(IMDB_Movies!$D1885,SEARCH("|",IMDB_Movies!$D1885)-1),IMDB_Movies!$D1885)</f>
        <v>Adventure</v>
      </c>
      <c r="V1885" s="2"/>
      <c r="W1885" s="2"/>
    </row>
    <row r="1886" spans="1:23" ht="12.5" x14ac:dyDescent="0.25">
      <c r="A1886" s="2" t="s">
        <v>1447</v>
      </c>
      <c r="B1886" s="2">
        <v>88</v>
      </c>
      <c r="C1886" s="2">
        <v>75590286</v>
      </c>
      <c r="D1886" s="2" t="s">
        <v>3307</v>
      </c>
      <c r="E1886" s="2" t="s">
        <v>3308</v>
      </c>
      <c r="F1886" s="2" t="s">
        <v>14</v>
      </c>
      <c r="G1886" s="2" t="s">
        <v>15</v>
      </c>
      <c r="H1886" s="2">
        <v>23600000</v>
      </c>
      <c r="I1886" s="2">
        <v>7.7</v>
      </c>
      <c r="J1886" s="2">
        <f t="shared" si="14"/>
        <v>51990286</v>
      </c>
      <c r="K1886" s="2">
        <f t="shared" si="15"/>
        <v>-2.200519373560391E-2</v>
      </c>
      <c r="L1886" s="2" t="str">
        <f>IF(ISNUMBER(SEARCH("|",IMDB_Movies!$D1886)),LEFT(IMDB_Movies!$D1886,SEARCH("|",IMDB_Movies!$D1886)-1),IMDB_Movies!$D1886)</f>
        <v>Adventure</v>
      </c>
      <c r="V1886" s="2"/>
      <c r="W1886" s="2"/>
    </row>
    <row r="1887" spans="1:23" ht="12.5" x14ac:dyDescent="0.25">
      <c r="A1887" s="2" t="s">
        <v>581</v>
      </c>
      <c r="B1887" s="2">
        <v>90</v>
      </c>
      <c r="C1887" s="2">
        <v>161487252</v>
      </c>
      <c r="D1887" s="2" t="s">
        <v>1350</v>
      </c>
      <c r="E1887" s="2" t="s">
        <v>3309</v>
      </c>
      <c r="F1887" s="2" t="s">
        <v>14</v>
      </c>
      <c r="G1887" s="2" t="s">
        <v>15</v>
      </c>
      <c r="H1887" s="2">
        <v>20000000</v>
      </c>
      <c r="I1887" s="2">
        <v>6.1</v>
      </c>
      <c r="J1887" s="2">
        <f t="shared" si="14"/>
        <v>141487252</v>
      </c>
      <c r="K1887" s="2">
        <f t="shared" si="15"/>
        <v>-2.2013088673996272E-2</v>
      </c>
      <c r="L1887" s="2" t="str">
        <f>IF(ISNUMBER(SEARCH("|",IMDB_Movies!$D1887)),LEFT(IMDB_Movies!$D1887,SEARCH("|",IMDB_Movies!$D1887)-1),IMDB_Movies!$D1887)</f>
        <v>Comedy</v>
      </c>
      <c r="V1887" s="2"/>
      <c r="W1887" s="2"/>
    </row>
    <row r="1888" spans="1:23" ht="12.5" x14ac:dyDescent="0.25">
      <c r="A1888" s="2" t="s">
        <v>2390</v>
      </c>
      <c r="B1888" s="2">
        <v>127</v>
      </c>
      <c r="C1888" s="2">
        <v>290158751</v>
      </c>
      <c r="D1888" s="2" t="s">
        <v>12</v>
      </c>
      <c r="E1888" s="2" t="s">
        <v>3310</v>
      </c>
      <c r="F1888" s="2" t="s">
        <v>14</v>
      </c>
      <c r="G1888" s="2" t="s">
        <v>15</v>
      </c>
      <c r="H1888" s="2">
        <v>18000000</v>
      </c>
      <c r="I1888" s="2">
        <v>8.8000000000000007</v>
      </c>
      <c r="J1888" s="2">
        <f t="shared" si="14"/>
        <v>272158751</v>
      </c>
      <c r="K1888" s="2">
        <f t="shared" si="15"/>
        <v>-2.2063640053286787E-2</v>
      </c>
      <c r="L1888" s="2" t="str">
        <f>IF(ISNUMBER(SEARCH("|",IMDB_Movies!$D1888)),LEFT(IMDB_Movies!$D1888,SEARCH("|",IMDB_Movies!$D1888)-1),IMDB_Movies!$D1888)</f>
        <v>Action</v>
      </c>
      <c r="V1888" s="2"/>
      <c r="W1888" s="2"/>
    </row>
    <row r="1889" spans="1:23" ht="12.5" x14ac:dyDescent="0.25">
      <c r="A1889" s="2" t="s">
        <v>108</v>
      </c>
      <c r="B1889" s="2">
        <v>119</v>
      </c>
      <c r="C1889" s="2">
        <v>65807024</v>
      </c>
      <c r="D1889" s="2" t="s">
        <v>1232</v>
      </c>
      <c r="E1889" s="2" t="s">
        <v>3311</v>
      </c>
      <c r="F1889" s="2" t="s">
        <v>14</v>
      </c>
      <c r="G1889" s="2" t="s">
        <v>15</v>
      </c>
      <c r="H1889" s="2">
        <v>19000000</v>
      </c>
      <c r="I1889" s="2">
        <v>6.8</v>
      </c>
      <c r="J1889" s="2">
        <f t="shared" si="14"/>
        <v>46807024</v>
      </c>
      <c r="K1889" s="2">
        <f t="shared" si="15"/>
        <v>-2.2296168880754579E-2</v>
      </c>
      <c r="L1889" s="2" t="str">
        <f>IF(ISNUMBER(SEARCH("|",IMDB_Movies!$D1889)),LEFT(IMDB_Movies!$D1889,SEARCH("|",IMDB_Movies!$D1889)-1),IMDB_Movies!$D1889)</f>
        <v>Action</v>
      </c>
      <c r="V1889" s="2"/>
      <c r="W1889" s="2"/>
    </row>
    <row r="1890" spans="1:23" ht="12.5" x14ac:dyDescent="0.25">
      <c r="A1890" s="2" t="s">
        <v>1918</v>
      </c>
      <c r="B1890" s="2">
        <v>85</v>
      </c>
      <c r="C1890" s="2">
        <v>86930411</v>
      </c>
      <c r="D1890" s="2" t="s">
        <v>375</v>
      </c>
      <c r="E1890" s="2" t="s">
        <v>3312</v>
      </c>
      <c r="F1890" s="2" t="s">
        <v>14</v>
      </c>
      <c r="G1890" s="2" t="s">
        <v>15</v>
      </c>
      <c r="H1890" s="2">
        <v>23000000</v>
      </c>
      <c r="I1890" s="2">
        <v>6.8</v>
      </c>
      <c r="J1890" s="2">
        <f t="shared" si="14"/>
        <v>63930411</v>
      </c>
      <c r="K1890" s="2">
        <f t="shared" si="15"/>
        <v>-2.2291689484319328E-2</v>
      </c>
      <c r="L1890" s="2" t="str">
        <f>IF(ISNUMBER(SEARCH("|",IMDB_Movies!$D1890)),LEFT(IMDB_Movies!$D1890,SEARCH("|",IMDB_Movies!$D1890)-1),IMDB_Movies!$D1890)</f>
        <v>Comedy</v>
      </c>
      <c r="V1890" s="2"/>
      <c r="W1890" s="2"/>
    </row>
    <row r="1891" spans="1:23" ht="12.5" x14ac:dyDescent="0.25">
      <c r="A1891" s="2" t="s">
        <v>1863</v>
      </c>
      <c r="B1891" s="2">
        <v>98</v>
      </c>
      <c r="C1891" s="2">
        <v>53302314</v>
      </c>
      <c r="D1891" s="2" t="s">
        <v>2228</v>
      </c>
      <c r="E1891" s="2" t="s">
        <v>3313</v>
      </c>
      <c r="F1891" s="2" t="s">
        <v>14</v>
      </c>
      <c r="G1891" s="2" t="s">
        <v>15</v>
      </c>
      <c r="H1891" s="2">
        <v>23000000</v>
      </c>
      <c r="I1891" s="2">
        <v>6.7</v>
      </c>
      <c r="J1891" s="2">
        <f t="shared" si="14"/>
        <v>30302314</v>
      </c>
      <c r="K1891" s="2">
        <f t="shared" si="15"/>
        <v>-2.2303635272673521E-2</v>
      </c>
      <c r="L1891" s="2" t="str">
        <f>IF(ISNUMBER(SEARCH("|",IMDB_Movies!$D1891)),LEFT(IMDB_Movies!$D1891,SEARCH("|",IMDB_Movies!$D1891)-1),IMDB_Movies!$D1891)</f>
        <v>Horror</v>
      </c>
      <c r="V1891" s="2"/>
      <c r="W1891" s="2"/>
    </row>
    <row r="1892" spans="1:23" ht="12.5" x14ac:dyDescent="0.25">
      <c r="A1892" s="2" t="s">
        <v>1177</v>
      </c>
      <c r="B1892" s="2">
        <v>101</v>
      </c>
      <c r="C1892" s="2">
        <v>40962534</v>
      </c>
      <c r="D1892" s="2" t="s">
        <v>1180</v>
      </c>
      <c r="E1892" s="2" t="s">
        <v>3314</v>
      </c>
      <c r="F1892" s="2" t="s">
        <v>14</v>
      </c>
      <c r="G1892" s="2" t="s">
        <v>15</v>
      </c>
      <c r="H1892" s="2">
        <v>12500000</v>
      </c>
      <c r="I1892" s="2">
        <v>7.1</v>
      </c>
      <c r="J1892" s="2">
        <f t="shared" si="14"/>
        <v>28462534</v>
      </c>
      <c r="K1892" s="2">
        <f t="shared" si="15"/>
        <v>-2.2304523082844561E-2</v>
      </c>
      <c r="L1892" s="2" t="str">
        <f>IF(ISNUMBER(SEARCH("|",IMDB_Movies!$D1892)),LEFT(IMDB_Movies!$D1892,SEARCH("|",IMDB_Movies!$D1892)-1),IMDB_Movies!$D1892)</f>
        <v>Drama</v>
      </c>
      <c r="V1892" s="2"/>
      <c r="W1892" s="2"/>
    </row>
    <row r="1893" spans="1:23" ht="12.5" x14ac:dyDescent="0.25">
      <c r="A1893" s="2" t="s">
        <v>506</v>
      </c>
      <c r="B1893" s="2">
        <v>112</v>
      </c>
      <c r="C1893" s="2">
        <v>39235088</v>
      </c>
      <c r="D1893" s="2" t="s">
        <v>3315</v>
      </c>
      <c r="E1893" s="2" t="s">
        <v>3316</v>
      </c>
      <c r="F1893" s="2" t="s">
        <v>14</v>
      </c>
      <c r="G1893" s="2" t="s">
        <v>15</v>
      </c>
      <c r="H1893" s="2">
        <v>23000000</v>
      </c>
      <c r="I1893" s="2">
        <v>7.1</v>
      </c>
      <c r="J1893" s="2">
        <f t="shared" si="14"/>
        <v>16235088</v>
      </c>
      <c r="K1893" s="2">
        <f t="shared" si="15"/>
        <v>-2.2294644929264428E-2</v>
      </c>
      <c r="L1893" s="2" t="str">
        <f>IF(ISNUMBER(SEARCH("|",IMDB_Movies!$D1893)),LEFT(IMDB_Movies!$D1893,SEARCH("|",IMDB_Movies!$D1893)-1),IMDB_Movies!$D1893)</f>
        <v>Horror</v>
      </c>
      <c r="V1893" s="2"/>
      <c r="W1893" s="2"/>
    </row>
    <row r="1894" spans="1:23" ht="12.5" x14ac:dyDescent="0.25">
      <c r="A1894" s="2" t="s">
        <v>3317</v>
      </c>
      <c r="B1894" s="2">
        <v>97</v>
      </c>
      <c r="C1894" s="2">
        <v>27338033</v>
      </c>
      <c r="D1894" s="2" t="s">
        <v>600</v>
      </c>
      <c r="E1894" s="2" t="s">
        <v>3318</v>
      </c>
      <c r="F1894" s="2" t="s">
        <v>14</v>
      </c>
      <c r="G1894" s="2" t="s">
        <v>15</v>
      </c>
      <c r="H1894" s="2">
        <v>23000000</v>
      </c>
      <c r="I1894" s="2">
        <v>6.1</v>
      </c>
      <c r="J1894" s="2">
        <f t="shared" si="14"/>
        <v>4338033</v>
      </c>
      <c r="K1894" s="2">
        <f t="shared" si="15"/>
        <v>-2.2294009020728971E-2</v>
      </c>
      <c r="L1894" s="2" t="str">
        <f>IF(ISNUMBER(SEARCH("|",IMDB_Movies!$D1894)),LEFT(IMDB_Movies!$D1894,SEARCH("|",IMDB_Movies!$D1894)-1),IMDB_Movies!$D1894)</f>
        <v>Comedy</v>
      </c>
      <c r="V1894" s="2"/>
      <c r="W1894" s="2"/>
    </row>
    <row r="1895" spans="1:23" ht="12.5" x14ac:dyDescent="0.25">
      <c r="A1895" s="2" t="s">
        <v>642</v>
      </c>
      <c r="B1895" s="2">
        <v>126</v>
      </c>
      <c r="C1895" s="2">
        <v>25556065</v>
      </c>
      <c r="D1895" s="2" t="s">
        <v>3124</v>
      </c>
      <c r="E1895" s="2" t="s">
        <v>3319</v>
      </c>
      <c r="F1895" s="2" t="s">
        <v>14</v>
      </c>
      <c r="G1895" s="2" t="s">
        <v>15</v>
      </c>
      <c r="H1895" s="2">
        <v>23000000</v>
      </c>
      <c r="I1895" s="2">
        <v>8</v>
      </c>
      <c r="J1895" s="2">
        <f t="shared" si="14"/>
        <v>2556065</v>
      </c>
      <c r="K1895" s="2">
        <f t="shared" si="15"/>
        <v>-2.2293528126876141E-2</v>
      </c>
      <c r="L1895" s="2" t="str">
        <f>IF(ISNUMBER(SEARCH("|",IMDB_Movies!$D1895)),LEFT(IMDB_Movies!$D1895,SEARCH("|",IMDB_Movies!$D1895)-1),IMDB_Movies!$D1895)</f>
        <v>Drama</v>
      </c>
      <c r="V1895" s="2"/>
      <c r="W1895" s="2"/>
    </row>
    <row r="1896" spans="1:23" ht="12.5" x14ac:dyDescent="0.25">
      <c r="A1896" s="2" t="s">
        <v>1519</v>
      </c>
      <c r="B1896" s="2">
        <v>97</v>
      </c>
      <c r="C1896" s="2">
        <v>21973182</v>
      </c>
      <c r="D1896" s="2" t="s">
        <v>315</v>
      </c>
      <c r="E1896" s="2" t="s">
        <v>3320</v>
      </c>
      <c r="F1896" s="2" t="s">
        <v>14</v>
      </c>
      <c r="G1896" s="2" t="s">
        <v>15</v>
      </c>
      <c r="H1896" s="2">
        <v>23000000</v>
      </c>
      <c r="I1896" s="2">
        <v>6.6</v>
      </c>
      <c r="J1896" s="2">
        <f t="shared" si="14"/>
        <v>-1026818</v>
      </c>
      <c r="K1896" s="2">
        <f t="shared" si="15"/>
        <v>-2.2293183555761941E-2</v>
      </c>
      <c r="L1896" s="2" t="str">
        <f>IF(ISNUMBER(SEARCH("|",IMDB_Movies!$D1896)),LEFT(IMDB_Movies!$D1896,SEARCH("|",IMDB_Movies!$D1896)-1),IMDB_Movies!$D1896)</f>
        <v>Mystery</v>
      </c>
      <c r="V1896" s="2"/>
      <c r="W1896" s="2"/>
    </row>
    <row r="1897" spans="1:23" ht="12.5" x14ac:dyDescent="0.25">
      <c r="A1897" s="2" t="s">
        <v>3321</v>
      </c>
      <c r="B1897" s="2">
        <v>100</v>
      </c>
      <c r="C1897" s="2">
        <v>4756</v>
      </c>
      <c r="D1897" s="2" t="s">
        <v>81</v>
      </c>
      <c r="E1897" s="2" t="s">
        <v>3322</v>
      </c>
      <c r="F1897" s="2" t="s">
        <v>14</v>
      </c>
      <c r="G1897" s="2" t="s">
        <v>22</v>
      </c>
      <c r="H1897" s="2">
        <v>25000000</v>
      </c>
      <c r="I1897" s="2">
        <v>5.4</v>
      </c>
      <c r="J1897" s="2">
        <f t="shared" si="14"/>
        <v>-24995244</v>
      </c>
      <c r="K1897" s="2">
        <f t="shared" si="15"/>
        <v>-2.2293203366025544E-2</v>
      </c>
      <c r="L1897" s="2" t="str">
        <f>IF(ISNUMBER(SEARCH("|",IMDB_Movies!$D1897)),LEFT(IMDB_Movies!$D1897,SEARCH("|",IMDB_Movies!$D1897)-1),IMDB_Movies!$D1897)</f>
        <v>Adventure</v>
      </c>
      <c r="V1897" s="2"/>
      <c r="W1897" s="2"/>
    </row>
    <row r="1898" spans="1:23" ht="12.5" x14ac:dyDescent="0.25">
      <c r="A1898" s="2" t="s">
        <v>1579</v>
      </c>
      <c r="B1898" s="2">
        <v>114</v>
      </c>
      <c r="C1898" s="2">
        <v>18653615</v>
      </c>
      <c r="D1898" s="2" t="s">
        <v>891</v>
      </c>
      <c r="E1898" s="2" t="s">
        <v>3323</v>
      </c>
      <c r="F1898" s="2" t="s">
        <v>14</v>
      </c>
      <c r="G1898" s="2" t="s">
        <v>15</v>
      </c>
      <c r="H1898" s="2">
        <v>23000000</v>
      </c>
      <c r="I1898" s="2">
        <v>6.1</v>
      </c>
      <c r="J1898" s="2">
        <f t="shared" si="14"/>
        <v>-4346385</v>
      </c>
      <c r="K1898" s="2">
        <f t="shared" si="15"/>
        <v>-2.2295977807928333E-2</v>
      </c>
      <c r="L1898" s="2" t="str">
        <f>IF(ISNUMBER(SEARCH("|",IMDB_Movies!$D1898)),LEFT(IMDB_Movies!$D1898,SEARCH("|",IMDB_Movies!$D1898)-1),IMDB_Movies!$D1898)</f>
        <v>Comedy</v>
      </c>
      <c r="V1898" s="2"/>
      <c r="W1898" s="2"/>
    </row>
    <row r="1899" spans="1:23" ht="12.5" x14ac:dyDescent="0.25">
      <c r="A1899" s="2" t="s">
        <v>3324</v>
      </c>
      <c r="B1899" s="2">
        <v>88</v>
      </c>
      <c r="C1899" s="2">
        <v>13019253</v>
      </c>
      <c r="D1899" s="2" t="s">
        <v>375</v>
      </c>
      <c r="E1899" s="2" t="s">
        <v>3325</v>
      </c>
      <c r="F1899" s="2" t="s">
        <v>14</v>
      </c>
      <c r="G1899" s="2" t="s">
        <v>15</v>
      </c>
      <c r="H1899" s="2">
        <v>23000000</v>
      </c>
      <c r="I1899" s="2">
        <v>5.6</v>
      </c>
      <c r="J1899" s="2">
        <f t="shared" si="14"/>
        <v>-9980747</v>
      </c>
      <c r="K1899" s="2">
        <f t="shared" si="15"/>
        <v>-2.2296444281933114E-2</v>
      </c>
      <c r="L1899" s="2" t="str">
        <f>IF(ISNUMBER(SEARCH("|",IMDB_Movies!$D1899)),LEFT(IMDB_Movies!$D1899,SEARCH("|",IMDB_Movies!$D1899)-1),IMDB_Movies!$D1899)</f>
        <v>Comedy</v>
      </c>
      <c r="V1899" s="2"/>
      <c r="W1899" s="2"/>
    </row>
    <row r="1900" spans="1:23" ht="12.5" x14ac:dyDescent="0.25">
      <c r="A1900" s="2" t="s">
        <v>549</v>
      </c>
      <c r="B1900" s="2">
        <v>93</v>
      </c>
      <c r="C1900" s="2">
        <v>18934858</v>
      </c>
      <c r="D1900" s="2" t="s">
        <v>25</v>
      </c>
      <c r="E1900" s="2" t="s">
        <v>3326</v>
      </c>
      <c r="F1900" s="2" t="s">
        <v>14</v>
      </c>
      <c r="G1900" s="2" t="s">
        <v>2637</v>
      </c>
      <c r="H1900" s="2">
        <v>23000000</v>
      </c>
      <c r="I1900" s="2">
        <v>5.8</v>
      </c>
      <c r="J1900" s="2">
        <f t="shared" si="14"/>
        <v>-4065142</v>
      </c>
      <c r="K1900" s="2">
        <f t="shared" si="15"/>
        <v>-2.229790234060593E-2</v>
      </c>
      <c r="L1900" s="2" t="str">
        <f>IF(ISNUMBER(SEARCH("|",IMDB_Movies!$D1900)),LEFT(IMDB_Movies!$D1900,SEARCH("|",IMDB_Movies!$D1900)-1),IMDB_Movies!$D1900)</f>
        <v>Action</v>
      </c>
      <c r="V1900" s="2"/>
      <c r="W1900" s="2"/>
    </row>
    <row r="1901" spans="1:23" ht="12.5" x14ac:dyDescent="0.25">
      <c r="A1901" s="2" t="s">
        <v>3327</v>
      </c>
      <c r="B1901" s="2">
        <v>92</v>
      </c>
      <c r="C1901" s="2">
        <v>20763013</v>
      </c>
      <c r="D1901" s="2" t="s">
        <v>2835</v>
      </c>
      <c r="E1901" s="2" t="s">
        <v>3328</v>
      </c>
      <c r="F1901" s="2" t="s">
        <v>14</v>
      </c>
      <c r="G1901" s="2" t="s">
        <v>15</v>
      </c>
      <c r="H1901" s="2">
        <v>23000000</v>
      </c>
      <c r="I1901" s="2">
        <v>2.8</v>
      </c>
      <c r="J1901" s="2">
        <f t="shared" si="14"/>
        <v>-2236987</v>
      </c>
      <c r="K1901" s="2">
        <f t="shared" si="15"/>
        <v>-2.2298328510636505E-2</v>
      </c>
      <c r="L1901" s="2" t="str">
        <f>IF(ISNUMBER(SEARCH("|",IMDB_Movies!$D1901)),LEFT(IMDB_Movies!$D1901,SEARCH("|",IMDB_Movies!$D1901)-1),IMDB_Movies!$D1901)</f>
        <v>Adventure</v>
      </c>
      <c r="V1901" s="2"/>
      <c r="W1901" s="2"/>
    </row>
    <row r="1902" spans="1:23" ht="12.5" x14ac:dyDescent="0.25">
      <c r="A1902" s="2" t="s">
        <v>3329</v>
      </c>
      <c r="B1902" s="2">
        <v>98</v>
      </c>
      <c r="C1902" s="2">
        <v>12782508</v>
      </c>
      <c r="D1902" s="2" t="s">
        <v>1180</v>
      </c>
      <c r="E1902" s="2" t="s">
        <v>3330</v>
      </c>
      <c r="F1902" s="2" t="s">
        <v>14</v>
      </c>
      <c r="G1902" s="2" t="s">
        <v>15</v>
      </c>
      <c r="H1902" s="2">
        <v>23000000</v>
      </c>
      <c r="I1902" s="2">
        <v>6.7</v>
      </c>
      <c r="J1902" s="2">
        <f t="shared" si="14"/>
        <v>-10217492</v>
      </c>
      <c r="K1902" s="2">
        <f t="shared" si="15"/>
        <v>-2.2298501525912309E-2</v>
      </c>
      <c r="L1902" s="2" t="str">
        <f>IF(ISNUMBER(SEARCH("|",IMDB_Movies!$D1902)),LEFT(IMDB_Movies!$D1902,SEARCH("|",IMDB_Movies!$D1902)-1),IMDB_Movies!$D1902)</f>
        <v>Drama</v>
      </c>
      <c r="V1902" s="2"/>
      <c r="W1902" s="2"/>
    </row>
    <row r="1903" spans="1:23" ht="12.5" x14ac:dyDescent="0.25">
      <c r="A1903" s="2" t="s">
        <v>3331</v>
      </c>
      <c r="B1903" s="2">
        <v>94</v>
      </c>
      <c r="C1903" s="2">
        <v>11508423</v>
      </c>
      <c r="D1903" s="2" t="s">
        <v>3332</v>
      </c>
      <c r="E1903" s="2" t="s">
        <v>3333</v>
      </c>
      <c r="F1903" s="2" t="s">
        <v>14</v>
      </c>
      <c r="G1903" s="2" t="s">
        <v>15</v>
      </c>
      <c r="H1903" s="2">
        <v>23000000</v>
      </c>
      <c r="I1903" s="2">
        <v>5.0999999999999996</v>
      </c>
      <c r="J1903" s="2">
        <f t="shared" si="14"/>
        <v>-11491577</v>
      </c>
      <c r="K1903" s="2">
        <f t="shared" si="15"/>
        <v>-2.2300011014841612E-2</v>
      </c>
      <c r="L1903" s="2" t="str">
        <f>IF(ISNUMBER(SEARCH("|",IMDB_Movies!$D1903)),LEFT(IMDB_Movies!$D1903,SEARCH("|",IMDB_Movies!$D1903)-1),IMDB_Movies!$D1903)</f>
        <v>Biography</v>
      </c>
      <c r="V1903" s="2"/>
      <c r="W1903" s="2"/>
    </row>
    <row r="1904" spans="1:23" ht="12.5" x14ac:dyDescent="0.25">
      <c r="A1904" s="2" t="s">
        <v>1715</v>
      </c>
      <c r="B1904" s="2">
        <v>102</v>
      </c>
      <c r="C1904" s="2">
        <v>10660147</v>
      </c>
      <c r="D1904" s="2" t="s">
        <v>85</v>
      </c>
      <c r="E1904" s="2" t="s">
        <v>3334</v>
      </c>
      <c r="F1904" s="2" t="s">
        <v>14</v>
      </c>
      <c r="G1904" s="2" t="s">
        <v>22</v>
      </c>
      <c r="H1904" s="2">
        <v>23000000</v>
      </c>
      <c r="I1904" s="2">
        <v>7.2</v>
      </c>
      <c r="J1904" s="2">
        <f t="shared" si="14"/>
        <v>-12339853</v>
      </c>
      <c r="K1904" s="2">
        <f t="shared" si="15"/>
        <v>-2.2301790577025891E-2</v>
      </c>
      <c r="L1904" s="2" t="str">
        <f>IF(ISNUMBER(SEARCH("|",IMDB_Movies!$D1904)),LEFT(IMDB_Movies!$D1904,SEARCH("|",IMDB_Movies!$D1904)-1),IMDB_Movies!$D1904)</f>
        <v>Drama</v>
      </c>
      <c r="V1904" s="2"/>
      <c r="W1904" s="2"/>
    </row>
    <row r="1905" spans="1:23" ht="12.5" x14ac:dyDescent="0.25">
      <c r="A1905" s="2" t="s">
        <v>1996</v>
      </c>
      <c r="B1905" s="2">
        <v>98</v>
      </c>
      <c r="C1905" s="2">
        <v>7434726</v>
      </c>
      <c r="D1905" s="2" t="s">
        <v>3335</v>
      </c>
      <c r="E1905" s="2" t="s">
        <v>3336</v>
      </c>
      <c r="F1905" s="2" t="s">
        <v>14</v>
      </c>
      <c r="G1905" s="2" t="s">
        <v>15</v>
      </c>
      <c r="H1905" s="2">
        <v>23000000</v>
      </c>
      <c r="I1905" s="2">
        <v>6</v>
      </c>
      <c r="J1905" s="2">
        <f t="shared" si="14"/>
        <v>-15565274</v>
      </c>
      <c r="K1905" s="2">
        <f t="shared" si="15"/>
        <v>-2.2303759328517546E-2</v>
      </c>
      <c r="L1905" s="2" t="str">
        <f>IF(ISNUMBER(SEARCH("|",IMDB_Movies!$D1905)),LEFT(IMDB_Movies!$D1905,SEARCH("|",IMDB_Movies!$D1905)-1),IMDB_Movies!$D1905)</f>
        <v>Action</v>
      </c>
      <c r="V1905" s="2"/>
      <c r="W1905" s="2"/>
    </row>
    <row r="1906" spans="1:23" ht="12.5" x14ac:dyDescent="0.25">
      <c r="A1906" s="2" t="s">
        <v>3337</v>
      </c>
      <c r="B1906" s="2">
        <v>111</v>
      </c>
      <c r="C1906" s="2">
        <v>6109075</v>
      </c>
      <c r="D1906" s="2" t="s">
        <v>555</v>
      </c>
      <c r="E1906" s="2" t="s">
        <v>3338</v>
      </c>
      <c r="F1906" s="2" t="s">
        <v>1006</v>
      </c>
      <c r="G1906" s="2" t="s">
        <v>686</v>
      </c>
      <c r="H1906" s="2">
        <v>19430000</v>
      </c>
      <c r="I1906" s="2">
        <v>6.7</v>
      </c>
      <c r="J1906" s="2">
        <f t="shared" si="14"/>
        <v>-13320925</v>
      </c>
      <c r="K1906" s="2">
        <f t="shared" si="15"/>
        <v>-2.2306503779316589E-2</v>
      </c>
      <c r="L1906" s="2" t="str">
        <f>IF(ISNUMBER(SEARCH("|",IMDB_Movies!$D1906)),LEFT(IMDB_Movies!$D1906,SEARCH("|",IMDB_Movies!$D1906)-1),IMDB_Movies!$D1906)</f>
        <v>Biography</v>
      </c>
      <c r="V1906" s="2"/>
      <c r="W1906" s="2"/>
    </row>
    <row r="1907" spans="1:23" ht="12.5" x14ac:dyDescent="0.25">
      <c r="A1907" s="2" t="s">
        <v>1900</v>
      </c>
      <c r="B1907" s="2">
        <v>100</v>
      </c>
      <c r="C1907" s="2">
        <v>2708188</v>
      </c>
      <c r="D1907" s="2" t="s">
        <v>514</v>
      </c>
      <c r="E1907" s="2" t="s">
        <v>3339</v>
      </c>
      <c r="F1907" s="2" t="s">
        <v>14</v>
      </c>
      <c r="G1907" s="2" t="s">
        <v>22</v>
      </c>
      <c r="H1907" s="2">
        <v>23000000</v>
      </c>
      <c r="I1907" s="2">
        <v>6.2</v>
      </c>
      <c r="J1907" s="2">
        <f t="shared" si="14"/>
        <v>-20291812</v>
      </c>
      <c r="K1907" s="2">
        <f t="shared" si="15"/>
        <v>-2.2312317144762416E-2</v>
      </c>
      <c r="L1907" s="2" t="str">
        <f>IF(ISNUMBER(SEARCH("|",IMDB_Movies!$D1907)),LEFT(IMDB_Movies!$D1907,SEARCH("|",IMDB_Movies!$D1907)-1),IMDB_Movies!$D1907)</f>
        <v>Comedy</v>
      </c>
      <c r="V1907" s="2"/>
      <c r="W1907" s="2"/>
    </row>
    <row r="1908" spans="1:23" ht="12.5" x14ac:dyDescent="0.25">
      <c r="A1908" s="2" t="s">
        <v>3340</v>
      </c>
      <c r="B1908" s="2">
        <v>141</v>
      </c>
      <c r="C1908" s="2">
        <v>16123851</v>
      </c>
      <c r="D1908" s="2" t="s">
        <v>1180</v>
      </c>
      <c r="E1908" s="2" t="s">
        <v>3341</v>
      </c>
      <c r="F1908" s="2" t="s">
        <v>14</v>
      </c>
      <c r="G1908" s="2" t="s">
        <v>15</v>
      </c>
      <c r="H1908" s="2">
        <v>23000000</v>
      </c>
      <c r="I1908" s="2">
        <v>6.2</v>
      </c>
      <c r="J1908" s="2">
        <f t="shared" si="14"/>
        <v>-6876149</v>
      </c>
      <c r="K1908" s="2">
        <f t="shared" si="15"/>
        <v>-2.231638059677888E-2</v>
      </c>
      <c r="L1908" s="2" t="str">
        <f>IF(ISNUMBER(SEARCH("|",IMDB_Movies!$D1908)),LEFT(IMDB_Movies!$D1908,SEARCH("|",IMDB_Movies!$D1908)-1),IMDB_Movies!$D1908)</f>
        <v>Drama</v>
      </c>
      <c r="V1908" s="2"/>
      <c r="W1908" s="2"/>
    </row>
    <row r="1909" spans="1:23" ht="12.5" x14ac:dyDescent="0.25">
      <c r="A1909" s="2" t="s">
        <v>1221</v>
      </c>
      <c r="B1909" s="2">
        <v>114</v>
      </c>
      <c r="C1909" s="2">
        <v>71975611</v>
      </c>
      <c r="D1909" s="2" t="s">
        <v>2465</v>
      </c>
      <c r="E1909" s="2" t="s">
        <v>3342</v>
      </c>
      <c r="F1909" s="2" t="s">
        <v>14</v>
      </c>
      <c r="G1909" s="2" t="s">
        <v>15</v>
      </c>
      <c r="H1909" s="2">
        <v>25000000</v>
      </c>
      <c r="I1909" s="2">
        <v>6.8</v>
      </c>
      <c r="J1909" s="2">
        <f t="shared" si="14"/>
        <v>46975611</v>
      </c>
      <c r="K1909" s="2">
        <f t="shared" si="15"/>
        <v>-2.2317269188239265E-2</v>
      </c>
      <c r="L1909" s="2" t="str">
        <f>IF(ISNUMBER(SEARCH("|",IMDB_Movies!$D1909)),LEFT(IMDB_Movies!$D1909,SEARCH("|",IMDB_Movies!$D1909)-1),IMDB_Movies!$D1909)</f>
        <v>Fantasy</v>
      </c>
      <c r="V1909" s="2"/>
      <c r="W1909" s="2"/>
    </row>
    <row r="1910" spans="1:23" ht="12.5" x14ac:dyDescent="0.25">
      <c r="A1910" s="2" t="s">
        <v>3343</v>
      </c>
      <c r="B1910" s="2">
        <v>96</v>
      </c>
      <c r="C1910" s="2">
        <v>38119483</v>
      </c>
      <c r="D1910" s="2" t="s">
        <v>670</v>
      </c>
      <c r="E1910" s="2" t="s">
        <v>3344</v>
      </c>
      <c r="F1910" s="2" t="s">
        <v>14</v>
      </c>
      <c r="G1910" s="2" t="s">
        <v>15</v>
      </c>
      <c r="H1910" s="2">
        <v>22700000</v>
      </c>
      <c r="I1910" s="2">
        <v>7.1</v>
      </c>
      <c r="J1910" s="2">
        <f t="shared" si="14"/>
        <v>15419483</v>
      </c>
      <c r="K1910" s="2">
        <f t="shared" si="15"/>
        <v>-2.2327676794188688E-2</v>
      </c>
      <c r="L1910" s="2" t="str">
        <f>IF(ISNUMBER(SEARCH("|",IMDB_Movies!$D1910)),LEFT(IMDB_Movies!$D1910,SEARCH("|",IMDB_Movies!$D1910)-1),IMDB_Movies!$D1910)</f>
        <v>Adventure</v>
      </c>
      <c r="V1910" s="2"/>
      <c r="W1910" s="2"/>
    </row>
    <row r="1911" spans="1:23" ht="12.5" x14ac:dyDescent="0.25">
      <c r="A1911" s="2" t="s">
        <v>3345</v>
      </c>
      <c r="B1911" s="2">
        <v>111</v>
      </c>
      <c r="C1911" s="2">
        <v>4190530</v>
      </c>
      <c r="D1911" s="2" t="s">
        <v>1175</v>
      </c>
      <c r="E1911" s="2" t="s">
        <v>3346</v>
      </c>
      <c r="F1911" s="2" t="s">
        <v>14</v>
      </c>
      <c r="G1911" s="2" t="s">
        <v>135</v>
      </c>
      <c r="H1911" s="2">
        <v>22500000</v>
      </c>
      <c r="I1911" s="2">
        <v>7.1</v>
      </c>
      <c r="J1911" s="2">
        <f t="shared" si="14"/>
        <v>-18309470</v>
      </c>
      <c r="K1911" s="2">
        <f t="shared" si="15"/>
        <v>-2.2326757702152443E-2</v>
      </c>
      <c r="L1911" s="2" t="str">
        <f>IF(ISNUMBER(SEARCH("|",IMDB_Movies!$D1911)),LEFT(IMDB_Movies!$D1911,SEARCH("|",IMDB_Movies!$D1911)-1),IMDB_Movies!$D1911)</f>
        <v>Drama</v>
      </c>
      <c r="V1911" s="2"/>
      <c r="W1911" s="2"/>
    </row>
    <row r="1912" spans="1:23" ht="12.5" x14ac:dyDescent="0.25">
      <c r="A1912" s="2" t="s">
        <v>1084</v>
      </c>
      <c r="B1912" s="2">
        <v>127</v>
      </c>
      <c r="C1912" s="2">
        <v>217631306</v>
      </c>
      <c r="D1912" s="2" t="s">
        <v>3347</v>
      </c>
      <c r="E1912" s="2" t="s">
        <v>3348</v>
      </c>
      <c r="F1912" s="2" t="s">
        <v>14</v>
      </c>
      <c r="G1912" s="2" t="s">
        <v>15</v>
      </c>
      <c r="H1912" s="2">
        <v>22000000</v>
      </c>
      <c r="I1912" s="2">
        <v>7</v>
      </c>
      <c r="J1912" s="2">
        <f t="shared" si="14"/>
        <v>195631306</v>
      </c>
      <c r="K1912" s="2">
        <f t="shared" si="15"/>
        <v>-2.2330815809900661E-2</v>
      </c>
      <c r="L1912" s="2" t="str">
        <f>IF(ISNUMBER(SEARCH("|",IMDB_Movies!$D1912)),LEFT(IMDB_Movies!$D1912,SEARCH("|",IMDB_Movies!$D1912)-1),IMDB_Movies!$D1912)</f>
        <v>Drama</v>
      </c>
      <c r="V1912" s="2"/>
      <c r="W1912" s="2"/>
    </row>
    <row r="1913" spans="1:23" ht="12.5" x14ac:dyDescent="0.25">
      <c r="A1913" s="2" t="s">
        <v>1211</v>
      </c>
      <c r="B1913" s="2">
        <v>107</v>
      </c>
      <c r="C1913" s="2">
        <v>176483808</v>
      </c>
      <c r="D1913" s="2" t="s">
        <v>600</v>
      </c>
      <c r="E1913" s="2" t="s">
        <v>3349</v>
      </c>
      <c r="F1913" s="2" t="s">
        <v>14</v>
      </c>
      <c r="G1913" s="2" t="s">
        <v>15</v>
      </c>
      <c r="H1913" s="2">
        <v>23000000</v>
      </c>
      <c r="I1913" s="2">
        <v>7.1</v>
      </c>
      <c r="J1913" s="2">
        <f t="shared" si="14"/>
        <v>153483808</v>
      </c>
      <c r="K1913" s="2">
        <f t="shared" si="15"/>
        <v>-2.2478839859064372E-2</v>
      </c>
      <c r="L1913" s="2" t="str">
        <f>IF(ISNUMBER(SEARCH("|",IMDB_Movies!$D1913)),LEFT(IMDB_Movies!$D1913,SEARCH("|",IMDB_Movies!$D1913)-1),IMDB_Movies!$D1913)</f>
        <v>Comedy</v>
      </c>
      <c r="V1913" s="2"/>
      <c r="W1913" s="2"/>
    </row>
    <row r="1914" spans="1:23" ht="12.5" x14ac:dyDescent="0.25">
      <c r="A1914" s="2" t="s">
        <v>1444</v>
      </c>
      <c r="B1914" s="2">
        <v>97</v>
      </c>
      <c r="C1914" s="2">
        <v>144833357</v>
      </c>
      <c r="D1914" s="2" t="s">
        <v>1635</v>
      </c>
      <c r="E1914" s="2" t="s">
        <v>3350</v>
      </c>
      <c r="F1914" s="2" t="s">
        <v>14</v>
      </c>
      <c r="G1914" s="2" t="s">
        <v>15</v>
      </c>
      <c r="H1914" s="2">
        <v>22000000</v>
      </c>
      <c r="I1914" s="2">
        <v>6.4</v>
      </c>
      <c r="J1914" s="2">
        <f t="shared" si="14"/>
        <v>122833357</v>
      </c>
      <c r="K1914" s="2">
        <f t="shared" si="15"/>
        <v>-2.2575163751685983E-2</v>
      </c>
      <c r="L1914" s="2" t="str">
        <f>IF(ISNUMBER(SEARCH("|",IMDB_Movies!$D1914)),LEFT(IMDB_Movies!$D1914,SEARCH("|",IMDB_Movies!$D1914)-1),IMDB_Movies!$D1914)</f>
        <v>Comedy</v>
      </c>
      <c r="V1914" s="2"/>
      <c r="W1914" s="2"/>
    </row>
    <row r="1915" spans="1:23" ht="12.5" x14ac:dyDescent="0.25">
      <c r="A1915" s="2" t="s">
        <v>739</v>
      </c>
      <c r="B1915" s="2">
        <v>127</v>
      </c>
      <c r="C1915" s="2">
        <v>75597042</v>
      </c>
      <c r="D1915" s="2" t="s">
        <v>2630</v>
      </c>
      <c r="E1915" s="2" t="s">
        <v>3351</v>
      </c>
      <c r="F1915" s="2" t="s">
        <v>14</v>
      </c>
      <c r="G1915" s="2" t="s">
        <v>15</v>
      </c>
      <c r="H1915" s="2">
        <v>20000000</v>
      </c>
      <c r="I1915" s="2">
        <v>7</v>
      </c>
      <c r="J1915" s="2">
        <f t="shared" si="14"/>
        <v>55597042</v>
      </c>
      <c r="K1915" s="2">
        <f t="shared" si="15"/>
        <v>-2.2628003369653399E-2</v>
      </c>
      <c r="L1915" s="2" t="str">
        <f>IF(ISNUMBER(SEARCH("|",IMDB_Movies!$D1915)),LEFT(IMDB_Movies!$D1915,SEARCH("|",IMDB_Movies!$D1915)-1),IMDB_Movies!$D1915)</f>
        <v>Drama</v>
      </c>
      <c r="V1915" s="2"/>
      <c r="W1915" s="2"/>
    </row>
    <row r="1916" spans="1:23" ht="12.5" x14ac:dyDescent="0.25">
      <c r="A1916" s="2" t="s">
        <v>1743</v>
      </c>
      <c r="B1916" s="2">
        <v>110</v>
      </c>
      <c r="C1916" s="2">
        <v>90636983</v>
      </c>
      <c r="D1916" s="2" t="s">
        <v>2612</v>
      </c>
      <c r="E1916" s="2" t="s">
        <v>3352</v>
      </c>
      <c r="F1916" s="2" t="s">
        <v>14</v>
      </c>
      <c r="G1916" s="2" t="s">
        <v>15</v>
      </c>
      <c r="H1916" s="2">
        <v>22000000</v>
      </c>
      <c r="I1916" s="2">
        <v>6.2</v>
      </c>
      <c r="J1916" s="2">
        <f t="shared" si="14"/>
        <v>68636983</v>
      </c>
      <c r="K1916" s="2">
        <f t="shared" si="15"/>
        <v>-2.2627887956761031E-2</v>
      </c>
      <c r="L1916" s="2" t="str">
        <f>IF(ISNUMBER(SEARCH("|",IMDB_Movies!$D1916)),LEFT(IMDB_Movies!$D1916,SEARCH("|",IMDB_Movies!$D1916)-1),IMDB_Movies!$D1916)</f>
        <v>Comedy</v>
      </c>
      <c r="V1916" s="2"/>
      <c r="W1916" s="2"/>
    </row>
    <row r="1917" spans="1:23" ht="12.5" x14ac:dyDescent="0.25">
      <c r="A1917" s="2" t="s">
        <v>1279</v>
      </c>
      <c r="B1917" s="2">
        <v>135</v>
      </c>
      <c r="C1917" s="2">
        <v>70960517</v>
      </c>
      <c r="D1917" s="2" t="s">
        <v>85</v>
      </c>
      <c r="E1917" s="2" t="s">
        <v>3353</v>
      </c>
      <c r="F1917" s="2" t="s">
        <v>14</v>
      </c>
      <c r="G1917" s="2" t="s">
        <v>15</v>
      </c>
      <c r="H1917" s="2">
        <v>35000000</v>
      </c>
      <c r="I1917" s="2">
        <v>7.5</v>
      </c>
      <c r="J1917" s="2">
        <f t="shared" si="14"/>
        <v>35960517</v>
      </c>
      <c r="K1917" s="2">
        <f t="shared" si="15"/>
        <v>-2.2639457699331147E-2</v>
      </c>
      <c r="L1917" s="2" t="str">
        <f>IF(ISNUMBER(SEARCH("|",IMDB_Movies!$D1917)),LEFT(IMDB_Movies!$D1917,SEARCH("|",IMDB_Movies!$D1917)-1),IMDB_Movies!$D1917)</f>
        <v>Drama</v>
      </c>
      <c r="V1917" s="2"/>
      <c r="W1917" s="2"/>
    </row>
    <row r="1918" spans="1:23" ht="12.5" x14ac:dyDescent="0.25">
      <c r="A1918" s="2" t="s">
        <v>2472</v>
      </c>
      <c r="B1918" s="2">
        <v>84</v>
      </c>
      <c r="C1918" s="2">
        <v>55762229</v>
      </c>
      <c r="D1918" s="2" t="s">
        <v>1858</v>
      </c>
      <c r="E1918" s="2" t="s">
        <v>3354</v>
      </c>
      <c r="F1918" s="2" t="s">
        <v>14</v>
      </c>
      <c r="G1918" s="2" t="s">
        <v>15</v>
      </c>
      <c r="H1918" s="2">
        <v>22000000</v>
      </c>
      <c r="I1918" s="2">
        <v>4.8</v>
      </c>
      <c r="J1918" s="2">
        <f t="shared" si="14"/>
        <v>33762229</v>
      </c>
      <c r="K1918" s="2">
        <f t="shared" si="15"/>
        <v>-2.2673824374336456E-2</v>
      </c>
      <c r="L1918" s="2" t="str">
        <f>IF(ISNUMBER(SEARCH("|",IMDB_Movies!$D1918)),LEFT(IMDB_Movies!$D1918,SEARCH("|",IMDB_Movies!$D1918)-1),IMDB_Movies!$D1918)</f>
        <v>Comedy</v>
      </c>
      <c r="V1918" s="2"/>
      <c r="W1918" s="2"/>
    </row>
    <row r="1919" spans="1:23" ht="12.5" x14ac:dyDescent="0.25">
      <c r="A1919" s="2" t="s">
        <v>2527</v>
      </c>
      <c r="B1919" s="2">
        <v>122</v>
      </c>
      <c r="C1919" s="2">
        <v>54235441</v>
      </c>
      <c r="D1919" s="2" t="s">
        <v>891</v>
      </c>
      <c r="E1919" s="2" t="s">
        <v>3355</v>
      </c>
      <c r="F1919" s="2" t="s">
        <v>14</v>
      </c>
      <c r="G1919" s="2" t="s">
        <v>15</v>
      </c>
      <c r="H1919" s="2">
        <v>22000000</v>
      </c>
      <c r="I1919" s="2">
        <v>7.3</v>
      </c>
      <c r="J1919" s="2">
        <f t="shared" si="14"/>
        <v>32235441</v>
      </c>
      <c r="K1919" s="2">
        <f t="shared" si="15"/>
        <v>-2.2673765281546378E-2</v>
      </c>
      <c r="L1919" s="2" t="str">
        <f>IF(ISNUMBER(SEARCH("|",IMDB_Movies!$D1919)),LEFT(IMDB_Movies!$D1919,SEARCH("|",IMDB_Movies!$D1919)-1),IMDB_Movies!$D1919)</f>
        <v>Comedy</v>
      </c>
      <c r="V1919" s="2"/>
      <c r="W1919" s="2"/>
    </row>
    <row r="1920" spans="1:23" ht="12.5" x14ac:dyDescent="0.25">
      <c r="A1920" s="2" t="s">
        <v>2237</v>
      </c>
      <c r="B1920" s="2">
        <v>114</v>
      </c>
      <c r="C1920" s="2">
        <v>50728000</v>
      </c>
      <c r="D1920" s="2" t="s">
        <v>845</v>
      </c>
      <c r="E1920" s="2" t="s">
        <v>3356</v>
      </c>
      <c r="F1920" s="2" t="s">
        <v>14</v>
      </c>
      <c r="G1920" s="2" t="s">
        <v>15</v>
      </c>
      <c r="H1920" s="2">
        <v>22000000</v>
      </c>
      <c r="I1920" s="2">
        <v>5.8</v>
      </c>
      <c r="J1920" s="2">
        <f t="shared" si="14"/>
        <v>28728000</v>
      </c>
      <c r="K1920" s="2">
        <f t="shared" si="15"/>
        <v>-2.2673466238888454E-2</v>
      </c>
      <c r="L1920" s="2" t="str">
        <f>IF(ISNUMBER(SEARCH("|",IMDB_Movies!$D1920)),LEFT(IMDB_Movies!$D1920,SEARCH("|",IMDB_Movies!$D1920)-1),IMDB_Movies!$D1920)</f>
        <v>Action</v>
      </c>
      <c r="V1920" s="2"/>
      <c r="W1920" s="2"/>
    </row>
    <row r="1921" spans="1:23" ht="12.5" x14ac:dyDescent="0.25">
      <c r="A1921" s="2" t="s">
        <v>3357</v>
      </c>
      <c r="B1921" s="2">
        <v>132</v>
      </c>
      <c r="C1921" s="2">
        <v>40270895</v>
      </c>
      <c r="D1921" s="2" t="s">
        <v>1180</v>
      </c>
      <c r="E1921" s="2" t="s">
        <v>3358</v>
      </c>
      <c r="F1921" s="2" t="s">
        <v>14</v>
      </c>
      <c r="G1921" s="2" t="s">
        <v>15</v>
      </c>
      <c r="H1921" s="2">
        <v>22000000</v>
      </c>
      <c r="I1921" s="2">
        <v>7.6</v>
      </c>
      <c r="J1921" s="2">
        <f t="shared" si="14"/>
        <v>18270895</v>
      </c>
      <c r="K1921" s="2">
        <f t="shared" si="15"/>
        <v>-2.2672700104207591E-2</v>
      </c>
      <c r="L1921" s="2" t="str">
        <f>IF(ISNUMBER(SEARCH("|",IMDB_Movies!$D1921)),LEFT(IMDB_Movies!$D1921,SEARCH("|",IMDB_Movies!$D1921)-1),IMDB_Movies!$D1921)</f>
        <v>Drama</v>
      </c>
      <c r="V1921" s="2"/>
      <c r="W1921" s="2"/>
    </row>
    <row r="1922" spans="1:23" ht="12.5" x14ac:dyDescent="0.25">
      <c r="A1922" s="2" t="s">
        <v>3359</v>
      </c>
      <c r="B1922" s="2">
        <v>170</v>
      </c>
      <c r="C1922" s="2">
        <v>59696176</v>
      </c>
      <c r="D1922" s="2" t="s">
        <v>2000</v>
      </c>
      <c r="E1922" s="2" t="s">
        <v>3360</v>
      </c>
      <c r="F1922" s="2" t="s">
        <v>14</v>
      </c>
      <c r="G1922" s="2" t="s">
        <v>15</v>
      </c>
      <c r="H1922" s="2">
        <v>22000000</v>
      </c>
      <c r="I1922" s="2">
        <v>5.6</v>
      </c>
      <c r="J1922" s="2">
        <f t="shared" si="14"/>
        <v>37696176</v>
      </c>
      <c r="K1922" s="2">
        <f t="shared" si="15"/>
        <v>-2.2671257847481596E-2</v>
      </c>
      <c r="L1922" s="2" t="str">
        <f>IF(ISNUMBER(SEARCH("|",IMDB_Movies!$D1922)),LEFT(IMDB_Movies!$D1922,SEARCH("|",IMDB_Movies!$D1922)-1),IMDB_Movies!$D1922)</f>
        <v>Biography</v>
      </c>
      <c r="V1922" s="2"/>
      <c r="W1922" s="2"/>
    </row>
    <row r="1923" spans="1:23" ht="12.5" x14ac:dyDescent="0.25">
      <c r="A1923" s="2" t="s">
        <v>578</v>
      </c>
      <c r="B1923" s="2">
        <v>133</v>
      </c>
      <c r="C1923" s="2">
        <v>51483949</v>
      </c>
      <c r="D1923" s="2" t="s">
        <v>495</v>
      </c>
      <c r="E1923" s="2" t="s">
        <v>3361</v>
      </c>
      <c r="F1923" s="2" t="s">
        <v>14</v>
      </c>
      <c r="G1923" s="2" t="s">
        <v>22</v>
      </c>
      <c r="H1923" s="2">
        <v>22000000</v>
      </c>
      <c r="I1923" s="2">
        <v>7</v>
      </c>
      <c r="J1923" s="2">
        <f t="shared" si="14"/>
        <v>29483949</v>
      </c>
      <c r="K1923" s="2">
        <f t="shared" si="15"/>
        <v>-2.267192915381774E-2</v>
      </c>
      <c r="L1923" s="2" t="str">
        <f>IF(ISNUMBER(SEARCH("|",IMDB_Movies!$D1923)),LEFT(IMDB_Movies!$D1923,SEARCH("|",IMDB_Movies!$D1923)-1),IMDB_Movies!$D1923)</f>
        <v>Action</v>
      </c>
      <c r="V1923" s="2"/>
      <c r="W1923" s="2"/>
    </row>
    <row r="1924" spans="1:23" ht="12.5" x14ac:dyDescent="0.25">
      <c r="A1924" s="2" t="s">
        <v>1221</v>
      </c>
      <c r="B1924" s="2">
        <v>112</v>
      </c>
      <c r="C1924" s="2">
        <v>36020063</v>
      </c>
      <c r="D1924" s="2" t="s">
        <v>1400</v>
      </c>
      <c r="E1924" s="2" t="s">
        <v>3362</v>
      </c>
      <c r="F1924" s="2" t="s">
        <v>14</v>
      </c>
      <c r="G1924" s="2" t="s">
        <v>15</v>
      </c>
      <c r="H1924" s="2">
        <v>22000000</v>
      </c>
      <c r="I1924" s="2">
        <v>6.6</v>
      </c>
      <c r="J1924" s="2">
        <f t="shared" si="14"/>
        <v>14020063</v>
      </c>
      <c r="K1924" s="2">
        <f t="shared" si="15"/>
        <v>-2.2671252960637007E-2</v>
      </c>
      <c r="L1924" s="2" t="str">
        <f>IF(ISNUMBER(SEARCH("|",IMDB_Movies!$D1924)),LEFT(IMDB_Movies!$D1924,SEARCH("|",IMDB_Movies!$D1924)-1),IMDB_Movies!$D1924)</f>
        <v>Drama</v>
      </c>
      <c r="V1924" s="2"/>
      <c r="W1924" s="2"/>
    </row>
    <row r="1925" spans="1:23" ht="12.5" x14ac:dyDescent="0.25">
      <c r="A1925" s="2" t="s">
        <v>549</v>
      </c>
      <c r="B1925" s="2">
        <v>108</v>
      </c>
      <c r="C1925" s="2">
        <v>33313582</v>
      </c>
      <c r="D1925" s="2" t="s">
        <v>1802</v>
      </c>
      <c r="E1925" s="2" t="s">
        <v>3363</v>
      </c>
      <c r="F1925" s="2" t="s">
        <v>14</v>
      </c>
      <c r="G1925" s="2" t="s">
        <v>15</v>
      </c>
      <c r="H1925" s="2">
        <v>21000000</v>
      </c>
      <c r="I1925" s="2">
        <v>6.5</v>
      </c>
      <c r="J1925" s="2">
        <f t="shared" si="14"/>
        <v>12313582</v>
      </c>
      <c r="K1925" s="2">
        <f t="shared" si="15"/>
        <v>-2.2669838775688712E-2</v>
      </c>
      <c r="L1925" s="2" t="str">
        <f>IF(ISNUMBER(SEARCH("|",IMDB_Movies!$D1925)),LEFT(IMDB_Movies!$D1925,SEARCH("|",IMDB_Movies!$D1925)-1),IMDB_Movies!$D1925)</f>
        <v>Comedy</v>
      </c>
      <c r="V1925" s="2"/>
      <c r="W1925" s="2"/>
    </row>
    <row r="1926" spans="1:23" ht="12.5" x14ac:dyDescent="0.25">
      <c r="A1926" s="2" t="s">
        <v>2891</v>
      </c>
      <c r="B1926" s="2">
        <v>115</v>
      </c>
      <c r="C1926" s="2">
        <v>25842000</v>
      </c>
      <c r="D1926" s="2" t="s">
        <v>2124</v>
      </c>
      <c r="E1926" s="2" t="s">
        <v>3364</v>
      </c>
      <c r="F1926" s="2" t="s">
        <v>14</v>
      </c>
      <c r="G1926" s="2" t="s">
        <v>22</v>
      </c>
      <c r="H1926" s="2">
        <v>22000000</v>
      </c>
      <c r="I1926" s="2">
        <v>7.4</v>
      </c>
      <c r="J1926" s="2">
        <f t="shared" si="14"/>
        <v>3842000</v>
      </c>
      <c r="K1926" s="2">
        <f t="shared" si="15"/>
        <v>-2.2667977239466706E-2</v>
      </c>
      <c r="L1926" s="2" t="str">
        <f>IF(ISNUMBER(SEARCH("|",IMDB_Movies!$D1926)),LEFT(IMDB_Movies!$D1926,SEARCH("|",IMDB_Movies!$D1926)-1),IMDB_Movies!$D1926)</f>
        <v>Biography</v>
      </c>
      <c r="V1926" s="2"/>
      <c r="W1926" s="2"/>
    </row>
    <row r="1927" spans="1:23" ht="12.5" x14ac:dyDescent="0.25">
      <c r="A1927" s="2" t="s">
        <v>3365</v>
      </c>
      <c r="B1927" s="2">
        <v>83</v>
      </c>
      <c r="C1927" s="2">
        <v>22264487</v>
      </c>
      <c r="D1927" s="2" t="s">
        <v>709</v>
      </c>
      <c r="E1927" s="2" t="s">
        <v>3366</v>
      </c>
      <c r="F1927" s="2" t="s">
        <v>14</v>
      </c>
      <c r="G1927" s="2" t="s">
        <v>15</v>
      </c>
      <c r="H1927" s="2">
        <v>22000000</v>
      </c>
      <c r="I1927" s="2">
        <v>4.5999999999999996</v>
      </c>
      <c r="J1927" s="2">
        <f t="shared" si="14"/>
        <v>264487</v>
      </c>
      <c r="K1927" s="2">
        <f t="shared" si="15"/>
        <v>-2.2667362787573194E-2</v>
      </c>
      <c r="L1927" s="2" t="str">
        <f>IF(ISNUMBER(SEARCH("|",IMDB_Movies!$D1927)),LEFT(IMDB_Movies!$D1927,SEARCH("|",IMDB_Movies!$D1927)-1),IMDB_Movies!$D1927)</f>
        <v>Comedy</v>
      </c>
      <c r="V1927" s="2"/>
      <c r="W1927" s="2"/>
    </row>
    <row r="1928" spans="1:23" ht="12.5" x14ac:dyDescent="0.25">
      <c r="A1928" s="2" t="s">
        <v>2558</v>
      </c>
      <c r="B1928" s="2">
        <v>105</v>
      </c>
      <c r="C1928" s="2">
        <v>30659817</v>
      </c>
      <c r="D1928" s="2" t="s">
        <v>891</v>
      </c>
      <c r="E1928" s="2" t="s">
        <v>3367</v>
      </c>
      <c r="F1928" s="2" t="s">
        <v>14</v>
      </c>
      <c r="G1928" s="2" t="s">
        <v>15</v>
      </c>
      <c r="H1928" s="2">
        <v>26000000</v>
      </c>
      <c r="I1928" s="2">
        <v>6.4</v>
      </c>
      <c r="J1928" s="2">
        <f t="shared" si="14"/>
        <v>4659817</v>
      </c>
      <c r="K1928" s="2">
        <f t="shared" si="15"/>
        <v>-2.2667273085468329E-2</v>
      </c>
      <c r="L1928" s="2" t="str">
        <f>IF(ISNUMBER(SEARCH("|",IMDB_Movies!$D1928)),LEFT(IMDB_Movies!$D1928,SEARCH("|",IMDB_Movies!$D1928)-1),IMDB_Movies!$D1928)</f>
        <v>Comedy</v>
      </c>
      <c r="V1928" s="2"/>
      <c r="W1928" s="2"/>
    </row>
    <row r="1929" spans="1:23" ht="12.5" x14ac:dyDescent="0.25">
      <c r="A1929" s="2" t="s">
        <v>781</v>
      </c>
      <c r="B1929" s="2">
        <v>96</v>
      </c>
      <c r="C1929" s="2">
        <v>19351569</v>
      </c>
      <c r="D1929" s="2" t="s">
        <v>1464</v>
      </c>
      <c r="E1929" s="2" t="s">
        <v>3368</v>
      </c>
      <c r="F1929" s="2" t="s">
        <v>14</v>
      </c>
      <c r="G1929" s="2" t="s">
        <v>15</v>
      </c>
      <c r="H1929" s="2">
        <v>22000000</v>
      </c>
      <c r="I1929" s="2">
        <v>5.9</v>
      </c>
      <c r="J1929" s="2">
        <f t="shared" si="14"/>
        <v>-2648431</v>
      </c>
      <c r="K1929" s="2">
        <f t="shared" si="15"/>
        <v>-2.2667876504964837E-2</v>
      </c>
      <c r="L1929" s="2" t="str">
        <f>IF(ISNUMBER(SEARCH("|",IMDB_Movies!$D1929)),LEFT(IMDB_Movies!$D1929,SEARCH("|",IMDB_Movies!$D1929)-1),IMDB_Movies!$D1929)</f>
        <v>Comedy</v>
      </c>
      <c r="V1929" s="2"/>
      <c r="W1929" s="2"/>
    </row>
    <row r="1930" spans="1:23" ht="12.5" x14ac:dyDescent="0.25">
      <c r="A1930" s="2" t="s">
        <v>346</v>
      </c>
      <c r="B1930" s="2">
        <v>94</v>
      </c>
      <c r="C1930" s="2">
        <v>49002815</v>
      </c>
      <c r="D1930" s="2" t="s">
        <v>1058</v>
      </c>
      <c r="E1930" s="2" t="s">
        <v>3369</v>
      </c>
      <c r="F1930" s="2" t="s">
        <v>14</v>
      </c>
      <c r="G1930" s="2" t="s">
        <v>15</v>
      </c>
      <c r="H1930" s="2">
        <v>22000000</v>
      </c>
      <c r="I1930" s="2">
        <v>6.4</v>
      </c>
      <c r="J1930" s="2">
        <f t="shared" si="14"/>
        <v>27002815</v>
      </c>
      <c r="K1930" s="2">
        <f t="shared" si="15"/>
        <v>-2.2668307109947647E-2</v>
      </c>
      <c r="L1930" s="2" t="str">
        <f>IF(ISNUMBER(SEARCH("|",IMDB_Movies!$D1930)),LEFT(IMDB_Movies!$D1930,SEARCH("|",IMDB_Movies!$D1930)-1),IMDB_Movies!$D1930)</f>
        <v>Comedy</v>
      </c>
      <c r="V1930" s="2"/>
      <c r="W1930" s="2"/>
    </row>
    <row r="1931" spans="1:23" ht="12.5" x14ac:dyDescent="0.25">
      <c r="A1931" s="2" t="s">
        <v>1725</v>
      </c>
      <c r="B1931" s="2">
        <v>142</v>
      </c>
      <c r="C1931" s="2">
        <v>19283782</v>
      </c>
      <c r="D1931" s="2" t="s">
        <v>1791</v>
      </c>
      <c r="E1931" s="2" t="s">
        <v>3370</v>
      </c>
      <c r="F1931" s="2" t="s">
        <v>14</v>
      </c>
      <c r="G1931" s="2" t="s">
        <v>15</v>
      </c>
      <c r="H1931" s="2">
        <v>22000000</v>
      </c>
      <c r="I1931" s="2">
        <v>6.6</v>
      </c>
      <c r="J1931" s="2">
        <f t="shared" si="14"/>
        <v>-2716218</v>
      </c>
      <c r="K1931" s="2">
        <f t="shared" si="15"/>
        <v>-2.2667342302197347E-2</v>
      </c>
      <c r="L1931" s="2" t="str">
        <f>IF(ISNUMBER(SEARCH("|",IMDB_Movies!$D1931)),LEFT(IMDB_Movies!$D1931,SEARCH("|",IMDB_Movies!$D1931)-1),IMDB_Movies!$D1931)</f>
        <v>Crime</v>
      </c>
      <c r="V1931" s="2"/>
      <c r="W1931" s="2"/>
    </row>
    <row r="1932" spans="1:23" ht="12.5" x14ac:dyDescent="0.25">
      <c r="A1932" s="2" t="s">
        <v>2378</v>
      </c>
      <c r="B1932" s="2">
        <v>104</v>
      </c>
      <c r="C1932" s="2">
        <v>30059386</v>
      </c>
      <c r="D1932" s="2" t="s">
        <v>709</v>
      </c>
      <c r="E1932" s="2" t="s">
        <v>3371</v>
      </c>
      <c r="F1932" s="2" t="s">
        <v>14</v>
      </c>
      <c r="G1932" s="2" t="s">
        <v>15</v>
      </c>
      <c r="H1932" s="2">
        <v>22000000</v>
      </c>
      <c r="I1932" s="2">
        <v>6.9</v>
      </c>
      <c r="J1932" s="2">
        <f t="shared" si="14"/>
        <v>8059386</v>
      </c>
      <c r="K1932" s="2">
        <f t="shared" si="15"/>
        <v>-2.2667783952203636E-2</v>
      </c>
      <c r="L1932" s="2" t="str">
        <f>IF(ISNUMBER(SEARCH("|",IMDB_Movies!$D1932)),LEFT(IMDB_Movies!$D1932,SEARCH("|",IMDB_Movies!$D1932)-1),IMDB_Movies!$D1932)</f>
        <v>Comedy</v>
      </c>
      <c r="V1932" s="2"/>
      <c r="W1932" s="2"/>
    </row>
    <row r="1933" spans="1:23" ht="12.5" x14ac:dyDescent="0.25">
      <c r="A1933" s="2" t="s">
        <v>3372</v>
      </c>
      <c r="B1933" s="2">
        <v>106</v>
      </c>
      <c r="C1933" s="2">
        <v>17951431</v>
      </c>
      <c r="D1933" s="2" t="s">
        <v>770</v>
      </c>
      <c r="E1933" s="2" t="s">
        <v>3373</v>
      </c>
      <c r="F1933" s="2" t="s">
        <v>14</v>
      </c>
      <c r="G1933" s="2" t="s">
        <v>15</v>
      </c>
      <c r="H1933" s="2">
        <v>30000000</v>
      </c>
      <c r="I1933" s="2">
        <v>5.8</v>
      </c>
      <c r="J1933" s="2">
        <f t="shared" si="14"/>
        <v>-12048569</v>
      </c>
      <c r="K1933" s="2">
        <f t="shared" si="15"/>
        <v>-2.2666707064029415E-2</v>
      </c>
      <c r="L1933" s="2" t="str">
        <f>IF(ISNUMBER(SEARCH("|",IMDB_Movies!$D1933)),LEFT(IMDB_Movies!$D1933,SEARCH("|",IMDB_Movies!$D1933)-1),IMDB_Movies!$D1933)</f>
        <v>Crime</v>
      </c>
      <c r="V1933" s="2"/>
      <c r="W1933" s="2"/>
    </row>
    <row r="1934" spans="1:23" ht="12.5" x14ac:dyDescent="0.25">
      <c r="A1934" s="2" t="s">
        <v>2371</v>
      </c>
      <c r="B1934" s="2">
        <v>106</v>
      </c>
      <c r="C1934" s="2">
        <v>29997095</v>
      </c>
      <c r="D1934" s="2" t="s">
        <v>3374</v>
      </c>
      <c r="E1934" s="2" t="s">
        <v>3375</v>
      </c>
      <c r="F1934" s="2" t="s">
        <v>14</v>
      </c>
      <c r="G1934" s="2" t="s">
        <v>22</v>
      </c>
      <c r="H1934" s="2">
        <v>22000000</v>
      </c>
      <c r="I1934" s="2">
        <v>6.4</v>
      </c>
      <c r="J1934" s="2">
        <f t="shared" si="14"/>
        <v>7997095</v>
      </c>
      <c r="K1934" s="2">
        <f t="shared" si="15"/>
        <v>-2.2665965829784123E-2</v>
      </c>
      <c r="L1934" s="2" t="str">
        <f>IF(ISNUMBER(SEARCH("|",IMDB_Movies!$D1934)),LEFT(IMDB_Movies!$D1934,SEARCH("|",IMDB_Movies!$D1934)-1),IMDB_Movies!$D1934)</f>
        <v>Comedy</v>
      </c>
      <c r="V1934" s="2"/>
      <c r="W1934" s="2"/>
    </row>
    <row r="1935" spans="1:23" ht="12.5" x14ac:dyDescent="0.25">
      <c r="A1935" s="2" t="s">
        <v>3376</v>
      </c>
      <c r="B1935" s="2">
        <v>98</v>
      </c>
      <c r="C1935" s="2">
        <v>14252830</v>
      </c>
      <c r="D1935" s="2" t="s">
        <v>2525</v>
      </c>
      <c r="E1935" s="2" t="s">
        <v>3377</v>
      </c>
      <c r="F1935" s="2" t="s">
        <v>14</v>
      </c>
      <c r="G1935" s="2" t="s">
        <v>104</v>
      </c>
      <c r="H1935" s="2">
        <v>22000000</v>
      </c>
      <c r="I1935" s="2">
        <v>5.3</v>
      </c>
      <c r="J1935" s="2">
        <f t="shared" si="14"/>
        <v>-7747170</v>
      </c>
      <c r="K1935" s="2">
        <f t="shared" si="15"/>
        <v>-2.2664894375049816E-2</v>
      </c>
      <c r="L1935" s="2" t="str">
        <f>IF(ISNUMBER(SEARCH("|",IMDB_Movies!$D1935)),LEFT(IMDB_Movies!$D1935,SEARCH("|",IMDB_Movies!$D1935)-1),IMDB_Movies!$D1935)</f>
        <v>Comedy</v>
      </c>
      <c r="V1935" s="2"/>
      <c r="W1935" s="2"/>
    </row>
    <row r="1936" spans="1:23" ht="12.5" x14ac:dyDescent="0.25">
      <c r="A1936" s="2" t="s">
        <v>1754</v>
      </c>
      <c r="B1936" s="2">
        <v>100</v>
      </c>
      <c r="C1936" s="2">
        <v>19783777</v>
      </c>
      <c r="D1936" s="2" t="s">
        <v>177</v>
      </c>
      <c r="E1936" s="2" t="s">
        <v>3378</v>
      </c>
      <c r="F1936" s="2" t="s">
        <v>14</v>
      </c>
      <c r="G1936" s="2" t="s">
        <v>15</v>
      </c>
      <c r="H1936" s="2">
        <v>22000000</v>
      </c>
      <c r="I1936" s="2">
        <v>6.5</v>
      </c>
      <c r="J1936" s="2">
        <f t="shared" si="14"/>
        <v>-2216223</v>
      </c>
      <c r="K1936" s="2">
        <f t="shared" si="15"/>
        <v>-2.2666437087892302E-2</v>
      </c>
      <c r="L1936" s="2" t="str">
        <f>IF(ISNUMBER(SEARCH("|",IMDB_Movies!$D1936)),LEFT(IMDB_Movies!$D1936,SEARCH("|",IMDB_Movies!$D1936)-1),IMDB_Movies!$D1936)</f>
        <v>Action</v>
      </c>
      <c r="V1936" s="2"/>
      <c r="W1936" s="2"/>
    </row>
    <row r="1937" spans="1:23" ht="12.5" x14ac:dyDescent="0.25">
      <c r="A1937" s="2" t="s">
        <v>3379</v>
      </c>
      <c r="B1937" s="2">
        <v>95</v>
      </c>
      <c r="C1937" s="2">
        <v>13555988</v>
      </c>
      <c r="D1937" s="2" t="s">
        <v>294</v>
      </c>
      <c r="E1937" s="2" t="s">
        <v>3380</v>
      </c>
      <c r="F1937" s="2" t="s">
        <v>14</v>
      </c>
      <c r="G1937" s="2" t="s">
        <v>287</v>
      </c>
      <c r="H1937" s="2">
        <v>22000000</v>
      </c>
      <c r="I1937" s="2">
        <v>5.7</v>
      </c>
      <c r="J1937" s="2">
        <f t="shared" si="14"/>
        <v>-8444012</v>
      </c>
      <c r="K1937" s="2">
        <f t="shared" si="15"/>
        <v>-2.2666783137914592E-2</v>
      </c>
      <c r="L1937" s="2" t="str">
        <f>IF(ISNUMBER(SEARCH("|",IMDB_Movies!$D1937)),LEFT(IMDB_Movies!$D1937,SEARCH("|",IMDB_Movies!$D1937)-1),IMDB_Movies!$D1937)</f>
        <v>Adventure</v>
      </c>
      <c r="V1937" s="2"/>
      <c r="W1937" s="2"/>
    </row>
    <row r="1938" spans="1:23" ht="12.5" x14ac:dyDescent="0.25">
      <c r="A1938" s="2" t="s">
        <v>1430</v>
      </c>
      <c r="B1938" s="2">
        <v>107</v>
      </c>
      <c r="C1938" s="2">
        <v>12784713</v>
      </c>
      <c r="D1938" s="2" t="s">
        <v>709</v>
      </c>
      <c r="E1938" s="2" t="s">
        <v>3381</v>
      </c>
      <c r="F1938" s="2" t="s">
        <v>14</v>
      </c>
      <c r="G1938" s="2" t="s">
        <v>15</v>
      </c>
      <c r="H1938" s="2">
        <v>22000000</v>
      </c>
      <c r="I1938" s="2">
        <v>6.7</v>
      </c>
      <c r="J1938" s="2">
        <f t="shared" si="14"/>
        <v>-9215287</v>
      </c>
      <c r="K1938" s="2">
        <f t="shared" si="15"/>
        <v>-2.2668500986201909E-2</v>
      </c>
      <c r="L1938" s="2" t="str">
        <f>IF(ISNUMBER(SEARCH("|",IMDB_Movies!$D1938)),LEFT(IMDB_Movies!$D1938,SEARCH("|",IMDB_Movies!$D1938)-1),IMDB_Movies!$D1938)</f>
        <v>Comedy</v>
      </c>
      <c r="V1938" s="2"/>
      <c r="W1938" s="2"/>
    </row>
    <row r="1939" spans="1:23" ht="12.5" x14ac:dyDescent="0.25">
      <c r="A1939" s="2" t="s">
        <v>3382</v>
      </c>
      <c r="B1939" s="2">
        <v>104</v>
      </c>
      <c r="C1939" s="2">
        <v>10696210</v>
      </c>
      <c r="D1939" s="2" t="s">
        <v>509</v>
      </c>
      <c r="E1939" s="2" t="s">
        <v>3383</v>
      </c>
      <c r="F1939" s="2" t="s">
        <v>14</v>
      </c>
      <c r="G1939" s="2" t="s">
        <v>15</v>
      </c>
      <c r="H1939" s="2">
        <v>23500000</v>
      </c>
      <c r="I1939" s="2">
        <v>3.9</v>
      </c>
      <c r="J1939" s="2">
        <f t="shared" si="14"/>
        <v>-12803790</v>
      </c>
      <c r="K1939" s="2">
        <f t="shared" si="15"/>
        <v>-2.2670417357527995E-2</v>
      </c>
      <c r="L1939" s="2" t="str">
        <f>IF(ISNUMBER(SEARCH("|",IMDB_Movies!$D1939)),LEFT(IMDB_Movies!$D1939,SEARCH("|",IMDB_Movies!$D1939)-1),IMDB_Movies!$D1939)</f>
        <v>Action</v>
      </c>
      <c r="V1939" s="2"/>
      <c r="W1939" s="2"/>
    </row>
    <row r="1940" spans="1:23" ht="12.5" x14ac:dyDescent="0.25">
      <c r="A1940" s="2" t="s">
        <v>3384</v>
      </c>
      <c r="B1940" s="2">
        <v>104</v>
      </c>
      <c r="C1940" s="2">
        <v>5974653</v>
      </c>
      <c r="D1940" s="2" t="s">
        <v>102</v>
      </c>
      <c r="E1940" s="2" t="s">
        <v>3385</v>
      </c>
      <c r="F1940" s="2" t="s">
        <v>14</v>
      </c>
      <c r="G1940" s="2" t="s">
        <v>15</v>
      </c>
      <c r="H1940" s="2">
        <v>22000000</v>
      </c>
      <c r="I1940" s="2">
        <v>4.0999999999999996</v>
      </c>
      <c r="J1940" s="2">
        <f t="shared" si="14"/>
        <v>-16025347</v>
      </c>
      <c r="K1940" s="2">
        <f t="shared" si="15"/>
        <v>-2.2672098436292597E-2</v>
      </c>
      <c r="L1940" s="2" t="str">
        <f>IF(ISNUMBER(SEARCH("|",IMDB_Movies!$D1940)),LEFT(IMDB_Movies!$D1940,SEARCH("|",IMDB_Movies!$D1940)-1),IMDB_Movies!$D1940)</f>
        <v>Action</v>
      </c>
      <c r="V1940" s="2"/>
      <c r="W1940" s="2"/>
    </row>
    <row r="1941" spans="1:23" ht="12.5" x14ac:dyDescent="0.25">
      <c r="A1941" s="2" t="s">
        <v>3386</v>
      </c>
      <c r="B1941" s="2">
        <v>143</v>
      </c>
      <c r="C1941" s="2">
        <v>5000000</v>
      </c>
      <c r="D1941" s="2" t="s">
        <v>3387</v>
      </c>
      <c r="E1941" s="2" t="s">
        <v>3388</v>
      </c>
      <c r="F1941" s="2" t="s">
        <v>14</v>
      </c>
      <c r="G1941" s="2" t="s">
        <v>15</v>
      </c>
      <c r="H1941" s="2">
        <v>25000000</v>
      </c>
      <c r="I1941" s="2">
        <v>6.2</v>
      </c>
      <c r="J1941" s="2">
        <f t="shared" si="14"/>
        <v>-20000000</v>
      </c>
      <c r="K1941" s="2">
        <f t="shared" si="15"/>
        <v>-2.267601204841533E-2</v>
      </c>
      <c r="L1941" s="2" t="str">
        <f>IF(ISNUMBER(SEARCH("|",IMDB_Movies!$D1941)),LEFT(IMDB_Movies!$D1941,SEARCH("|",IMDB_Movies!$D1941)-1),IMDB_Movies!$D1941)</f>
        <v>Comedy</v>
      </c>
      <c r="V1941" s="2"/>
      <c r="W1941" s="2"/>
    </row>
    <row r="1942" spans="1:23" ht="12.5" x14ac:dyDescent="0.25">
      <c r="A1942" s="2" t="s">
        <v>2489</v>
      </c>
      <c r="B1942" s="2">
        <v>77</v>
      </c>
      <c r="C1942" s="2">
        <v>9694105</v>
      </c>
      <c r="D1942" s="2" t="s">
        <v>955</v>
      </c>
      <c r="E1942" s="2" t="s">
        <v>3389</v>
      </c>
      <c r="F1942" s="2" t="s">
        <v>14</v>
      </c>
      <c r="G1942" s="2" t="s">
        <v>15</v>
      </c>
      <c r="H1942" s="2">
        <v>22000000</v>
      </c>
      <c r="I1942" s="2">
        <v>3.8</v>
      </c>
      <c r="J1942" s="2">
        <f t="shared" si="14"/>
        <v>-12305895</v>
      </c>
      <c r="K1942" s="2">
        <f t="shared" si="15"/>
        <v>-2.2677825575605357E-2</v>
      </c>
      <c r="L1942" s="2" t="str">
        <f>IF(ISNUMBER(SEARCH("|",IMDB_Movies!$D1942)),LEFT(IMDB_Movies!$D1942,SEARCH("|",IMDB_Movies!$D1942)-1),IMDB_Movies!$D1942)</f>
        <v>Comedy</v>
      </c>
      <c r="V1942" s="2"/>
      <c r="W1942" s="2"/>
    </row>
    <row r="1943" spans="1:23" ht="12.5" x14ac:dyDescent="0.25">
      <c r="A1943" s="2" t="s">
        <v>2960</v>
      </c>
      <c r="B1943" s="2">
        <v>96</v>
      </c>
      <c r="C1943" s="2">
        <v>16027866</v>
      </c>
      <c r="D1943" s="2" t="s">
        <v>125</v>
      </c>
      <c r="E1943" s="2" t="s">
        <v>3390</v>
      </c>
      <c r="F1943" s="2" t="s">
        <v>14</v>
      </c>
      <c r="G1943" s="2" t="s">
        <v>686</v>
      </c>
      <c r="H1943" s="2">
        <v>25000000</v>
      </c>
      <c r="I1943" s="2">
        <v>5.0999999999999996</v>
      </c>
      <c r="J1943" s="2">
        <f t="shared" si="14"/>
        <v>-8972134</v>
      </c>
      <c r="K1943" s="2">
        <f t="shared" si="15"/>
        <v>-2.2680600840356665E-2</v>
      </c>
      <c r="L1943" s="2" t="str">
        <f>IF(ISNUMBER(SEARCH("|",IMDB_Movies!$D1943)),LEFT(IMDB_Movies!$D1943,SEARCH("|",IMDB_Movies!$D1943)-1),IMDB_Movies!$D1943)</f>
        <v>Action</v>
      </c>
      <c r="V1943" s="2"/>
      <c r="W1943" s="2"/>
    </row>
    <row r="1944" spans="1:23" ht="12.5" x14ac:dyDescent="0.25">
      <c r="A1944" s="2" t="s">
        <v>475</v>
      </c>
      <c r="B1944" s="2">
        <v>145</v>
      </c>
      <c r="C1944" s="2">
        <v>4398392</v>
      </c>
      <c r="D1944" s="2" t="s">
        <v>2522</v>
      </c>
      <c r="E1944" s="2" t="s">
        <v>3391</v>
      </c>
      <c r="F1944" s="2" t="s">
        <v>3392</v>
      </c>
      <c r="G1944" s="2" t="s">
        <v>3393</v>
      </c>
      <c r="H1944" s="2">
        <v>21000000</v>
      </c>
      <c r="I1944" s="2">
        <v>7.8</v>
      </c>
      <c r="J1944" s="2">
        <f t="shared" si="14"/>
        <v>-16601608</v>
      </c>
      <c r="K1944" s="2">
        <f t="shared" si="15"/>
        <v>-2.2680910231809081E-2</v>
      </c>
      <c r="L1944" s="2" t="str">
        <f>IF(ISNUMBER(SEARCH("|",IMDB_Movies!$D1944)),LEFT(IMDB_Movies!$D1944,SEARCH("|",IMDB_Movies!$D1944)-1),IMDB_Movies!$D1944)</f>
        <v>Drama</v>
      </c>
      <c r="V1944" s="2"/>
      <c r="W1944" s="2"/>
    </row>
    <row r="1945" spans="1:23" ht="12.5" x14ac:dyDescent="0.25">
      <c r="A1945" s="2" t="s">
        <v>3394</v>
      </c>
      <c r="B1945" s="2">
        <v>116</v>
      </c>
      <c r="C1945" s="2">
        <v>1050445</v>
      </c>
      <c r="D1945" s="2" t="s">
        <v>3395</v>
      </c>
      <c r="E1945" s="2" t="s">
        <v>3396</v>
      </c>
      <c r="F1945" s="2" t="s">
        <v>1006</v>
      </c>
      <c r="G1945" s="2" t="s">
        <v>686</v>
      </c>
      <c r="H1945" s="2">
        <v>22000000</v>
      </c>
      <c r="I1945" s="2">
        <v>7.8</v>
      </c>
      <c r="J1945" s="2">
        <f t="shared" si="14"/>
        <v>-20949555</v>
      </c>
      <c r="K1945" s="2">
        <f t="shared" si="15"/>
        <v>-2.2686204555650975E-2</v>
      </c>
      <c r="L1945" s="2" t="str">
        <f>IF(ISNUMBER(SEARCH("|",IMDB_Movies!$D1945)),LEFT(IMDB_Movies!$D1945,SEARCH("|",IMDB_Movies!$D1945)-1),IMDB_Movies!$D1945)</f>
        <v>Drama</v>
      </c>
      <c r="V1945" s="2"/>
      <c r="W1945" s="2"/>
    </row>
    <row r="1946" spans="1:23" ht="12.5" x14ac:dyDescent="0.25">
      <c r="A1946" s="2" t="s">
        <v>3397</v>
      </c>
      <c r="B1946" s="2">
        <v>100</v>
      </c>
      <c r="C1946" s="2">
        <v>13746550</v>
      </c>
      <c r="D1946" s="2" t="s">
        <v>517</v>
      </c>
      <c r="E1946" s="2" t="s">
        <v>3398</v>
      </c>
      <c r="F1946" s="2" t="s">
        <v>14</v>
      </c>
      <c r="G1946" s="2" t="s">
        <v>15</v>
      </c>
      <c r="H1946" s="2">
        <v>2000000</v>
      </c>
      <c r="I1946" s="2">
        <v>6.1</v>
      </c>
      <c r="J1946" s="2">
        <f t="shared" si="14"/>
        <v>11746550</v>
      </c>
      <c r="K1946" s="2">
        <f t="shared" si="15"/>
        <v>-2.269186847305436E-2</v>
      </c>
      <c r="L1946" s="2" t="str">
        <f>IF(ISNUMBER(SEARCH("|",IMDB_Movies!$D1946)),LEFT(IMDB_Movies!$D1946,SEARCH("|",IMDB_Movies!$D1946)-1),IMDB_Movies!$D1946)</f>
        <v>Action</v>
      </c>
      <c r="V1946" s="2"/>
      <c r="W1946" s="2"/>
    </row>
    <row r="1947" spans="1:23" ht="12.5" x14ac:dyDescent="0.25">
      <c r="A1947" s="2" t="s">
        <v>2974</v>
      </c>
      <c r="B1947" s="2">
        <v>104</v>
      </c>
      <c r="C1947" s="2">
        <v>20668843</v>
      </c>
      <c r="D1947" s="2" t="s">
        <v>2009</v>
      </c>
      <c r="E1947" s="2" t="s">
        <v>3399</v>
      </c>
      <c r="F1947" s="2" t="s">
        <v>14</v>
      </c>
      <c r="G1947" s="2" t="s">
        <v>15</v>
      </c>
      <c r="H1947" s="2">
        <v>22000000</v>
      </c>
      <c r="I1947" s="2">
        <v>5.8</v>
      </c>
      <c r="J1947" s="2">
        <f t="shared" si="14"/>
        <v>-1331157</v>
      </c>
      <c r="K1947" s="2">
        <f t="shared" si="15"/>
        <v>-2.2701353634904289E-2</v>
      </c>
      <c r="L1947" s="2" t="str">
        <f>IF(ISNUMBER(SEARCH("|",IMDB_Movies!$D1947)),LEFT(IMDB_Movies!$D1947,SEARCH("|",IMDB_Movies!$D1947)-1),IMDB_Movies!$D1947)</f>
        <v>Comedy</v>
      </c>
      <c r="V1947" s="2"/>
      <c r="W1947" s="2"/>
    </row>
    <row r="1948" spans="1:23" ht="12.5" x14ac:dyDescent="0.25">
      <c r="A1948" s="2" t="s">
        <v>3400</v>
      </c>
      <c r="B1948" s="2">
        <v>92</v>
      </c>
      <c r="C1948" s="2">
        <v>2963012</v>
      </c>
      <c r="D1948" s="2" t="s">
        <v>690</v>
      </c>
      <c r="E1948" s="2" t="s">
        <v>3401</v>
      </c>
      <c r="F1948" s="2" t="s">
        <v>14</v>
      </c>
      <c r="G1948" s="2" t="s">
        <v>22</v>
      </c>
      <c r="H1948" s="2">
        <v>22000000</v>
      </c>
      <c r="I1948" s="2">
        <v>6.3</v>
      </c>
      <c r="J1948" s="2">
        <f t="shared" si="14"/>
        <v>-19036988</v>
      </c>
      <c r="K1948" s="2">
        <f t="shared" si="15"/>
        <v>-2.2701549958455143E-2</v>
      </c>
      <c r="L1948" s="2" t="str">
        <f>IF(ISNUMBER(SEARCH("|",IMDB_Movies!$D1948)),LEFT(IMDB_Movies!$D1948,SEARCH("|",IMDB_Movies!$D1948)-1),IMDB_Movies!$D1948)</f>
        <v>Drama</v>
      </c>
      <c r="V1948" s="2"/>
      <c r="W1948" s="2"/>
    </row>
    <row r="1949" spans="1:23" ht="12.5" x14ac:dyDescent="0.25">
      <c r="A1949" s="2" t="s">
        <v>3402</v>
      </c>
      <c r="B1949" s="2">
        <v>105</v>
      </c>
      <c r="C1949" s="2">
        <v>1796024</v>
      </c>
      <c r="D1949" s="2" t="s">
        <v>1400</v>
      </c>
      <c r="E1949" s="2" t="s">
        <v>3403</v>
      </c>
      <c r="F1949" s="2" t="s">
        <v>14</v>
      </c>
      <c r="G1949" s="2" t="s">
        <v>15</v>
      </c>
      <c r="H1949" s="2">
        <v>22000000</v>
      </c>
      <c r="I1949" s="2">
        <v>5.4</v>
      </c>
      <c r="J1949" s="2">
        <f t="shared" si="14"/>
        <v>-20203976</v>
      </c>
      <c r="K1949" s="2">
        <f t="shared" si="15"/>
        <v>-2.2706535818414621E-2</v>
      </c>
      <c r="L1949" s="2" t="str">
        <f>IF(ISNUMBER(SEARCH("|",IMDB_Movies!$D1949)),LEFT(IMDB_Movies!$D1949,SEARCH("|",IMDB_Movies!$D1949)-1),IMDB_Movies!$D1949)</f>
        <v>Drama</v>
      </c>
      <c r="V1949" s="2"/>
      <c r="W1949" s="2"/>
    </row>
    <row r="1950" spans="1:23" ht="12.5" x14ac:dyDescent="0.25">
      <c r="A1950" s="2" t="s">
        <v>3404</v>
      </c>
      <c r="B1950" s="2">
        <v>120</v>
      </c>
      <c r="C1950" s="2">
        <v>634277</v>
      </c>
      <c r="D1950" s="2" t="s">
        <v>3405</v>
      </c>
      <c r="E1950" s="2" t="s">
        <v>3406</v>
      </c>
      <c r="F1950" s="2" t="s">
        <v>1006</v>
      </c>
      <c r="G1950" s="2" t="s">
        <v>686</v>
      </c>
      <c r="H1950" s="2">
        <v>16000000</v>
      </c>
      <c r="I1950" s="2">
        <v>7.3</v>
      </c>
      <c r="J1950" s="2">
        <f t="shared" si="14"/>
        <v>-15365723</v>
      </c>
      <c r="K1950" s="2">
        <f t="shared" si="15"/>
        <v>-2.2711953048291319E-2</v>
      </c>
      <c r="L1950" s="2" t="str">
        <f>IF(ISNUMBER(SEARCH("|",IMDB_Movies!$D1950)),LEFT(IMDB_Movies!$D1950,SEARCH("|",IMDB_Movies!$D1950)-1),IMDB_Movies!$D1950)</f>
        <v>Comedy</v>
      </c>
      <c r="V1950" s="2"/>
      <c r="W1950" s="2"/>
    </row>
    <row r="1951" spans="1:23" ht="12.5" x14ac:dyDescent="0.25">
      <c r="A1951" s="2" t="s">
        <v>1662</v>
      </c>
      <c r="B1951" s="2">
        <v>116</v>
      </c>
      <c r="C1951" s="2">
        <v>11326836</v>
      </c>
      <c r="D1951" s="2" t="s">
        <v>763</v>
      </c>
      <c r="E1951" s="2" t="s">
        <v>3407</v>
      </c>
      <c r="F1951" s="2" t="s">
        <v>14</v>
      </c>
      <c r="G1951" s="2" t="s">
        <v>15</v>
      </c>
      <c r="H1951" s="2">
        <v>22000000</v>
      </c>
      <c r="I1951" s="2">
        <v>6.8</v>
      </c>
      <c r="J1951" s="2">
        <f t="shared" si="14"/>
        <v>-10673164</v>
      </c>
      <c r="K1951" s="2">
        <f t="shared" si="15"/>
        <v>-2.2723961769135992E-2</v>
      </c>
      <c r="L1951" s="2" t="str">
        <f>IF(ISNUMBER(SEARCH("|",IMDB_Movies!$D1951)),LEFT(IMDB_Movies!$D1951,SEARCH("|",IMDB_Movies!$D1951)-1),IMDB_Movies!$D1951)</f>
        <v>Crime</v>
      </c>
      <c r="V1951" s="2"/>
      <c r="W1951" s="2"/>
    </row>
    <row r="1952" spans="1:23" ht="12.5" x14ac:dyDescent="0.25">
      <c r="A1952" s="2" t="s">
        <v>480</v>
      </c>
      <c r="B1952" s="2">
        <v>119</v>
      </c>
      <c r="C1952" s="2">
        <v>49024969</v>
      </c>
      <c r="D1952" s="2" t="s">
        <v>770</v>
      </c>
      <c r="E1952" s="2" t="s">
        <v>3408</v>
      </c>
      <c r="F1952" s="2" t="s">
        <v>14</v>
      </c>
      <c r="G1952" s="2" t="s">
        <v>15</v>
      </c>
      <c r="H1952" s="2">
        <v>25000000</v>
      </c>
      <c r="I1952" s="2">
        <v>7.3</v>
      </c>
      <c r="J1952" s="2">
        <f t="shared" si="14"/>
        <v>24024969</v>
      </c>
      <c r="K1952" s="2">
        <f t="shared" si="15"/>
        <v>-2.2726313371502351E-2</v>
      </c>
      <c r="L1952" s="2" t="str">
        <f>IF(ISNUMBER(SEARCH("|",IMDB_Movies!$D1952)),LEFT(IMDB_Movies!$D1952,SEARCH("|",IMDB_Movies!$D1952)-1),IMDB_Movies!$D1952)</f>
        <v>Crime</v>
      </c>
      <c r="V1952" s="2"/>
      <c r="W1952" s="2"/>
    </row>
    <row r="1953" spans="1:23" ht="12.5" x14ac:dyDescent="0.25">
      <c r="A1953" s="2" t="s">
        <v>874</v>
      </c>
      <c r="B1953" s="2">
        <v>101</v>
      </c>
      <c r="C1953" s="2">
        <v>22294341</v>
      </c>
      <c r="D1953" s="2" t="s">
        <v>1450</v>
      </c>
      <c r="E1953" s="2" t="s">
        <v>3409</v>
      </c>
      <c r="F1953" s="2" t="s">
        <v>14</v>
      </c>
      <c r="G1953" s="2" t="s">
        <v>15</v>
      </c>
      <c r="H1953" s="2">
        <v>21500000</v>
      </c>
      <c r="I1953" s="2">
        <v>6.5</v>
      </c>
      <c r="J1953" s="2">
        <f t="shared" si="14"/>
        <v>794341</v>
      </c>
      <c r="K1953" s="2">
        <f t="shared" si="15"/>
        <v>-2.27292400442504E-2</v>
      </c>
      <c r="L1953" s="2" t="str">
        <f>IF(ISNUMBER(SEARCH("|",IMDB_Movies!$D1953)),LEFT(IMDB_Movies!$D1953,SEARCH("|",IMDB_Movies!$D1953)-1),IMDB_Movies!$D1953)</f>
        <v>Adventure</v>
      </c>
      <c r="V1953" s="2"/>
      <c r="W1953" s="2"/>
    </row>
    <row r="1954" spans="1:23" ht="12.5" x14ac:dyDescent="0.25">
      <c r="A1954" s="2" t="s">
        <v>2060</v>
      </c>
      <c r="B1954" s="2">
        <v>117</v>
      </c>
      <c r="C1954" s="2">
        <v>24362501</v>
      </c>
      <c r="D1954" s="2" t="s">
        <v>763</v>
      </c>
      <c r="E1954" s="2" t="s">
        <v>3410</v>
      </c>
      <c r="F1954" s="2" t="s">
        <v>14</v>
      </c>
      <c r="G1954" s="2" t="s">
        <v>15</v>
      </c>
      <c r="H1954" s="2">
        <v>21500000</v>
      </c>
      <c r="I1954" s="2">
        <v>7.2</v>
      </c>
      <c r="J1954" s="2">
        <f t="shared" si="14"/>
        <v>2862501</v>
      </c>
      <c r="K1954" s="2">
        <f t="shared" si="15"/>
        <v>-2.2729144201922145E-2</v>
      </c>
      <c r="L1954" s="2" t="str">
        <f>IF(ISNUMBER(SEARCH("|",IMDB_Movies!$D1954)),LEFT(IMDB_Movies!$D1954,SEARCH("|",IMDB_Movies!$D1954)-1),IMDB_Movies!$D1954)</f>
        <v>Crime</v>
      </c>
      <c r="V1954" s="2"/>
      <c r="W1954" s="2"/>
    </row>
    <row r="1955" spans="1:23" ht="12.5" x14ac:dyDescent="0.25">
      <c r="A1955" s="2" t="s">
        <v>2732</v>
      </c>
      <c r="B1955" s="2">
        <v>112</v>
      </c>
      <c r="C1955" s="2">
        <v>16684352</v>
      </c>
      <c r="D1955" s="2" t="s">
        <v>600</v>
      </c>
      <c r="E1955" s="2" t="s">
        <v>3411</v>
      </c>
      <c r="F1955" s="2" t="s">
        <v>14</v>
      </c>
      <c r="G1955" s="2" t="s">
        <v>15</v>
      </c>
      <c r="H1955" s="2">
        <v>17000000</v>
      </c>
      <c r="I1955" s="2">
        <v>6.3</v>
      </c>
      <c r="J1955" s="2">
        <f t="shared" si="14"/>
        <v>-315648</v>
      </c>
      <c r="K1955" s="2">
        <f t="shared" si="15"/>
        <v>-2.2728672529221013E-2</v>
      </c>
      <c r="L1955" s="2" t="str">
        <f>IF(ISNUMBER(SEARCH("|",IMDB_Movies!$D1955)),LEFT(IMDB_Movies!$D1955,SEARCH("|",IMDB_Movies!$D1955)-1),IMDB_Movies!$D1955)</f>
        <v>Comedy</v>
      </c>
      <c r="V1955" s="2"/>
      <c r="W1955" s="2"/>
    </row>
    <row r="1956" spans="1:23" ht="12.5" x14ac:dyDescent="0.25">
      <c r="A1956" s="2" t="s">
        <v>1279</v>
      </c>
      <c r="B1956" s="2">
        <v>136</v>
      </c>
      <c r="C1956" s="2">
        <v>46700000</v>
      </c>
      <c r="D1956" s="2" t="s">
        <v>20</v>
      </c>
      <c r="E1956" s="2" t="s">
        <v>3412</v>
      </c>
      <c r="F1956" s="2" t="s">
        <v>14</v>
      </c>
      <c r="G1956" s="2" t="s">
        <v>15</v>
      </c>
      <c r="H1956" s="2">
        <v>21000000</v>
      </c>
      <c r="I1956" s="2">
        <v>5.9</v>
      </c>
      <c r="J1956" s="2">
        <f t="shared" si="14"/>
        <v>25700000</v>
      </c>
      <c r="K1956" s="2">
        <f t="shared" si="15"/>
        <v>-2.2730925818601894E-2</v>
      </c>
      <c r="L1956" s="2" t="str">
        <f>IF(ISNUMBER(SEARCH("|",IMDB_Movies!$D1956)),LEFT(IMDB_Movies!$D1956,SEARCH("|",IMDB_Movies!$D1956)-1),IMDB_Movies!$D1956)</f>
        <v>Action</v>
      </c>
      <c r="V1956" s="2"/>
      <c r="W1956" s="2"/>
    </row>
    <row r="1957" spans="1:23" ht="12.5" x14ac:dyDescent="0.25">
      <c r="A1957" s="2" t="s">
        <v>3413</v>
      </c>
      <c r="B1957" s="2">
        <v>81</v>
      </c>
      <c r="C1957" s="2">
        <v>52008288</v>
      </c>
      <c r="D1957" s="2" t="s">
        <v>3414</v>
      </c>
      <c r="E1957" s="2" t="s">
        <v>3415</v>
      </c>
      <c r="F1957" s="2" t="s">
        <v>14</v>
      </c>
      <c r="G1957" s="2" t="s">
        <v>15</v>
      </c>
      <c r="H1957" s="2">
        <v>21000000</v>
      </c>
      <c r="I1957" s="2">
        <v>7.8</v>
      </c>
      <c r="J1957" s="2">
        <f t="shared" si="14"/>
        <v>31008288</v>
      </c>
      <c r="K1957" s="2">
        <f t="shared" si="15"/>
        <v>-2.2728488580502193E-2</v>
      </c>
      <c r="L1957" s="2" t="str">
        <f>IF(ISNUMBER(SEARCH("|",IMDB_Movies!$D1957)),LEFT(IMDB_Movies!$D1957,SEARCH("|",IMDB_Movies!$D1957)-1),IMDB_Movies!$D1957)</f>
        <v>Animation</v>
      </c>
      <c r="V1957" s="2"/>
      <c r="W1957" s="2"/>
    </row>
    <row r="1958" spans="1:23" ht="12.5" x14ac:dyDescent="0.25">
      <c r="A1958" s="2" t="s">
        <v>703</v>
      </c>
      <c r="B1958" s="2">
        <v>87</v>
      </c>
      <c r="C1958" s="2">
        <v>8579684</v>
      </c>
      <c r="D1958" s="2" t="s">
        <v>709</v>
      </c>
      <c r="E1958" s="2" t="s">
        <v>3416</v>
      </c>
      <c r="F1958" s="2" t="s">
        <v>14</v>
      </c>
      <c r="G1958" s="2" t="s">
        <v>15</v>
      </c>
      <c r="H1958" s="2">
        <v>9000000</v>
      </c>
      <c r="I1958" s="2">
        <v>7.4</v>
      </c>
      <c r="J1958" s="2">
        <f t="shared" si="14"/>
        <v>-420316</v>
      </c>
      <c r="K1958" s="2">
        <f t="shared" si="15"/>
        <v>-2.2726324208821803E-2</v>
      </c>
      <c r="L1958" s="2" t="str">
        <f>IF(ISNUMBER(SEARCH("|",IMDB_Movies!$D1958)),LEFT(IMDB_Movies!$D1958,SEARCH("|",IMDB_Movies!$D1958)-1),IMDB_Movies!$D1958)</f>
        <v>Comedy</v>
      </c>
      <c r="V1958" s="2"/>
      <c r="W1958" s="2"/>
    </row>
    <row r="1959" spans="1:23" ht="12.5" x14ac:dyDescent="0.25">
      <c r="A1959" s="2" t="s">
        <v>3417</v>
      </c>
      <c r="B1959" s="2">
        <v>96</v>
      </c>
      <c r="C1959" s="2">
        <v>42660000</v>
      </c>
      <c r="D1959" s="2" t="s">
        <v>68</v>
      </c>
      <c r="E1959" s="2" t="s">
        <v>3418</v>
      </c>
      <c r="F1959" s="2" t="s">
        <v>14</v>
      </c>
      <c r="G1959" s="2" t="s">
        <v>15</v>
      </c>
      <c r="H1959" s="2">
        <v>17000000</v>
      </c>
      <c r="I1959" s="2">
        <v>4.8</v>
      </c>
      <c r="J1959" s="2">
        <f t="shared" si="14"/>
        <v>25660000</v>
      </c>
      <c r="K1959" s="2">
        <f t="shared" si="15"/>
        <v>-2.2737788937215092E-2</v>
      </c>
      <c r="L1959" s="2" t="str">
        <f>IF(ISNUMBER(SEARCH("|",IMDB_Movies!$D1959)),LEFT(IMDB_Movies!$D1959,SEARCH("|",IMDB_Movies!$D1959)-1),IMDB_Movies!$D1959)</f>
        <v>Action</v>
      </c>
      <c r="V1959" s="2"/>
      <c r="W1959" s="2"/>
    </row>
    <row r="1960" spans="1:23" ht="12.5" x14ac:dyDescent="0.25">
      <c r="A1960" s="2" t="s">
        <v>1408</v>
      </c>
      <c r="B1960" s="2">
        <v>106</v>
      </c>
      <c r="C1960" s="2">
        <v>40219708</v>
      </c>
      <c r="D1960" s="2" t="s">
        <v>1307</v>
      </c>
      <c r="E1960" s="2" t="s">
        <v>3419</v>
      </c>
      <c r="F1960" s="2" t="s">
        <v>14</v>
      </c>
      <c r="G1960" s="2" t="s">
        <v>15</v>
      </c>
      <c r="H1960" s="2">
        <v>21000000</v>
      </c>
      <c r="I1960" s="2">
        <v>6.3</v>
      </c>
      <c r="J1960" s="2">
        <f t="shared" si="14"/>
        <v>19219708</v>
      </c>
      <c r="K1960" s="2">
        <f t="shared" si="15"/>
        <v>-2.2731273524612669E-2</v>
      </c>
      <c r="L1960" s="2" t="str">
        <f>IF(ISNUMBER(SEARCH("|",IMDB_Movies!$D1960)),LEFT(IMDB_Movies!$D1960,SEARCH("|",IMDB_Movies!$D1960)-1),IMDB_Movies!$D1960)</f>
        <v>Drama</v>
      </c>
      <c r="V1960" s="2"/>
      <c r="W1960" s="2"/>
    </row>
    <row r="1961" spans="1:23" ht="12.5" x14ac:dyDescent="0.25">
      <c r="A1961" s="2" t="s">
        <v>1430</v>
      </c>
      <c r="B1961" s="2">
        <v>122</v>
      </c>
      <c r="C1961" s="2">
        <v>132088910</v>
      </c>
      <c r="D1961" s="2" t="s">
        <v>514</v>
      </c>
      <c r="E1961" s="2" t="s">
        <v>3420</v>
      </c>
      <c r="F1961" s="2" t="s">
        <v>14</v>
      </c>
      <c r="G1961" s="2" t="s">
        <v>15</v>
      </c>
      <c r="H1961" s="2">
        <v>21000000</v>
      </c>
      <c r="I1961" s="2">
        <v>7.8</v>
      </c>
      <c r="J1961" s="2">
        <f t="shared" si="14"/>
        <v>111088910</v>
      </c>
      <c r="K1961" s="2">
        <f t="shared" si="15"/>
        <v>-2.2728860416142482E-2</v>
      </c>
      <c r="L1961" s="2" t="str">
        <f>IF(ISNUMBER(SEARCH("|",IMDB_Movies!$D1961)),LEFT(IMDB_Movies!$D1961,SEARCH("|",IMDB_Movies!$D1961)-1),IMDB_Movies!$D1961)</f>
        <v>Comedy</v>
      </c>
      <c r="V1961" s="2"/>
      <c r="W1961" s="2"/>
    </row>
    <row r="1962" spans="1:23" ht="12.5" x14ac:dyDescent="0.25">
      <c r="A1962" s="2" t="s">
        <v>1851</v>
      </c>
      <c r="B1962" s="2">
        <v>123</v>
      </c>
      <c r="C1962" s="2">
        <v>36581633</v>
      </c>
      <c r="D1962" s="2" t="s">
        <v>614</v>
      </c>
      <c r="E1962" s="2" t="s">
        <v>3421</v>
      </c>
      <c r="F1962" s="2" t="s">
        <v>14</v>
      </c>
      <c r="G1962" s="2" t="s">
        <v>287</v>
      </c>
      <c r="H1962" s="2">
        <v>21000000</v>
      </c>
      <c r="I1962" s="2">
        <v>7.5</v>
      </c>
      <c r="J1962" s="2">
        <f t="shared" si="14"/>
        <v>15581633</v>
      </c>
      <c r="K1962" s="2">
        <f t="shared" si="15"/>
        <v>-2.2764911336876976E-2</v>
      </c>
      <c r="L1962" s="2" t="str">
        <f>IF(ISNUMBER(SEARCH("|",IMDB_Movies!$D1962)),LEFT(IMDB_Movies!$D1962,SEARCH("|",IMDB_Movies!$D1962)-1),IMDB_Movies!$D1962)</f>
        <v>Biography</v>
      </c>
      <c r="V1962" s="2"/>
      <c r="W1962" s="2"/>
    </row>
    <row r="1963" spans="1:23" ht="12.5" x14ac:dyDescent="0.25">
      <c r="A1963" s="2" t="s">
        <v>413</v>
      </c>
      <c r="B1963" s="2">
        <v>92</v>
      </c>
      <c r="C1963" s="2">
        <v>25296447</v>
      </c>
      <c r="D1963" s="2" t="s">
        <v>125</v>
      </c>
      <c r="E1963" s="2" t="s">
        <v>3422</v>
      </c>
      <c r="F1963" s="2" t="s">
        <v>14</v>
      </c>
      <c r="G1963" s="2" t="s">
        <v>686</v>
      </c>
      <c r="H1963" s="2">
        <v>21000000</v>
      </c>
      <c r="I1963" s="2">
        <v>6.8</v>
      </c>
      <c r="J1963" s="2">
        <f t="shared" si="14"/>
        <v>4296447</v>
      </c>
      <c r="K1963" s="2">
        <f t="shared" si="15"/>
        <v>-2.2762696223494805E-2</v>
      </c>
      <c r="L1963" s="2" t="str">
        <f>IF(ISNUMBER(SEARCH("|",IMDB_Movies!$D1963)),LEFT(IMDB_Movies!$D1963,SEARCH("|",IMDB_Movies!$D1963)-1),IMDB_Movies!$D1963)</f>
        <v>Action</v>
      </c>
      <c r="V1963" s="2"/>
      <c r="W1963" s="2"/>
    </row>
    <row r="1964" spans="1:23" ht="12.5" x14ac:dyDescent="0.25">
      <c r="A1964" s="2" t="s">
        <v>2958</v>
      </c>
      <c r="B1964" s="2">
        <v>110</v>
      </c>
      <c r="C1964" s="2">
        <v>24848292</v>
      </c>
      <c r="D1964" s="2" t="s">
        <v>1133</v>
      </c>
      <c r="E1964" s="2" t="s">
        <v>3423</v>
      </c>
      <c r="F1964" s="2" t="s">
        <v>14</v>
      </c>
      <c r="G1964" s="2" t="s">
        <v>15</v>
      </c>
      <c r="H1964" s="2">
        <v>20000000</v>
      </c>
      <c r="I1964" s="2">
        <v>6.6</v>
      </c>
      <c r="J1964" s="2">
        <f t="shared" si="14"/>
        <v>4848292</v>
      </c>
      <c r="K1964" s="2">
        <f t="shared" si="15"/>
        <v>-2.2761955693122279E-2</v>
      </c>
      <c r="L1964" s="2" t="str">
        <f>IF(ISNUMBER(SEARCH("|",IMDB_Movies!$D1964)),LEFT(IMDB_Movies!$D1964,SEARCH("|",IMDB_Movies!$D1964)-1),IMDB_Movies!$D1964)</f>
        <v>Action</v>
      </c>
      <c r="V1964" s="2"/>
      <c r="W1964" s="2"/>
    </row>
    <row r="1965" spans="1:23" ht="12.5" x14ac:dyDescent="0.25">
      <c r="A1965" s="2" t="s">
        <v>3424</v>
      </c>
      <c r="B1965" s="2">
        <v>104</v>
      </c>
      <c r="C1965" s="2">
        <v>17757087</v>
      </c>
      <c r="D1965" s="2" t="s">
        <v>1486</v>
      </c>
      <c r="E1965" s="2" t="s">
        <v>3425</v>
      </c>
      <c r="F1965" s="2" t="s">
        <v>14</v>
      </c>
      <c r="G1965" s="2" t="s">
        <v>15</v>
      </c>
      <c r="H1965" s="2">
        <v>21000000</v>
      </c>
      <c r="I1965" s="2">
        <v>4.5999999999999996</v>
      </c>
      <c r="J1965" s="2">
        <f t="shared" si="14"/>
        <v>-3242913</v>
      </c>
      <c r="K1965" s="2">
        <f t="shared" si="15"/>
        <v>-2.2761146222828429E-2</v>
      </c>
      <c r="L1965" s="2" t="str">
        <f>IF(ISNUMBER(SEARCH("|",IMDB_Movies!$D1965)),LEFT(IMDB_Movies!$D1965,SEARCH("|",IMDB_Movies!$D1965)-1),IMDB_Movies!$D1965)</f>
        <v>Horror</v>
      </c>
      <c r="V1965" s="2"/>
      <c r="W1965" s="2"/>
    </row>
    <row r="1966" spans="1:23" ht="12.5" x14ac:dyDescent="0.25">
      <c r="A1966" s="2" t="s">
        <v>19</v>
      </c>
      <c r="B1966" s="2">
        <v>98</v>
      </c>
      <c r="C1966" s="2">
        <v>9430988</v>
      </c>
      <c r="D1966" s="2" t="s">
        <v>514</v>
      </c>
      <c r="E1966" s="2" t="s">
        <v>3426</v>
      </c>
      <c r="F1966" s="2" t="s">
        <v>14</v>
      </c>
      <c r="G1966" s="2" t="s">
        <v>15</v>
      </c>
      <c r="H1966" s="2">
        <v>17000000</v>
      </c>
      <c r="I1966" s="2">
        <v>7.1</v>
      </c>
      <c r="J1966" s="2">
        <f t="shared" si="14"/>
        <v>-7569012</v>
      </c>
      <c r="K1966" s="2">
        <f t="shared" si="15"/>
        <v>-2.2762101971131786E-2</v>
      </c>
      <c r="L1966" s="2" t="str">
        <f>IF(ISNUMBER(SEARCH("|",IMDB_Movies!$D1966)),LEFT(IMDB_Movies!$D1966,SEARCH("|",IMDB_Movies!$D1966)-1),IMDB_Movies!$D1966)</f>
        <v>Comedy</v>
      </c>
      <c r="V1966" s="2"/>
      <c r="W1966" s="2"/>
    </row>
    <row r="1967" spans="1:23" ht="12.5" x14ac:dyDescent="0.25">
      <c r="A1967" s="2" t="s">
        <v>3427</v>
      </c>
      <c r="B1967" s="2">
        <v>120</v>
      </c>
      <c r="C1967" s="2">
        <v>16284360</v>
      </c>
      <c r="D1967" s="2" t="s">
        <v>891</v>
      </c>
      <c r="E1967" s="2" t="s">
        <v>3428</v>
      </c>
      <c r="F1967" s="2" t="s">
        <v>14</v>
      </c>
      <c r="G1967" s="2" t="s">
        <v>15</v>
      </c>
      <c r="H1967" s="2">
        <v>21000000</v>
      </c>
      <c r="I1967" s="2">
        <v>6.1</v>
      </c>
      <c r="J1967" s="2">
        <f t="shared" si="14"/>
        <v>-4715640</v>
      </c>
      <c r="K1967" s="2">
        <f t="shared" si="15"/>
        <v>-2.2767978193472063E-2</v>
      </c>
      <c r="L1967" s="2" t="str">
        <f>IF(ISNUMBER(SEARCH("|",IMDB_Movies!$D1967)),LEFT(IMDB_Movies!$D1967,SEARCH("|",IMDB_Movies!$D1967)-1),IMDB_Movies!$D1967)</f>
        <v>Comedy</v>
      </c>
      <c r="V1967" s="2"/>
      <c r="W1967" s="2"/>
    </row>
    <row r="1968" spans="1:23" ht="12.5" x14ac:dyDescent="0.25">
      <c r="A1968" s="2" t="s">
        <v>669</v>
      </c>
      <c r="B1968" s="2">
        <v>112</v>
      </c>
      <c r="C1968" s="2">
        <v>6830957</v>
      </c>
      <c r="D1968" s="2" t="s">
        <v>85</v>
      </c>
      <c r="E1968" s="2" t="s">
        <v>3429</v>
      </c>
      <c r="F1968" s="2" t="s">
        <v>14</v>
      </c>
      <c r="G1968" s="2" t="s">
        <v>15</v>
      </c>
      <c r="H1968" s="2">
        <v>21000000</v>
      </c>
      <c r="I1968" s="2">
        <v>6.7</v>
      </c>
      <c r="J1968" s="2">
        <f t="shared" si="14"/>
        <v>-14169043</v>
      </c>
      <c r="K1968" s="2">
        <f t="shared" si="15"/>
        <v>-2.2769336432033185E-2</v>
      </c>
      <c r="L1968" s="2" t="str">
        <f>IF(ISNUMBER(SEARCH("|",IMDB_Movies!$D1968)),LEFT(IMDB_Movies!$D1968,SEARCH("|",IMDB_Movies!$D1968)-1),IMDB_Movies!$D1968)</f>
        <v>Drama</v>
      </c>
      <c r="V1968" s="2"/>
      <c r="W1968" s="2"/>
    </row>
    <row r="1969" spans="1:23" ht="12.5" x14ac:dyDescent="0.25">
      <c r="A1969" s="2" t="s">
        <v>3430</v>
      </c>
      <c r="B1969" s="2">
        <v>127</v>
      </c>
      <c r="C1969" s="2">
        <v>24104113</v>
      </c>
      <c r="D1969" s="2" t="s">
        <v>690</v>
      </c>
      <c r="E1969" s="2" t="s">
        <v>3431</v>
      </c>
      <c r="F1969" s="2" t="s">
        <v>14</v>
      </c>
      <c r="G1969" s="2" t="s">
        <v>686</v>
      </c>
      <c r="H1969" s="2">
        <v>20000000</v>
      </c>
      <c r="I1969" s="2">
        <v>7.1</v>
      </c>
      <c r="J1969" s="2">
        <f t="shared" si="14"/>
        <v>4104113</v>
      </c>
      <c r="K1969" s="2">
        <f t="shared" si="15"/>
        <v>-2.2773773598433394E-2</v>
      </c>
      <c r="L1969" s="2" t="str">
        <f>IF(ISNUMBER(SEARCH("|",IMDB_Movies!$D1969)),LEFT(IMDB_Movies!$D1969,SEARCH("|",IMDB_Movies!$D1969)-1),IMDB_Movies!$D1969)</f>
        <v>Drama</v>
      </c>
      <c r="V1969" s="2"/>
      <c r="W1969" s="2"/>
    </row>
    <row r="1970" spans="1:23" ht="12.5" x14ac:dyDescent="0.25">
      <c r="A1970" s="2" t="s">
        <v>3432</v>
      </c>
      <c r="B1970" s="2">
        <v>102</v>
      </c>
      <c r="C1970" s="2">
        <v>15593</v>
      </c>
      <c r="D1970" s="2" t="s">
        <v>514</v>
      </c>
      <c r="E1970" s="2" t="s">
        <v>3433</v>
      </c>
      <c r="F1970" s="2" t="s">
        <v>14</v>
      </c>
      <c r="G1970" s="2" t="s">
        <v>15</v>
      </c>
      <c r="H1970" s="2">
        <v>21000000</v>
      </c>
      <c r="I1970" s="2">
        <v>5.8</v>
      </c>
      <c r="J1970" s="2">
        <f t="shared" si="14"/>
        <v>-20984407</v>
      </c>
      <c r="K1970" s="2">
        <f t="shared" si="15"/>
        <v>-2.2773148525851262E-2</v>
      </c>
      <c r="L1970" s="2" t="str">
        <f>IF(ISNUMBER(SEARCH("|",IMDB_Movies!$D1970)),LEFT(IMDB_Movies!$D1970,SEARCH("|",IMDB_Movies!$D1970)-1),IMDB_Movies!$D1970)</f>
        <v>Comedy</v>
      </c>
      <c r="V1970" s="2"/>
      <c r="W1970" s="2"/>
    </row>
    <row r="1971" spans="1:23" ht="12.5" x14ac:dyDescent="0.25">
      <c r="A1971" s="2" t="s">
        <v>3000</v>
      </c>
      <c r="B1971" s="2">
        <v>91</v>
      </c>
      <c r="C1971" s="2">
        <v>958319</v>
      </c>
      <c r="D1971" s="2" t="s">
        <v>1180</v>
      </c>
      <c r="E1971" s="2" t="s">
        <v>3434</v>
      </c>
      <c r="F1971" s="2" t="s">
        <v>14</v>
      </c>
      <c r="G1971" s="2" t="s">
        <v>15</v>
      </c>
      <c r="H1971" s="2">
        <v>21000000</v>
      </c>
      <c r="I1971" s="2">
        <v>6.7</v>
      </c>
      <c r="J1971" s="2">
        <f t="shared" si="14"/>
        <v>-20041681</v>
      </c>
      <c r="K1971" s="2">
        <f t="shared" si="15"/>
        <v>-2.2780369017650126E-2</v>
      </c>
      <c r="L1971" s="2" t="str">
        <f>IF(ISNUMBER(SEARCH("|",IMDB_Movies!$D1971)),LEFT(IMDB_Movies!$D1971,SEARCH("|",IMDB_Movies!$D1971)-1),IMDB_Movies!$D1971)</f>
        <v>Drama</v>
      </c>
      <c r="V1971" s="2"/>
      <c r="W1971" s="2"/>
    </row>
    <row r="1972" spans="1:23" ht="12.5" x14ac:dyDescent="0.25">
      <c r="A1972" s="2" t="s">
        <v>3435</v>
      </c>
      <c r="B1972" s="2">
        <v>114</v>
      </c>
      <c r="C1972" s="2">
        <v>69700000</v>
      </c>
      <c r="D1972" s="2" t="s">
        <v>1994</v>
      </c>
      <c r="E1972" s="2" t="s">
        <v>3436</v>
      </c>
      <c r="F1972" s="2" t="s">
        <v>14</v>
      </c>
      <c r="G1972" s="2" t="s">
        <v>15</v>
      </c>
      <c r="H1972" s="2">
        <v>35000000</v>
      </c>
      <c r="I1972" s="2">
        <v>5.8</v>
      </c>
      <c r="J1972" s="2">
        <f t="shared" si="14"/>
        <v>34700000</v>
      </c>
      <c r="K1972" s="2">
        <f t="shared" si="15"/>
        <v>-2.2787187098496468E-2</v>
      </c>
      <c r="L1972" s="2" t="str">
        <f>IF(ISNUMBER(SEARCH("|",IMDB_Movies!$D1972)),LEFT(IMDB_Movies!$D1972,SEARCH("|",IMDB_Movies!$D1972)-1),IMDB_Movies!$D1972)</f>
        <v>Comedy</v>
      </c>
      <c r="V1972" s="2"/>
      <c r="W1972" s="2"/>
    </row>
    <row r="1973" spans="1:23" ht="12.5" x14ac:dyDescent="0.25">
      <c r="A1973" s="2" t="s">
        <v>1829</v>
      </c>
      <c r="B1973" s="2">
        <v>115</v>
      </c>
      <c r="C1973" s="2">
        <v>2840417</v>
      </c>
      <c r="D1973" s="2" t="s">
        <v>1486</v>
      </c>
      <c r="E1973" s="2" t="s">
        <v>3437</v>
      </c>
      <c r="F1973" s="2" t="s">
        <v>14</v>
      </c>
      <c r="G1973" s="2" t="s">
        <v>104</v>
      </c>
      <c r="H1973" s="2">
        <v>31000000</v>
      </c>
      <c r="I1973" s="2">
        <v>6.8</v>
      </c>
      <c r="J1973" s="2">
        <f t="shared" si="14"/>
        <v>-28159583</v>
      </c>
      <c r="K1973" s="2">
        <f t="shared" si="15"/>
        <v>-2.2820576303665078E-2</v>
      </c>
      <c r="L1973" s="2" t="str">
        <f>IF(ISNUMBER(SEARCH("|",IMDB_Movies!$D1973)),LEFT(IMDB_Movies!$D1973,SEARCH("|",IMDB_Movies!$D1973)-1),IMDB_Movies!$D1973)</f>
        <v>Horror</v>
      </c>
      <c r="V1973" s="2"/>
      <c r="W1973" s="2"/>
    </row>
    <row r="1974" spans="1:23" ht="12.5" x14ac:dyDescent="0.25">
      <c r="A1974" s="2" t="s">
        <v>141</v>
      </c>
      <c r="B1974" s="2">
        <v>115</v>
      </c>
      <c r="C1974" s="2">
        <v>242374454</v>
      </c>
      <c r="D1974" s="2" t="s">
        <v>55</v>
      </c>
      <c r="E1974" s="2" t="s">
        <v>3438</v>
      </c>
      <c r="F1974" s="2" t="s">
        <v>14</v>
      </c>
      <c r="G1974" s="2" t="s">
        <v>15</v>
      </c>
      <c r="H1974" s="2">
        <v>18000000</v>
      </c>
      <c r="I1974" s="2">
        <v>8.5</v>
      </c>
      <c r="J1974" s="2">
        <f t="shared" si="14"/>
        <v>224374454</v>
      </c>
      <c r="K1974" s="2">
        <f t="shared" si="15"/>
        <v>-2.2817435010203595E-2</v>
      </c>
      <c r="L1974" s="2" t="str">
        <f>IF(ISNUMBER(SEARCH("|",IMDB_Movies!$D1974)),LEFT(IMDB_Movies!$D1974,SEARCH("|",IMDB_Movies!$D1974)-1),IMDB_Movies!$D1974)</f>
        <v>Action</v>
      </c>
      <c r="V1974" s="2"/>
      <c r="W1974" s="2"/>
    </row>
    <row r="1975" spans="1:23" ht="12.5" x14ac:dyDescent="0.25">
      <c r="A1975" s="2" t="s">
        <v>458</v>
      </c>
      <c r="B1975" s="2">
        <v>120</v>
      </c>
      <c r="C1975" s="2">
        <v>173585516</v>
      </c>
      <c r="D1975" s="2" t="s">
        <v>840</v>
      </c>
      <c r="E1975" s="2" t="s">
        <v>3439</v>
      </c>
      <c r="F1975" s="2" t="s">
        <v>14</v>
      </c>
      <c r="G1975" s="2" t="s">
        <v>15</v>
      </c>
      <c r="H1975" s="2">
        <v>18000000</v>
      </c>
      <c r="I1975" s="2">
        <v>6.6</v>
      </c>
      <c r="J1975" s="2">
        <f t="shared" si="14"/>
        <v>155585516</v>
      </c>
      <c r="K1975" s="2">
        <f t="shared" si="15"/>
        <v>-2.298324149651735E-2</v>
      </c>
      <c r="L1975" s="2" t="str">
        <f>IF(ISNUMBER(SEARCH("|",IMDB_Movies!$D1975)),LEFT(IMDB_Movies!$D1975,SEARCH("|",IMDB_Movies!$D1975)-1),IMDB_Movies!$D1975)</f>
        <v>Adventure</v>
      </c>
      <c r="V1975" s="2"/>
      <c r="W1975" s="2"/>
    </row>
    <row r="1976" spans="1:23" ht="12.5" x14ac:dyDescent="0.25">
      <c r="A1976" s="2" t="s">
        <v>141</v>
      </c>
      <c r="B1976" s="2">
        <v>135</v>
      </c>
      <c r="C1976" s="2">
        <v>128300000</v>
      </c>
      <c r="D1976" s="2" t="s">
        <v>660</v>
      </c>
      <c r="E1976" s="2" t="s">
        <v>3440</v>
      </c>
      <c r="F1976" s="2" t="s">
        <v>14</v>
      </c>
      <c r="G1976" s="2" t="s">
        <v>15</v>
      </c>
      <c r="H1976" s="2">
        <v>19400870</v>
      </c>
      <c r="I1976" s="2">
        <v>7.7</v>
      </c>
      <c r="J1976" s="2">
        <f t="shared" si="14"/>
        <v>108899130</v>
      </c>
      <c r="K1976" s="2">
        <f t="shared" si="15"/>
        <v>-2.3046321710231462E-2</v>
      </c>
      <c r="L1976" s="2" t="str">
        <f>IF(ISNUMBER(SEARCH("|",IMDB_Movies!$D1976)),LEFT(IMDB_Movies!$D1976,SEARCH("|",IMDB_Movies!$D1976)-1),IMDB_Movies!$D1976)</f>
        <v>Drama</v>
      </c>
      <c r="V1976" s="2"/>
      <c r="W1976" s="2"/>
    </row>
    <row r="1977" spans="1:23" ht="12.5" x14ac:dyDescent="0.25">
      <c r="A1977" s="2" t="s">
        <v>3441</v>
      </c>
      <c r="B1977" s="2">
        <v>90</v>
      </c>
      <c r="C1977" s="2">
        <v>20259297</v>
      </c>
      <c r="D1977" s="2" t="s">
        <v>1260</v>
      </c>
      <c r="E1977" s="2" t="s">
        <v>3442</v>
      </c>
      <c r="F1977" s="2" t="s">
        <v>14</v>
      </c>
      <c r="G1977" s="2" t="s">
        <v>15</v>
      </c>
      <c r="H1977" s="2">
        <v>20000000</v>
      </c>
      <c r="I1977" s="2">
        <v>4.7</v>
      </c>
      <c r="J1977" s="2">
        <f t="shared" si="14"/>
        <v>259297</v>
      </c>
      <c r="K1977" s="2">
        <f t="shared" si="15"/>
        <v>-2.3073339831602254E-2</v>
      </c>
      <c r="L1977" s="2" t="str">
        <f>IF(ISNUMBER(SEARCH("|",IMDB_Movies!$D1977)),LEFT(IMDB_Movies!$D1977,SEARCH("|",IMDB_Movies!$D1977)-1),IMDB_Movies!$D1977)</f>
        <v>Drama</v>
      </c>
      <c r="V1977" s="2"/>
      <c r="W1977" s="2"/>
    </row>
    <row r="1978" spans="1:23" ht="12.5" x14ac:dyDescent="0.25">
      <c r="A1978" s="2" t="s">
        <v>618</v>
      </c>
      <c r="B1978" s="2">
        <v>100</v>
      </c>
      <c r="C1978" s="2">
        <v>153665036</v>
      </c>
      <c r="D1978" s="2" t="s">
        <v>150</v>
      </c>
      <c r="E1978" s="2" t="s">
        <v>3443</v>
      </c>
      <c r="F1978" s="2" t="s">
        <v>14</v>
      </c>
      <c r="G1978" s="2" t="s">
        <v>15</v>
      </c>
      <c r="H1978" s="2">
        <v>28000000</v>
      </c>
      <c r="I1978" s="2">
        <v>6.4</v>
      </c>
      <c r="J1978" s="2">
        <f t="shared" si="14"/>
        <v>125665036</v>
      </c>
      <c r="K1978" s="2">
        <f t="shared" si="15"/>
        <v>-2.3073678810546776E-2</v>
      </c>
      <c r="L1978" s="2" t="str">
        <f>IF(ISNUMBER(SEARCH("|",IMDB_Movies!$D1978)),LEFT(IMDB_Movies!$D1978,SEARCH("|",IMDB_Movies!$D1978)-1),IMDB_Movies!$D1978)</f>
        <v>Action</v>
      </c>
      <c r="V1978" s="2"/>
      <c r="W1978" s="2"/>
    </row>
    <row r="1979" spans="1:23" ht="12.5" x14ac:dyDescent="0.25">
      <c r="A1979" s="2" t="s">
        <v>918</v>
      </c>
      <c r="B1979" s="2">
        <v>105</v>
      </c>
      <c r="C1979" s="2">
        <v>132541238</v>
      </c>
      <c r="D1979" s="2" t="s">
        <v>709</v>
      </c>
      <c r="E1979" s="2" t="s">
        <v>3444</v>
      </c>
      <c r="F1979" s="2" t="s">
        <v>14</v>
      </c>
      <c r="G1979" s="2" t="s">
        <v>15</v>
      </c>
      <c r="H1979" s="2">
        <v>33000000</v>
      </c>
      <c r="I1979" s="2">
        <v>5.5</v>
      </c>
      <c r="J1979" s="2">
        <f t="shared" si="14"/>
        <v>99541238</v>
      </c>
      <c r="K1979" s="2">
        <f t="shared" si="15"/>
        <v>-2.3181888239161227E-2</v>
      </c>
      <c r="L1979" s="2" t="str">
        <f>IF(ISNUMBER(SEARCH("|",IMDB_Movies!$D1979)),LEFT(IMDB_Movies!$D1979,SEARCH("|",IMDB_Movies!$D1979)-1),IMDB_Movies!$D1979)</f>
        <v>Comedy</v>
      </c>
      <c r="V1979" s="2"/>
      <c r="W1979" s="2"/>
    </row>
    <row r="1980" spans="1:23" ht="12.5" x14ac:dyDescent="0.25">
      <c r="A1980" s="2" t="s">
        <v>960</v>
      </c>
      <c r="B1980" s="2">
        <v>138</v>
      </c>
      <c r="C1980" s="2">
        <v>130727000</v>
      </c>
      <c r="D1980" s="2" t="s">
        <v>2219</v>
      </c>
      <c r="E1980" s="2" t="s">
        <v>3445</v>
      </c>
      <c r="F1980" s="2" t="s">
        <v>14</v>
      </c>
      <c r="G1980" s="2" t="s">
        <v>15</v>
      </c>
      <c r="H1980" s="2">
        <v>19000000</v>
      </c>
      <c r="I1980" s="2">
        <v>8.6</v>
      </c>
      <c r="J1980" s="2">
        <f t="shared" si="14"/>
        <v>111727000</v>
      </c>
      <c r="K1980" s="2">
        <f t="shared" si="15"/>
        <v>-2.3288946866400755E-2</v>
      </c>
      <c r="L1980" s="2" t="str">
        <f>IF(ISNUMBER(SEARCH("|",IMDB_Movies!$D1980)),LEFT(IMDB_Movies!$D1980,SEARCH("|",IMDB_Movies!$D1980)-1),IMDB_Movies!$D1980)</f>
        <v>Crime</v>
      </c>
      <c r="V1980" s="2"/>
      <c r="W1980" s="2"/>
    </row>
    <row r="1981" spans="1:23" ht="12.5" x14ac:dyDescent="0.25">
      <c r="A1981" s="2" t="s">
        <v>3446</v>
      </c>
      <c r="B1981" s="2">
        <v>94</v>
      </c>
      <c r="C1981" s="2">
        <v>121697350</v>
      </c>
      <c r="D1981" s="2" t="s">
        <v>2525</v>
      </c>
      <c r="E1981" s="2" t="s">
        <v>3447</v>
      </c>
      <c r="F1981" s="2" t="s">
        <v>14</v>
      </c>
      <c r="G1981" s="2" t="s">
        <v>15</v>
      </c>
      <c r="H1981" s="2">
        <v>20000000</v>
      </c>
      <c r="I1981" s="2">
        <v>7</v>
      </c>
      <c r="J1981" s="2">
        <f t="shared" si="14"/>
        <v>101697350</v>
      </c>
      <c r="K1981" s="2">
        <f t="shared" si="15"/>
        <v>-2.331750292182912E-2</v>
      </c>
      <c r="L1981" s="2" t="str">
        <f>IF(ISNUMBER(SEARCH("|",IMDB_Movies!$D1981)),LEFT(IMDB_Movies!$D1981,SEARCH("|",IMDB_Movies!$D1981)-1),IMDB_Movies!$D1981)</f>
        <v>Comedy</v>
      </c>
      <c r="V1981" s="2"/>
      <c r="W1981" s="2"/>
    </row>
    <row r="1982" spans="1:23" ht="12.5" x14ac:dyDescent="0.25">
      <c r="A1982" s="2" t="s">
        <v>3448</v>
      </c>
      <c r="B1982" s="2">
        <v>101</v>
      </c>
      <c r="C1982" s="2">
        <v>117224271</v>
      </c>
      <c r="D1982" s="2" t="s">
        <v>3449</v>
      </c>
      <c r="E1982" s="2" t="s">
        <v>3450</v>
      </c>
      <c r="F1982" s="2" t="s">
        <v>14</v>
      </c>
      <c r="G1982" s="2" t="s">
        <v>15</v>
      </c>
      <c r="H1982" s="2">
        <v>20000000</v>
      </c>
      <c r="I1982" s="2">
        <v>7.1</v>
      </c>
      <c r="J1982" s="2">
        <f t="shared" si="14"/>
        <v>97224271</v>
      </c>
      <c r="K1982" s="2">
        <f t="shared" si="15"/>
        <v>-2.3344113734393712E-2</v>
      </c>
      <c r="L1982" s="2" t="str">
        <f>IF(ISNUMBER(SEARCH("|",IMDB_Movies!$D1982)),LEFT(IMDB_Movies!$D1982,SEARCH("|",IMDB_Movies!$D1982)-1),IMDB_Movies!$D1982)</f>
        <v>Action</v>
      </c>
      <c r="V1982" s="2"/>
      <c r="W1982" s="2"/>
    </row>
    <row r="1983" spans="1:23" ht="12.5" x14ac:dyDescent="0.25">
      <c r="A1983" s="2" t="s">
        <v>3451</v>
      </c>
      <c r="B1983" s="2">
        <v>131</v>
      </c>
      <c r="C1983" s="2">
        <v>102922376</v>
      </c>
      <c r="D1983" s="2" t="s">
        <v>2835</v>
      </c>
      <c r="E1983" s="2" t="s">
        <v>3452</v>
      </c>
      <c r="F1983" s="2" t="s">
        <v>14</v>
      </c>
      <c r="G1983" s="2" t="s">
        <v>15</v>
      </c>
      <c r="H1983" s="2">
        <v>20000000</v>
      </c>
      <c r="I1983" s="2">
        <v>5.7</v>
      </c>
      <c r="J1983" s="2">
        <f t="shared" si="14"/>
        <v>82922376</v>
      </c>
      <c r="K1983" s="2">
        <f t="shared" si="15"/>
        <v>-2.3367450135434429E-2</v>
      </c>
      <c r="L1983" s="2" t="str">
        <f>IF(ISNUMBER(SEARCH("|",IMDB_Movies!$D1983)),LEFT(IMDB_Movies!$D1983,SEARCH("|",IMDB_Movies!$D1983)-1),IMDB_Movies!$D1983)</f>
        <v>Adventure</v>
      </c>
      <c r="V1983" s="2"/>
      <c r="W1983" s="2"/>
    </row>
    <row r="1984" spans="1:23" ht="12.5" x14ac:dyDescent="0.25">
      <c r="A1984" s="2" t="s">
        <v>564</v>
      </c>
      <c r="B1984" s="2">
        <v>91</v>
      </c>
      <c r="C1984" s="2">
        <v>94497271</v>
      </c>
      <c r="D1984" s="2" t="s">
        <v>3453</v>
      </c>
      <c r="E1984" s="2" t="s">
        <v>3454</v>
      </c>
      <c r="F1984" s="2" t="s">
        <v>14</v>
      </c>
      <c r="G1984" s="2" t="s">
        <v>15</v>
      </c>
      <c r="H1984" s="2">
        <v>20000000</v>
      </c>
      <c r="I1984" s="2">
        <v>3.7</v>
      </c>
      <c r="J1984" s="2">
        <f t="shared" si="14"/>
        <v>74497271</v>
      </c>
      <c r="K1984" s="2">
        <f t="shared" si="15"/>
        <v>-2.3381055485234548E-2</v>
      </c>
      <c r="L1984" s="2" t="str">
        <f>IF(ISNUMBER(SEARCH("|",IMDB_Movies!$D1984)),LEFT(IMDB_Movies!$D1984,SEARCH("|",IMDB_Movies!$D1984)-1),IMDB_Movies!$D1984)</f>
        <v>Adventure</v>
      </c>
      <c r="V1984" s="2"/>
      <c r="W1984" s="2"/>
    </row>
    <row r="1985" spans="1:23" ht="12.5" x14ac:dyDescent="0.25">
      <c r="A1985" s="2" t="s">
        <v>124</v>
      </c>
      <c r="B1985" s="2">
        <v>112</v>
      </c>
      <c r="C1985" s="2">
        <v>137387272</v>
      </c>
      <c r="D1985" s="2" t="s">
        <v>1050</v>
      </c>
      <c r="E1985" s="2" t="s">
        <v>3455</v>
      </c>
      <c r="F1985" s="2" t="s">
        <v>14</v>
      </c>
      <c r="G1985" s="2" t="s">
        <v>15</v>
      </c>
      <c r="H1985" s="2">
        <v>20000000</v>
      </c>
      <c r="I1985" s="2">
        <v>7.5</v>
      </c>
      <c r="J1985" s="2">
        <f t="shared" si="14"/>
        <v>117387272</v>
      </c>
      <c r="K1985" s="2">
        <f t="shared" si="15"/>
        <v>-2.3389942193051946E-2</v>
      </c>
      <c r="L1985" s="2" t="str">
        <f>IF(ISNUMBER(SEARCH("|",IMDB_Movies!$D1985)),LEFT(IMDB_Movies!$D1985,SEARCH("|",IMDB_Movies!$D1985)-1),IMDB_Movies!$D1985)</f>
        <v>Horror</v>
      </c>
      <c r="V1985" s="2"/>
      <c r="W1985" s="2"/>
    </row>
    <row r="1986" spans="1:23" ht="12.5" x14ac:dyDescent="0.25">
      <c r="A1986" s="2" t="s">
        <v>1411</v>
      </c>
      <c r="B1986" s="2">
        <v>95</v>
      </c>
      <c r="C1986" s="2">
        <v>82301521</v>
      </c>
      <c r="D1986" s="2" t="s">
        <v>3182</v>
      </c>
      <c r="E1986" s="2" t="s">
        <v>3456</v>
      </c>
      <c r="F1986" s="2" t="s">
        <v>14</v>
      </c>
      <c r="G1986" s="2" t="s">
        <v>15</v>
      </c>
      <c r="H1986" s="2">
        <v>32000000</v>
      </c>
      <c r="I1986" s="2">
        <v>4.5999999999999996</v>
      </c>
      <c r="J1986" s="2">
        <f t="shared" si="14"/>
        <v>50301521</v>
      </c>
      <c r="K1986" s="2">
        <f t="shared" si="15"/>
        <v>-2.3431903659847219E-2</v>
      </c>
      <c r="L1986" s="2" t="str">
        <f>IF(ISNUMBER(SEARCH("|",IMDB_Movies!$D1986)),LEFT(IMDB_Movies!$D1986,SEARCH("|",IMDB_Movies!$D1986)-1),IMDB_Movies!$D1986)</f>
        <v>Adventure</v>
      </c>
      <c r="V1986" s="2"/>
      <c r="W1986" s="2"/>
    </row>
    <row r="1987" spans="1:23" ht="12.5" x14ac:dyDescent="0.25">
      <c r="A1987" s="2" t="s">
        <v>2889</v>
      </c>
      <c r="B1987" s="2">
        <v>100</v>
      </c>
      <c r="C1987" s="2">
        <v>84518155</v>
      </c>
      <c r="D1987" s="2" t="s">
        <v>709</v>
      </c>
      <c r="E1987" s="2" t="s">
        <v>3457</v>
      </c>
      <c r="F1987" s="2" t="s">
        <v>14</v>
      </c>
      <c r="G1987" s="2" t="s">
        <v>15</v>
      </c>
      <c r="H1987" s="2">
        <v>20000000</v>
      </c>
      <c r="I1987" s="2">
        <v>4.9000000000000004</v>
      </c>
      <c r="J1987" s="2">
        <f t="shared" si="14"/>
        <v>64518155</v>
      </c>
      <c r="K1987" s="2">
        <f t="shared" si="15"/>
        <v>-2.3472570278349484E-2</v>
      </c>
      <c r="L1987" s="2" t="str">
        <f>IF(ISNUMBER(SEARCH("|",IMDB_Movies!$D1987)),LEFT(IMDB_Movies!$D1987,SEARCH("|",IMDB_Movies!$D1987)-1),IMDB_Movies!$D1987)</f>
        <v>Comedy</v>
      </c>
      <c r="V1987" s="2"/>
      <c r="W1987" s="2"/>
    </row>
    <row r="1988" spans="1:23" ht="12.5" x14ac:dyDescent="0.25">
      <c r="A1988" s="2" t="s">
        <v>2991</v>
      </c>
      <c r="B1988" s="2">
        <v>108</v>
      </c>
      <c r="C1988" s="2">
        <v>81257845</v>
      </c>
      <c r="D1988" s="2" t="s">
        <v>2525</v>
      </c>
      <c r="E1988" s="2" t="s">
        <v>3458</v>
      </c>
      <c r="F1988" s="2" t="s">
        <v>14</v>
      </c>
      <c r="G1988" s="2" t="s">
        <v>15</v>
      </c>
      <c r="H1988" s="2">
        <v>35000000</v>
      </c>
      <c r="I1988" s="2">
        <v>7.1</v>
      </c>
      <c r="J1988" s="2">
        <f t="shared" si="14"/>
        <v>46257845</v>
      </c>
      <c r="K1988" s="2">
        <f t="shared" si="15"/>
        <v>-2.3477031944719683E-2</v>
      </c>
      <c r="L1988" s="2" t="str">
        <f>IF(ISNUMBER(SEARCH("|",IMDB_Movies!$D1988)),LEFT(IMDB_Movies!$D1988,SEARCH("|",IMDB_Movies!$D1988)-1),IMDB_Movies!$D1988)</f>
        <v>Comedy</v>
      </c>
      <c r="V1988" s="2"/>
      <c r="W1988" s="2"/>
    </row>
    <row r="1989" spans="1:23" ht="12.5" x14ac:dyDescent="0.25">
      <c r="A1989" s="2" t="s">
        <v>831</v>
      </c>
      <c r="B1989" s="2">
        <v>101</v>
      </c>
      <c r="C1989" s="2">
        <v>70360285</v>
      </c>
      <c r="D1989" s="2" t="s">
        <v>102</v>
      </c>
      <c r="E1989" s="2" t="s">
        <v>3459</v>
      </c>
      <c r="F1989" s="2" t="s">
        <v>14</v>
      </c>
      <c r="G1989" s="2" t="s">
        <v>15</v>
      </c>
      <c r="H1989" s="2">
        <v>18000000</v>
      </c>
      <c r="I1989" s="2">
        <v>5.8</v>
      </c>
      <c r="J1989" s="2">
        <f t="shared" si="14"/>
        <v>52360285</v>
      </c>
      <c r="K1989" s="2">
        <f t="shared" si="15"/>
        <v>-2.3526048576264575E-2</v>
      </c>
      <c r="L1989" s="2" t="str">
        <f>IF(ISNUMBER(SEARCH("|",IMDB_Movies!$D1989)),LEFT(IMDB_Movies!$D1989,SEARCH("|",IMDB_Movies!$D1989)-1),IMDB_Movies!$D1989)</f>
        <v>Action</v>
      </c>
      <c r="V1989" s="2"/>
      <c r="W1989" s="2"/>
    </row>
    <row r="1990" spans="1:23" ht="12.5" x14ac:dyDescent="0.25">
      <c r="A1990" s="2" t="s">
        <v>1336</v>
      </c>
      <c r="B1990" s="2">
        <v>109</v>
      </c>
      <c r="C1990" s="2">
        <v>69148997</v>
      </c>
      <c r="D1990" s="2" t="s">
        <v>375</v>
      </c>
      <c r="E1990" s="2" t="s">
        <v>3460</v>
      </c>
      <c r="F1990" s="2" t="s">
        <v>14</v>
      </c>
      <c r="G1990" s="2" t="s">
        <v>15</v>
      </c>
      <c r="H1990" s="2">
        <v>37000000</v>
      </c>
      <c r="I1990" s="2">
        <v>5.4</v>
      </c>
      <c r="J1990" s="2">
        <f t="shared" si="14"/>
        <v>32148997</v>
      </c>
      <c r="K1990" s="2">
        <f t="shared" si="15"/>
        <v>-2.3520663689487076E-2</v>
      </c>
      <c r="L1990" s="2" t="str">
        <f>IF(ISNUMBER(SEARCH("|",IMDB_Movies!$D1990)),LEFT(IMDB_Movies!$D1990,SEARCH("|",IMDB_Movies!$D1990)-1),IMDB_Movies!$D1990)</f>
        <v>Comedy</v>
      </c>
      <c r="V1990" s="2"/>
      <c r="W1990" s="2"/>
    </row>
    <row r="1991" spans="1:23" ht="12.5" x14ac:dyDescent="0.25">
      <c r="A1991" s="2" t="s">
        <v>2711</v>
      </c>
      <c r="B1991" s="2">
        <v>115</v>
      </c>
      <c r="C1991" s="2">
        <v>82624961</v>
      </c>
      <c r="D1991" s="2" t="s">
        <v>891</v>
      </c>
      <c r="E1991" s="2" t="s">
        <v>3461</v>
      </c>
      <c r="F1991" s="2" t="s">
        <v>14</v>
      </c>
      <c r="G1991" s="2" t="s">
        <v>15</v>
      </c>
      <c r="H1991" s="2">
        <v>20000000</v>
      </c>
      <c r="I1991" s="2">
        <v>7.3</v>
      </c>
      <c r="J1991" s="2">
        <f t="shared" si="14"/>
        <v>62624961</v>
      </c>
      <c r="K1991" s="2">
        <f t="shared" si="15"/>
        <v>-2.3561616752482799E-2</v>
      </c>
      <c r="L1991" s="2" t="str">
        <f>IF(ISNUMBER(SEARCH("|",IMDB_Movies!$D1991)),LEFT(IMDB_Movies!$D1991,SEARCH("|",IMDB_Movies!$D1991)-1),IMDB_Movies!$D1991)</f>
        <v>Comedy</v>
      </c>
      <c r="V1991" s="2"/>
      <c r="W1991" s="2"/>
    </row>
    <row r="1992" spans="1:23" ht="12.5" x14ac:dyDescent="0.25">
      <c r="A1992" s="2" t="s">
        <v>864</v>
      </c>
      <c r="B1992" s="2">
        <v>117</v>
      </c>
      <c r="C1992" s="2">
        <v>67325559</v>
      </c>
      <c r="D1992" s="2" t="s">
        <v>3462</v>
      </c>
      <c r="E1992" s="2" t="s">
        <v>3463</v>
      </c>
      <c r="F1992" s="2" t="s">
        <v>14</v>
      </c>
      <c r="G1992" s="2" t="s">
        <v>15</v>
      </c>
      <c r="H1992" s="2">
        <v>20000000</v>
      </c>
      <c r="I1992" s="2">
        <v>7.1</v>
      </c>
      <c r="J1992" s="2">
        <f t="shared" si="14"/>
        <v>47325559</v>
      </c>
      <c r="K1992" s="2">
        <f t="shared" si="15"/>
        <v>-2.3565510776754523E-2</v>
      </c>
      <c r="L1992" s="2" t="str">
        <f>IF(ISNUMBER(SEARCH("|",IMDB_Movies!$D1992)),LEFT(IMDB_Movies!$D1992,SEARCH("|",IMDB_Movies!$D1992)-1),IMDB_Movies!$D1992)</f>
        <v>Adventure</v>
      </c>
      <c r="V1992" s="2"/>
      <c r="W1992" s="2"/>
    </row>
    <row r="1993" spans="1:23" ht="12.5" x14ac:dyDescent="0.25">
      <c r="A1993" s="2" t="s">
        <v>2074</v>
      </c>
      <c r="B1993" s="2">
        <v>107</v>
      </c>
      <c r="C1993" s="2">
        <v>62933793</v>
      </c>
      <c r="D1993" s="2" t="s">
        <v>3464</v>
      </c>
      <c r="E1993" s="2" t="s">
        <v>3465</v>
      </c>
      <c r="F1993" s="2" t="s">
        <v>14</v>
      </c>
      <c r="G1993" s="2" t="s">
        <v>15</v>
      </c>
      <c r="H1993" s="2">
        <v>20000000</v>
      </c>
      <c r="I1993" s="2">
        <v>5.8</v>
      </c>
      <c r="J1993" s="2">
        <f t="shared" si="14"/>
        <v>42933793</v>
      </c>
      <c r="K1993" s="2">
        <f t="shared" si="15"/>
        <v>-2.3564431127083431E-2</v>
      </c>
      <c r="L1993" s="2" t="str">
        <f>IF(ISNUMBER(SEARCH("|",IMDB_Movies!$D1993)),LEFT(IMDB_Movies!$D1993,SEARCH("|",IMDB_Movies!$D1993)-1),IMDB_Movies!$D1993)</f>
        <v>Drama</v>
      </c>
      <c r="V1993" s="2"/>
      <c r="W1993" s="2"/>
    </row>
    <row r="1994" spans="1:23" ht="12.5" x14ac:dyDescent="0.25">
      <c r="A1994" s="2" t="s">
        <v>3466</v>
      </c>
      <c r="B1994" s="2">
        <v>134</v>
      </c>
      <c r="C1994" s="2">
        <v>56667870</v>
      </c>
      <c r="D1994" s="2" t="s">
        <v>2000</v>
      </c>
      <c r="E1994" s="2" t="s">
        <v>3467</v>
      </c>
      <c r="F1994" s="2" t="s">
        <v>14</v>
      </c>
      <c r="G1994" s="2" t="s">
        <v>15</v>
      </c>
      <c r="H1994" s="2">
        <v>20000000</v>
      </c>
      <c r="I1994" s="2">
        <v>8.1</v>
      </c>
      <c r="J1994" s="2">
        <f t="shared" si="14"/>
        <v>36667870</v>
      </c>
      <c r="K1994" s="2">
        <f t="shared" si="15"/>
        <v>-2.3562407638989816E-2</v>
      </c>
      <c r="L1994" s="2" t="str">
        <f>IF(ISNUMBER(SEARCH("|",IMDB_Movies!$D1994)),LEFT(IMDB_Movies!$D1994,SEARCH("|",IMDB_Movies!$D1994)-1),IMDB_Movies!$D1994)</f>
        <v>Biography</v>
      </c>
      <c r="V1994" s="2"/>
      <c r="W1994" s="2"/>
    </row>
    <row r="1995" spans="1:23" ht="12.5" x14ac:dyDescent="0.25">
      <c r="A1995" s="2" t="s">
        <v>2808</v>
      </c>
      <c r="B1995" s="2">
        <v>118</v>
      </c>
      <c r="C1995" s="2">
        <v>56398162</v>
      </c>
      <c r="D1995" s="2" t="s">
        <v>1946</v>
      </c>
      <c r="E1995" s="2" t="s">
        <v>3468</v>
      </c>
      <c r="F1995" s="2" t="s">
        <v>14</v>
      </c>
      <c r="G1995" s="2" t="s">
        <v>15</v>
      </c>
      <c r="H1995" s="2">
        <v>20000000</v>
      </c>
      <c r="I1995" s="2">
        <v>5.7</v>
      </c>
      <c r="J1995" s="2">
        <f t="shared" si="14"/>
        <v>36398162</v>
      </c>
      <c r="K1995" s="2">
        <f t="shared" si="15"/>
        <v>-2.3559408987224525E-2</v>
      </c>
      <c r="L1995" s="2" t="str">
        <f>IF(ISNUMBER(SEARCH("|",IMDB_Movies!$D1995)),LEFT(IMDB_Movies!$D1995,SEARCH("|",IMDB_Movies!$D1995)-1),IMDB_Movies!$D1995)</f>
        <v>Comedy</v>
      </c>
      <c r="V1995" s="2"/>
      <c r="W1995" s="2"/>
    </row>
    <row r="1996" spans="1:23" ht="12.5" x14ac:dyDescent="0.25">
      <c r="A1996" s="2" t="s">
        <v>3095</v>
      </c>
      <c r="B1996" s="2">
        <v>121</v>
      </c>
      <c r="C1996" s="2">
        <v>60072596</v>
      </c>
      <c r="D1996" s="2" t="s">
        <v>514</v>
      </c>
      <c r="E1996" s="2" t="s">
        <v>3469</v>
      </c>
      <c r="F1996" s="2" t="s">
        <v>14</v>
      </c>
      <c r="G1996" s="2" t="s">
        <v>15</v>
      </c>
      <c r="H1996" s="2">
        <v>20000000</v>
      </c>
      <c r="I1996" s="2">
        <v>4.4000000000000004</v>
      </c>
      <c r="J1996" s="2">
        <f t="shared" si="14"/>
        <v>40072596</v>
      </c>
      <c r="K1996" s="2">
        <f t="shared" si="15"/>
        <v>-2.3556375365867414E-2</v>
      </c>
      <c r="L1996" s="2" t="str">
        <f>IF(ISNUMBER(SEARCH("|",IMDB_Movies!$D1996)),LEFT(IMDB_Movies!$D1996,SEARCH("|",IMDB_Movies!$D1996)-1),IMDB_Movies!$D1996)</f>
        <v>Comedy</v>
      </c>
      <c r="V1996" s="2"/>
      <c r="W1996" s="2"/>
    </row>
    <row r="1997" spans="1:23" ht="12.5" x14ac:dyDescent="0.25">
      <c r="A1997" s="2" t="s">
        <v>99</v>
      </c>
      <c r="B1997" s="2">
        <v>105</v>
      </c>
      <c r="C1997" s="2">
        <v>56362352</v>
      </c>
      <c r="D1997" s="2" t="s">
        <v>3470</v>
      </c>
      <c r="E1997" s="2" t="s">
        <v>3471</v>
      </c>
      <c r="F1997" s="2" t="s">
        <v>14</v>
      </c>
      <c r="G1997" s="2" t="s">
        <v>15</v>
      </c>
      <c r="H1997" s="2">
        <v>20000000</v>
      </c>
      <c r="I1997" s="2">
        <v>7.9</v>
      </c>
      <c r="J1997" s="2">
        <f t="shared" si="14"/>
        <v>36362352</v>
      </c>
      <c r="K1997" s="2">
        <f t="shared" si="15"/>
        <v>-2.3553846804822181E-2</v>
      </c>
      <c r="L1997" s="2" t="str">
        <f>IF(ISNUMBER(SEARCH("|",IMDB_Movies!$D1997)),LEFT(IMDB_Movies!$D1997,SEARCH("|",IMDB_Movies!$D1997)-1),IMDB_Movies!$D1997)</f>
        <v>Fantasy</v>
      </c>
      <c r="V1997" s="2"/>
      <c r="W1997" s="2"/>
    </row>
    <row r="1998" spans="1:23" ht="12.5" x14ac:dyDescent="0.25">
      <c r="A1998" s="2" t="s">
        <v>3472</v>
      </c>
      <c r="B1998" s="2">
        <v>110</v>
      </c>
      <c r="C1998" s="2">
        <v>56154094</v>
      </c>
      <c r="D1998" s="2" t="s">
        <v>85</v>
      </c>
      <c r="E1998" s="2" t="s">
        <v>3473</v>
      </c>
      <c r="F1998" s="2" t="s">
        <v>14</v>
      </c>
      <c r="G1998" s="2" t="s">
        <v>22</v>
      </c>
      <c r="H1998" s="2">
        <v>20000000</v>
      </c>
      <c r="I1998" s="2">
        <v>7.6</v>
      </c>
      <c r="J1998" s="2">
        <f t="shared" si="14"/>
        <v>36154094</v>
      </c>
      <c r="K1998" s="2">
        <f t="shared" si="15"/>
        <v>-2.3550803578857315E-2</v>
      </c>
      <c r="L1998" s="2" t="str">
        <f>IF(ISNUMBER(SEARCH("|",IMDB_Movies!$D1998)),LEFT(IMDB_Movies!$D1998,SEARCH("|",IMDB_Movies!$D1998)-1),IMDB_Movies!$D1998)</f>
        <v>Drama</v>
      </c>
      <c r="V1998" s="2"/>
      <c r="W1998" s="2"/>
    </row>
    <row r="1999" spans="1:23" ht="12.5" x14ac:dyDescent="0.25">
      <c r="A1999" s="2" t="s">
        <v>3095</v>
      </c>
      <c r="B1999" s="2">
        <v>114</v>
      </c>
      <c r="C1999" s="2">
        <v>65623128</v>
      </c>
      <c r="D1999" s="2" t="s">
        <v>3003</v>
      </c>
      <c r="E1999" s="2" t="s">
        <v>3474</v>
      </c>
      <c r="F1999" s="2" t="s">
        <v>14</v>
      </c>
      <c r="G1999" s="2" t="s">
        <v>15</v>
      </c>
      <c r="H1999" s="2">
        <v>20000000</v>
      </c>
      <c r="I1999" s="2">
        <v>4.8</v>
      </c>
      <c r="J1999" s="2">
        <f t="shared" si="14"/>
        <v>45623128</v>
      </c>
      <c r="K1999" s="2">
        <f t="shared" si="15"/>
        <v>-2.3547733094638562E-2</v>
      </c>
      <c r="L1999" s="2" t="str">
        <f>IF(ISNUMBER(SEARCH("|",IMDB_Movies!$D1999)),LEFT(IMDB_Movies!$D1999,SEARCH("|",IMDB_Movies!$D1999)-1),IMDB_Movies!$D1999)</f>
        <v>Comedy</v>
      </c>
      <c r="V1999" s="2"/>
      <c r="W1999" s="2"/>
    </row>
    <row r="2000" spans="1:23" ht="12.5" x14ac:dyDescent="0.25">
      <c r="A2000" s="2" t="s">
        <v>3475</v>
      </c>
      <c r="B2000" s="2">
        <v>100</v>
      </c>
      <c r="C2000" s="2">
        <v>55461307</v>
      </c>
      <c r="D2000" s="2" t="s">
        <v>709</v>
      </c>
      <c r="E2000" s="2" t="s">
        <v>3476</v>
      </c>
      <c r="F2000" s="2" t="s">
        <v>14</v>
      </c>
      <c r="G2000" s="2" t="s">
        <v>15</v>
      </c>
      <c r="H2000" s="2">
        <v>20000000</v>
      </c>
      <c r="I2000" s="2">
        <v>6.7</v>
      </c>
      <c r="J2000" s="2">
        <f t="shared" si="14"/>
        <v>35461307</v>
      </c>
      <c r="K2000" s="2">
        <f t="shared" si="15"/>
        <v>-2.3546260747665804E-2</v>
      </c>
      <c r="L2000" s="2" t="str">
        <f>IF(ISNUMBER(SEARCH("|",IMDB_Movies!$D2000)),LEFT(IMDB_Movies!$D2000,SEARCH("|",IMDB_Movies!$D2000)-1),IMDB_Movies!$D2000)</f>
        <v>Comedy</v>
      </c>
      <c r="V2000" s="2"/>
      <c r="W2000" s="2"/>
    </row>
    <row r="2001" spans="1:23" ht="12.5" x14ac:dyDescent="0.25">
      <c r="A2001" s="2" t="s">
        <v>3477</v>
      </c>
      <c r="B2001" s="2">
        <v>85</v>
      </c>
      <c r="C2001" s="2">
        <v>48546578</v>
      </c>
      <c r="D2001" s="2" t="s">
        <v>600</v>
      </c>
      <c r="E2001" s="2" t="s">
        <v>3478</v>
      </c>
      <c r="F2001" s="2" t="s">
        <v>14</v>
      </c>
      <c r="G2001" s="2" t="s">
        <v>15</v>
      </c>
      <c r="H2001" s="2">
        <v>20000000</v>
      </c>
      <c r="I2001" s="2">
        <v>2.7</v>
      </c>
      <c r="J2001" s="2">
        <f t="shared" si="14"/>
        <v>28546578</v>
      </c>
      <c r="K2001" s="2">
        <f t="shared" si="15"/>
        <v>-2.354310853025424E-2</v>
      </c>
      <c r="L2001" s="2" t="str">
        <f>IF(ISNUMBER(SEARCH("|",IMDB_Movies!$D2001)),LEFT(IMDB_Movies!$D2001,SEARCH("|",IMDB_Movies!$D2001)-1),IMDB_Movies!$D2001)</f>
        <v>Comedy</v>
      </c>
      <c r="V2001" s="2"/>
      <c r="W2001" s="2"/>
    </row>
    <row r="2002" spans="1:23" ht="12.5" x14ac:dyDescent="0.25">
      <c r="A2002" s="2" t="s">
        <v>3479</v>
      </c>
      <c r="B2002" s="2">
        <v>72</v>
      </c>
      <c r="C2002" s="2">
        <v>48423368</v>
      </c>
      <c r="D2002" s="2" t="s">
        <v>240</v>
      </c>
      <c r="E2002" s="2" t="s">
        <v>3480</v>
      </c>
      <c r="F2002" s="2" t="s">
        <v>14</v>
      </c>
      <c r="G2002" s="2" t="s">
        <v>15</v>
      </c>
      <c r="H2002" s="2">
        <v>20000000</v>
      </c>
      <c r="I2002" s="2">
        <v>5.8</v>
      </c>
      <c r="J2002" s="2">
        <f t="shared" si="14"/>
        <v>28423368</v>
      </c>
      <c r="K2002" s="2">
        <f t="shared" si="15"/>
        <v>-2.353947963279282E-2</v>
      </c>
      <c r="L2002" s="2" t="str">
        <f>IF(ISNUMBER(SEARCH("|",IMDB_Movies!$D2002)),LEFT(IMDB_Movies!$D2002,SEARCH("|",IMDB_Movies!$D2002)-1),IMDB_Movies!$D2002)</f>
        <v>Adventure</v>
      </c>
      <c r="V2002" s="2"/>
      <c r="W2002" s="2"/>
    </row>
    <row r="2003" spans="1:23" ht="12.5" x14ac:dyDescent="0.25">
      <c r="A2003" s="2" t="s">
        <v>3481</v>
      </c>
      <c r="B2003" s="2">
        <v>128</v>
      </c>
      <c r="C2003" s="2">
        <v>52066000</v>
      </c>
      <c r="D2003" s="2" t="s">
        <v>2000</v>
      </c>
      <c r="E2003" s="2" t="s">
        <v>3482</v>
      </c>
      <c r="F2003" s="2" t="s">
        <v>14</v>
      </c>
      <c r="G2003" s="2" t="s">
        <v>22</v>
      </c>
      <c r="H2003" s="2">
        <v>20000000</v>
      </c>
      <c r="I2003" s="2">
        <v>7.5</v>
      </c>
      <c r="J2003" s="2">
        <f t="shared" si="14"/>
        <v>32066000</v>
      </c>
      <c r="K2003" s="2">
        <f t="shared" si="15"/>
        <v>-2.3535842635098992E-2</v>
      </c>
      <c r="L2003" s="2" t="str">
        <f>IF(ISNUMBER(SEARCH("|",IMDB_Movies!$D2003)),LEFT(IMDB_Movies!$D2003,SEARCH("|",IMDB_Movies!$D2003)-1),IMDB_Movies!$D2003)</f>
        <v>Biography</v>
      </c>
      <c r="V2003" s="2"/>
      <c r="W2003" s="2"/>
    </row>
    <row r="2004" spans="1:23" ht="12.5" x14ac:dyDescent="0.25">
      <c r="A2004" s="2" t="s">
        <v>3483</v>
      </c>
      <c r="B2004" s="2">
        <v>72</v>
      </c>
      <c r="C2004" s="2">
        <v>47887943</v>
      </c>
      <c r="D2004" s="2" t="s">
        <v>3484</v>
      </c>
      <c r="E2004" s="2" t="s">
        <v>3485</v>
      </c>
      <c r="F2004" s="2" t="s">
        <v>14</v>
      </c>
      <c r="G2004" s="2" t="s">
        <v>15</v>
      </c>
      <c r="H2004" s="2">
        <v>20000000</v>
      </c>
      <c r="I2004" s="2">
        <v>5.4</v>
      </c>
      <c r="J2004" s="2">
        <f t="shared" si="14"/>
        <v>27887943</v>
      </c>
      <c r="K2004" s="2">
        <f t="shared" si="15"/>
        <v>-2.3532377647837988E-2</v>
      </c>
      <c r="L2004" s="2" t="str">
        <f>IF(ISNUMBER(SEARCH("|",IMDB_Movies!$D2004)),LEFT(IMDB_Movies!$D2004,SEARCH("|",IMDB_Movies!$D2004)-1),IMDB_Movies!$D2004)</f>
        <v>Adventure</v>
      </c>
      <c r="V2004" s="2"/>
      <c r="W2004" s="2"/>
    </row>
    <row r="2005" spans="1:23" ht="12.5" x14ac:dyDescent="0.25">
      <c r="A2005" s="2" t="s">
        <v>2246</v>
      </c>
      <c r="B2005" s="2">
        <v>89</v>
      </c>
      <c r="C2005" s="2">
        <v>46363118</v>
      </c>
      <c r="D2005" s="2" t="s">
        <v>2061</v>
      </c>
      <c r="E2005" s="2" t="s">
        <v>3486</v>
      </c>
      <c r="F2005" s="2" t="s">
        <v>14</v>
      </c>
      <c r="G2005" s="2" t="s">
        <v>15</v>
      </c>
      <c r="H2005" s="2">
        <v>20000000</v>
      </c>
      <c r="I2005" s="2">
        <v>4.0999999999999996</v>
      </c>
      <c r="J2005" s="2">
        <f t="shared" si="14"/>
        <v>26363118</v>
      </c>
      <c r="K2005" s="2">
        <f t="shared" si="15"/>
        <v>-2.3528718278629762E-2</v>
      </c>
      <c r="L2005" s="2" t="str">
        <f>IF(ISNUMBER(SEARCH("|",IMDB_Movies!$D2005)),LEFT(IMDB_Movies!$D2005,SEARCH("|",IMDB_Movies!$D2005)-1),IMDB_Movies!$D2005)</f>
        <v>Drama</v>
      </c>
      <c r="V2005" s="2"/>
      <c r="W2005" s="2"/>
    </row>
    <row r="2006" spans="1:23" ht="12.5" x14ac:dyDescent="0.25">
      <c r="A2006" s="2" t="s">
        <v>3487</v>
      </c>
      <c r="B2006" s="2">
        <v>96</v>
      </c>
      <c r="C2006" s="2">
        <v>47852604</v>
      </c>
      <c r="D2006" s="2" t="s">
        <v>690</v>
      </c>
      <c r="E2006" s="2" t="s">
        <v>3488</v>
      </c>
      <c r="F2006" s="2" t="s">
        <v>14</v>
      </c>
      <c r="G2006" s="2" t="s">
        <v>15</v>
      </c>
      <c r="H2006" s="2">
        <v>20000000</v>
      </c>
      <c r="I2006" s="2">
        <v>5.9</v>
      </c>
      <c r="J2006" s="2">
        <f t="shared" si="14"/>
        <v>27852604</v>
      </c>
      <c r="K2006" s="2">
        <f t="shared" si="15"/>
        <v>-2.3525034343930201E-2</v>
      </c>
      <c r="L2006" s="2" t="str">
        <f>IF(ISNUMBER(SEARCH("|",IMDB_Movies!$D2006)),LEFT(IMDB_Movies!$D2006,SEARCH("|",IMDB_Movies!$D2006)-1),IMDB_Movies!$D2006)</f>
        <v>Drama</v>
      </c>
      <c r="V2006" s="2"/>
      <c r="W2006" s="2"/>
    </row>
    <row r="2007" spans="1:23" ht="12.5" x14ac:dyDescent="0.25">
      <c r="A2007" s="2" t="s">
        <v>3489</v>
      </c>
      <c r="B2007" s="2">
        <v>77</v>
      </c>
      <c r="C2007" s="2">
        <v>45542421</v>
      </c>
      <c r="D2007" s="2" t="s">
        <v>3490</v>
      </c>
      <c r="E2007" s="2" t="s">
        <v>3491</v>
      </c>
      <c r="F2007" s="2" t="s">
        <v>14</v>
      </c>
      <c r="G2007" s="2" t="s">
        <v>15</v>
      </c>
      <c r="H2007" s="2">
        <v>30000000</v>
      </c>
      <c r="I2007" s="2">
        <v>6.3</v>
      </c>
      <c r="J2007" s="2">
        <f t="shared" si="14"/>
        <v>15542421</v>
      </c>
      <c r="K2007" s="2">
        <f t="shared" si="15"/>
        <v>-2.3521364843388699E-2</v>
      </c>
      <c r="L2007" s="2" t="str">
        <f>IF(ISNUMBER(SEARCH("|",IMDB_Movies!$D2007)),LEFT(IMDB_Movies!$D2007,SEARCH("|",IMDB_Movies!$D2007)-1),IMDB_Movies!$D2007)</f>
        <v>Animation</v>
      </c>
      <c r="V2007" s="2"/>
      <c r="W2007" s="2"/>
    </row>
    <row r="2008" spans="1:23" ht="12.5" x14ac:dyDescent="0.25">
      <c r="A2008" s="2" t="s">
        <v>2597</v>
      </c>
      <c r="B2008" s="2">
        <v>111</v>
      </c>
      <c r="C2008" s="2">
        <v>42652003</v>
      </c>
      <c r="D2008" s="2" t="s">
        <v>3049</v>
      </c>
      <c r="E2008" s="2" t="s">
        <v>3492</v>
      </c>
      <c r="F2008" s="2" t="s">
        <v>14</v>
      </c>
      <c r="G2008" s="2" t="s">
        <v>15</v>
      </c>
      <c r="H2008" s="2">
        <v>20000000</v>
      </c>
      <c r="I2008" s="2">
        <v>6.8</v>
      </c>
      <c r="J2008" s="2">
        <f t="shared" si="14"/>
        <v>22652003</v>
      </c>
      <c r="K2008" s="2">
        <f t="shared" si="15"/>
        <v>-2.3530439133640682E-2</v>
      </c>
      <c r="L2008" s="2" t="str">
        <f>IF(ISNUMBER(SEARCH("|",IMDB_Movies!$D2008)),LEFT(IMDB_Movies!$D2008,SEARCH("|",IMDB_Movies!$D2008)-1),IMDB_Movies!$D2008)</f>
        <v>Adventure</v>
      </c>
      <c r="V2008" s="2"/>
      <c r="W2008" s="2"/>
    </row>
    <row r="2009" spans="1:23" ht="12.5" x14ac:dyDescent="0.25">
      <c r="A2009" s="2" t="s">
        <v>2767</v>
      </c>
      <c r="B2009" s="2">
        <v>93</v>
      </c>
      <c r="C2009" s="2">
        <v>39737645</v>
      </c>
      <c r="D2009" s="2" t="s">
        <v>1450</v>
      </c>
      <c r="E2009" s="2" t="s">
        <v>3493</v>
      </c>
      <c r="F2009" s="2" t="s">
        <v>14</v>
      </c>
      <c r="G2009" s="2" t="s">
        <v>15</v>
      </c>
      <c r="H2009" s="2">
        <v>20000000</v>
      </c>
      <c r="I2009" s="2">
        <v>2.2999999999999998</v>
      </c>
      <c r="J2009" s="2">
        <f t="shared" si="14"/>
        <v>19737645</v>
      </c>
      <c r="K2009" s="2">
        <f t="shared" si="15"/>
        <v>-2.3526811120151939E-2</v>
      </c>
      <c r="L2009" s="2" t="str">
        <f>IF(ISNUMBER(SEARCH("|",IMDB_Movies!$D2009)),LEFT(IMDB_Movies!$D2009,SEARCH("|",IMDB_Movies!$D2009)-1),IMDB_Movies!$D2009)</f>
        <v>Adventure</v>
      </c>
      <c r="V2009" s="2"/>
      <c r="W2009" s="2"/>
    </row>
    <row r="2010" spans="1:23" ht="12.5" x14ac:dyDescent="0.25">
      <c r="A2010" s="2" t="s">
        <v>3494</v>
      </c>
      <c r="B2010" s="2">
        <v>128</v>
      </c>
      <c r="C2010" s="2">
        <v>44988180</v>
      </c>
      <c r="D2010" s="2" t="s">
        <v>3495</v>
      </c>
      <c r="E2010" s="2" t="s">
        <v>3496</v>
      </c>
      <c r="F2010" s="2" t="s">
        <v>14</v>
      </c>
      <c r="G2010" s="2" t="s">
        <v>15</v>
      </c>
      <c r="H2010" s="2">
        <v>20000000</v>
      </c>
      <c r="I2010" s="2">
        <v>8.1</v>
      </c>
      <c r="J2010" s="2">
        <f t="shared" si="14"/>
        <v>24988180</v>
      </c>
      <c r="K2010" s="2">
        <f t="shared" si="15"/>
        <v>-2.3523336293370632E-2</v>
      </c>
      <c r="L2010" s="2" t="str">
        <f>IF(ISNUMBER(SEARCH("|",IMDB_Movies!$D2010)),LEFT(IMDB_Movies!$D2010,SEARCH("|",IMDB_Movies!$D2010)-1),IMDB_Movies!$D2010)</f>
        <v>Biography</v>
      </c>
      <c r="V2010" s="2"/>
      <c r="W2010" s="2"/>
    </row>
    <row r="2011" spans="1:23" ht="12.5" x14ac:dyDescent="0.25">
      <c r="A2011" s="2" t="s">
        <v>3277</v>
      </c>
      <c r="B2011" s="2">
        <v>110</v>
      </c>
      <c r="C2011" s="2">
        <v>39263506</v>
      </c>
      <c r="D2011" s="2" t="s">
        <v>763</v>
      </c>
      <c r="E2011" s="2" t="s">
        <v>3497</v>
      </c>
      <c r="F2011" s="2" t="s">
        <v>14</v>
      </c>
      <c r="G2011" s="2" t="s">
        <v>15</v>
      </c>
      <c r="H2011" s="2">
        <v>22000000</v>
      </c>
      <c r="I2011" s="2">
        <v>6.1</v>
      </c>
      <c r="J2011" s="2">
        <f t="shared" si="14"/>
        <v>17263506</v>
      </c>
      <c r="K2011" s="2">
        <f t="shared" si="15"/>
        <v>-2.3519642466174651E-2</v>
      </c>
      <c r="L2011" s="2" t="str">
        <f>IF(ISNUMBER(SEARCH("|",IMDB_Movies!$D2011)),LEFT(IMDB_Movies!$D2011,SEARCH("|",IMDB_Movies!$D2011)-1),IMDB_Movies!$D2011)</f>
        <v>Crime</v>
      </c>
      <c r="V2011" s="2"/>
      <c r="W2011" s="2"/>
    </row>
    <row r="2012" spans="1:23" ht="12.5" x14ac:dyDescent="0.25">
      <c r="A2012" s="2" t="s">
        <v>3498</v>
      </c>
      <c r="B2012" s="2">
        <v>137</v>
      </c>
      <c r="C2012" s="2">
        <v>39143839</v>
      </c>
      <c r="D2012" s="2" t="s">
        <v>2228</v>
      </c>
      <c r="E2012" s="2" t="s">
        <v>3499</v>
      </c>
      <c r="F2012" s="2" t="s">
        <v>14</v>
      </c>
      <c r="G2012" s="2" t="s">
        <v>15</v>
      </c>
      <c r="H2012" s="2">
        <v>20000000</v>
      </c>
      <c r="I2012" s="2">
        <v>5</v>
      </c>
      <c r="J2012" s="2">
        <f t="shared" si="14"/>
        <v>19143839</v>
      </c>
      <c r="K2012" s="2">
        <f t="shared" si="15"/>
        <v>-2.3518111598025547E-2</v>
      </c>
      <c r="L2012" s="2" t="str">
        <f>IF(ISNUMBER(SEARCH("|",IMDB_Movies!$D2012)),LEFT(IMDB_Movies!$D2012,SEARCH("|",IMDB_Movies!$D2012)-1),IMDB_Movies!$D2012)</f>
        <v>Horror</v>
      </c>
      <c r="V2012" s="2"/>
      <c r="W2012" s="2"/>
    </row>
    <row r="2013" spans="1:23" ht="12.5" x14ac:dyDescent="0.25">
      <c r="A2013" s="2" t="s">
        <v>2430</v>
      </c>
      <c r="B2013" s="2">
        <v>124</v>
      </c>
      <c r="C2013" s="2">
        <v>37672350</v>
      </c>
      <c r="D2013" s="2" t="s">
        <v>514</v>
      </c>
      <c r="E2013" s="2" t="s">
        <v>3500</v>
      </c>
      <c r="F2013" s="2" t="s">
        <v>14</v>
      </c>
      <c r="G2013" s="2" t="s">
        <v>15</v>
      </c>
      <c r="H2013" s="2">
        <v>20000000</v>
      </c>
      <c r="I2013" s="2">
        <v>5.5</v>
      </c>
      <c r="J2013" s="2">
        <f t="shared" si="14"/>
        <v>17672350</v>
      </c>
      <c r="K2013" s="2">
        <f t="shared" si="15"/>
        <v>-2.351466877766244E-2</v>
      </c>
      <c r="L2013" s="2" t="str">
        <f>IF(ISNUMBER(SEARCH("|",IMDB_Movies!$D2013)),LEFT(IMDB_Movies!$D2013,SEARCH("|",IMDB_Movies!$D2013)-1),IMDB_Movies!$D2013)</f>
        <v>Comedy</v>
      </c>
      <c r="V2013" s="2"/>
      <c r="W2013" s="2"/>
    </row>
    <row r="2014" spans="1:23" ht="12.5" x14ac:dyDescent="0.25">
      <c r="A2014" s="2" t="s">
        <v>1734</v>
      </c>
      <c r="B2014" s="2">
        <v>93</v>
      </c>
      <c r="C2014" s="2">
        <v>38037513</v>
      </c>
      <c r="D2014" s="2" t="s">
        <v>3501</v>
      </c>
      <c r="E2014" s="2" t="s">
        <v>3502</v>
      </c>
      <c r="F2014" s="2" t="s">
        <v>14</v>
      </c>
      <c r="G2014" s="2" t="s">
        <v>15</v>
      </c>
      <c r="H2014" s="2">
        <v>20000000</v>
      </c>
      <c r="I2014" s="2">
        <v>6.2</v>
      </c>
      <c r="J2014" s="2">
        <f t="shared" si="14"/>
        <v>18037513</v>
      </c>
      <c r="K2014" s="2">
        <f t="shared" si="15"/>
        <v>-2.3511348289574997E-2</v>
      </c>
      <c r="L2014" s="2" t="str">
        <f>IF(ISNUMBER(SEARCH("|",IMDB_Movies!$D2014)),LEFT(IMDB_Movies!$D2014,SEARCH("|",IMDB_Movies!$D2014)-1),IMDB_Movies!$D2014)</f>
        <v>Adventure</v>
      </c>
      <c r="V2014" s="2"/>
      <c r="W2014" s="2"/>
    </row>
    <row r="2015" spans="1:23" ht="12.5" x14ac:dyDescent="0.25">
      <c r="A2015" s="2" t="s">
        <v>1081</v>
      </c>
      <c r="B2015" s="2">
        <v>115</v>
      </c>
      <c r="C2015" s="2">
        <v>37442180</v>
      </c>
      <c r="D2015" s="2" t="s">
        <v>3176</v>
      </c>
      <c r="E2015" s="2" t="s">
        <v>3503</v>
      </c>
      <c r="F2015" s="2" t="s">
        <v>14</v>
      </c>
      <c r="G2015" s="2" t="s">
        <v>15</v>
      </c>
      <c r="H2015" s="2">
        <v>20000000</v>
      </c>
      <c r="I2015" s="2">
        <v>6.2</v>
      </c>
      <c r="J2015" s="2">
        <f t="shared" si="14"/>
        <v>17442180</v>
      </c>
      <c r="K2015" s="2">
        <f t="shared" si="15"/>
        <v>-2.3507989942660502E-2</v>
      </c>
      <c r="L2015" s="2" t="str">
        <f>IF(ISNUMBER(SEARCH("|",IMDB_Movies!$D2015)),LEFT(IMDB_Movies!$D2015,SEARCH("|",IMDB_Movies!$D2015)-1),IMDB_Movies!$D2015)</f>
        <v>Comedy</v>
      </c>
      <c r="V2015" s="2"/>
      <c r="W2015" s="2"/>
    </row>
    <row r="2016" spans="1:23" ht="12.5" x14ac:dyDescent="0.25">
      <c r="A2016" s="2" t="s">
        <v>3504</v>
      </c>
      <c r="B2016" s="2">
        <v>105</v>
      </c>
      <c r="C2016" s="2">
        <v>35596227</v>
      </c>
      <c r="D2016" s="2" t="s">
        <v>763</v>
      </c>
      <c r="E2016" s="2" t="s">
        <v>3505</v>
      </c>
      <c r="F2016" s="2" t="s">
        <v>14</v>
      </c>
      <c r="G2016" s="2" t="s">
        <v>15</v>
      </c>
      <c r="H2016" s="2">
        <v>20000000</v>
      </c>
      <c r="I2016" s="2">
        <v>6.3</v>
      </c>
      <c r="J2016" s="2">
        <f t="shared" si="14"/>
        <v>15596227</v>
      </c>
      <c r="K2016" s="2">
        <f t="shared" si="15"/>
        <v>-2.3504683287170668E-2</v>
      </c>
      <c r="L2016" s="2" t="str">
        <f>IF(ISNUMBER(SEARCH("|",IMDB_Movies!$D2016)),LEFT(IMDB_Movies!$D2016,SEARCH("|",IMDB_Movies!$D2016)-1),IMDB_Movies!$D2016)</f>
        <v>Crime</v>
      </c>
      <c r="V2016" s="2"/>
      <c r="W2016" s="2"/>
    </row>
    <row r="2017" spans="1:23" ht="12.5" x14ac:dyDescent="0.25">
      <c r="A2017" s="2" t="s">
        <v>3506</v>
      </c>
      <c r="B2017" s="2">
        <v>127</v>
      </c>
      <c r="C2017" s="2">
        <v>35422828</v>
      </c>
      <c r="D2017" s="2" t="s">
        <v>1473</v>
      </c>
      <c r="E2017" s="2" t="s">
        <v>3507</v>
      </c>
      <c r="F2017" s="2" t="s">
        <v>14</v>
      </c>
      <c r="G2017" s="2" t="s">
        <v>15</v>
      </c>
      <c r="H2017" s="2">
        <v>20000000</v>
      </c>
      <c r="I2017" s="2">
        <v>6.7</v>
      </c>
      <c r="J2017" s="2">
        <f t="shared" si="14"/>
        <v>15422828</v>
      </c>
      <c r="K2017" s="2">
        <f t="shared" si="15"/>
        <v>-2.3501571577434745E-2</v>
      </c>
      <c r="L2017" s="2" t="str">
        <f>IF(ISNUMBER(SEARCH("|",IMDB_Movies!$D2017)),LEFT(IMDB_Movies!$D2017,SEARCH("|",IMDB_Movies!$D2017)-1),IMDB_Movies!$D2017)</f>
        <v>Biography</v>
      </c>
      <c r="V2017" s="2"/>
      <c r="W2017" s="2"/>
    </row>
    <row r="2018" spans="1:23" ht="12.5" x14ac:dyDescent="0.25">
      <c r="A2018" s="2" t="s">
        <v>2767</v>
      </c>
      <c r="B2018" s="2">
        <v>82</v>
      </c>
      <c r="C2018" s="2">
        <v>36658108</v>
      </c>
      <c r="D2018" s="2" t="s">
        <v>709</v>
      </c>
      <c r="E2018" s="2" t="s">
        <v>3508</v>
      </c>
      <c r="F2018" s="2" t="s">
        <v>14</v>
      </c>
      <c r="G2018" s="2" t="s">
        <v>15</v>
      </c>
      <c r="H2018" s="2">
        <v>20000000</v>
      </c>
      <c r="I2018" s="2">
        <v>3.5</v>
      </c>
      <c r="J2018" s="2">
        <f t="shared" si="14"/>
        <v>16658108</v>
      </c>
      <c r="K2018" s="2">
        <f t="shared" si="15"/>
        <v>-2.3498476783202292E-2</v>
      </c>
      <c r="L2018" s="2" t="str">
        <f>IF(ISNUMBER(SEARCH("|",IMDB_Movies!$D2018)),LEFT(IMDB_Movies!$D2018,SEARCH("|",IMDB_Movies!$D2018)-1),IMDB_Movies!$D2018)</f>
        <v>Comedy</v>
      </c>
      <c r="V2018" s="2"/>
      <c r="W2018" s="2"/>
    </row>
    <row r="2019" spans="1:23" ht="12.5" x14ac:dyDescent="0.25">
      <c r="A2019" s="2" t="s">
        <v>416</v>
      </c>
      <c r="B2019" s="2">
        <v>143</v>
      </c>
      <c r="C2019" s="2">
        <v>34300771</v>
      </c>
      <c r="D2019" s="2" t="s">
        <v>1180</v>
      </c>
      <c r="E2019" s="2" t="s">
        <v>3509</v>
      </c>
      <c r="F2019" s="2" t="s">
        <v>14</v>
      </c>
      <c r="G2019" s="2" t="s">
        <v>686</v>
      </c>
      <c r="H2019" s="2">
        <v>25000000</v>
      </c>
      <c r="I2019" s="2">
        <v>7.5</v>
      </c>
      <c r="J2019" s="2">
        <f t="shared" si="14"/>
        <v>9300771</v>
      </c>
      <c r="K2019" s="2">
        <f t="shared" si="15"/>
        <v>-2.349523807181279E-2</v>
      </c>
      <c r="L2019" s="2" t="str">
        <f>IF(ISNUMBER(SEARCH("|",IMDB_Movies!$D2019)),LEFT(IMDB_Movies!$D2019,SEARCH("|",IMDB_Movies!$D2019)-1),IMDB_Movies!$D2019)</f>
        <v>Drama</v>
      </c>
      <c r="V2019" s="2"/>
      <c r="W2019" s="2"/>
    </row>
    <row r="2020" spans="1:23" ht="12.5" x14ac:dyDescent="0.25">
      <c r="A2020" s="2" t="s">
        <v>302</v>
      </c>
      <c r="B2020" s="2">
        <v>103</v>
      </c>
      <c r="C2020" s="2">
        <v>34290142</v>
      </c>
      <c r="D2020" s="2" t="s">
        <v>891</v>
      </c>
      <c r="E2020" s="2" t="s">
        <v>3510</v>
      </c>
      <c r="F2020" s="2" t="s">
        <v>14</v>
      </c>
      <c r="G2020" s="2" t="s">
        <v>15</v>
      </c>
      <c r="H2020" s="2">
        <v>19800000</v>
      </c>
      <c r="I2020" s="2">
        <v>6.6</v>
      </c>
      <c r="J2020" s="2">
        <f t="shared" si="14"/>
        <v>14490142</v>
      </c>
      <c r="K2020" s="2">
        <f t="shared" si="15"/>
        <v>-2.349582966067456E-2</v>
      </c>
      <c r="L2020" s="2" t="str">
        <f>IF(ISNUMBER(SEARCH("|",IMDB_Movies!$D2020)),LEFT(IMDB_Movies!$D2020,SEARCH("|",IMDB_Movies!$D2020)-1),IMDB_Movies!$D2020)</f>
        <v>Comedy</v>
      </c>
      <c r="V2020" s="2"/>
      <c r="W2020" s="2"/>
    </row>
    <row r="2021" spans="1:23" ht="12.5" x14ac:dyDescent="0.25">
      <c r="A2021" s="2" t="s">
        <v>3511</v>
      </c>
      <c r="B2021" s="2">
        <v>104</v>
      </c>
      <c r="C2021" s="2">
        <v>33422556</v>
      </c>
      <c r="D2021" s="2" t="s">
        <v>2665</v>
      </c>
      <c r="E2021" s="2" t="s">
        <v>3512</v>
      </c>
      <c r="F2021" s="2" t="s">
        <v>14</v>
      </c>
      <c r="G2021" s="2" t="s">
        <v>15</v>
      </c>
      <c r="H2021" s="2">
        <v>20000000</v>
      </c>
      <c r="I2021" s="2">
        <v>7.5</v>
      </c>
      <c r="J2021" s="2">
        <f t="shared" si="14"/>
        <v>13422556</v>
      </c>
      <c r="K2021" s="2">
        <f t="shared" si="15"/>
        <v>-2.3492727729692429E-2</v>
      </c>
      <c r="L2021" s="2" t="str">
        <f>IF(ISNUMBER(SEARCH("|",IMDB_Movies!$D2021)),LEFT(IMDB_Movies!$D2021,SEARCH("|",IMDB_Movies!$D2021)-1),IMDB_Movies!$D2021)</f>
        <v>Drama</v>
      </c>
      <c r="V2021" s="2"/>
      <c r="W2021" s="2"/>
    </row>
    <row r="2022" spans="1:23" ht="12.5" x14ac:dyDescent="0.25">
      <c r="A2022" s="2" t="s">
        <v>3413</v>
      </c>
      <c r="B2022" s="2">
        <v>98</v>
      </c>
      <c r="C2022" s="2">
        <v>32774834</v>
      </c>
      <c r="D2022" s="2" t="s">
        <v>768</v>
      </c>
      <c r="E2022" s="2" t="s">
        <v>3513</v>
      </c>
      <c r="F2022" s="2" t="s">
        <v>14</v>
      </c>
      <c r="G2022" s="2" t="s">
        <v>15</v>
      </c>
      <c r="H2022" s="2">
        <v>30000000</v>
      </c>
      <c r="I2022" s="2">
        <v>7.2</v>
      </c>
      <c r="J2022" s="2">
        <f t="shared" si="14"/>
        <v>2774834</v>
      </c>
      <c r="K2022" s="2">
        <f t="shared" si="15"/>
        <v>-2.3489884242255409E-2</v>
      </c>
      <c r="L2022" s="2" t="str">
        <f>IF(ISNUMBER(SEARCH("|",IMDB_Movies!$D2022)),LEFT(IMDB_Movies!$D2022,SEARCH("|",IMDB_Movies!$D2022)-1),IMDB_Movies!$D2022)</f>
        <v>Action</v>
      </c>
      <c r="V2022" s="2"/>
      <c r="W2022" s="2"/>
    </row>
    <row r="2023" spans="1:23" ht="12.5" x14ac:dyDescent="0.25">
      <c r="A2023" s="2" t="s">
        <v>2619</v>
      </c>
      <c r="B2023" s="2">
        <v>92</v>
      </c>
      <c r="C2023" s="2">
        <v>34334256</v>
      </c>
      <c r="D2023" s="2" t="s">
        <v>2228</v>
      </c>
      <c r="E2023" s="2" t="s">
        <v>3514</v>
      </c>
      <c r="F2023" s="2" t="s">
        <v>14</v>
      </c>
      <c r="G2023" s="2" t="s">
        <v>15</v>
      </c>
      <c r="H2023" s="2">
        <v>11000000</v>
      </c>
      <c r="I2023" s="2">
        <v>4.8</v>
      </c>
      <c r="J2023" s="2">
        <f t="shared" si="14"/>
        <v>23334256</v>
      </c>
      <c r="K2023" s="2">
        <f t="shared" si="15"/>
        <v>-2.3493472602654924E-2</v>
      </c>
      <c r="L2023" s="2" t="str">
        <f>IF(ISNUMBER(SEARCH("|",IMDB_Movies!$D2023)),LEFT(IMDB_Movies!$D2023,SEARCH("|",IMDB_Movies!$D2023)-1),IMDB_Movies!$D2023)</f>
        <v>Horror</v>
      </c>
      <c r="V2023" s="2"/>
      <c r="W2023" s="2"/>
    </row>
    <row r="2024" spans="1:23" ht="12.5" x14ac:dyDescent="0.25">
      <c r="A2024" s="2" t="s">
        <v>872</v>
      </c>
      <c r="B2024" s="2">
        <v>123</v>
      </c>
      <c r="C2024" s="2">
        <v>32051917</v>
      </c>
      <c r="D2024" s="2" t="s">
        <v>770</v>
      </c>
      <c r="E2024" s="2" t="s">
        <v>3515</v>
      </c>
      <c r="F2024" s="2" t="s">
        <v>14</v>
      </c>
      <c r="G2024" s="2" t="s">
        <v>15</v>
      </c>
      <c r="H2024" s="2">
        <v>20000000</v>
      </c>
      <c r="I2024" s="2">
        <v>6.6</v>
      </c>
      <c r="J2024" s="2">
        <f t="shared" si="14"/>
        <v>12051917</v>
      </c>
      <c r="K2024" s="2">
        <f t="shared" si="15"/>
        <v>-2.3484085241388647E-2</v>
      </c>
      <c r="L2024" s="2" t="str">
        <f>IF(ISNUMBER(SEARCH("|",IMDB_Movies!$D2024)),LEFT(IMDB_Movies!$D2024,SEARCH("|",IMDB_Movies!$D2024)-1),IMDB_Movies!$D2024)</f>
        <v>Crime</v>
      </c>
      <c r="V2024" s="2"/>
      <c r="W2024" s="2"/>
    </row>
    <row r="2025" spans="1:23" ht="12.5" x14ac:dyDescent="0.25">
      <c r="A2025" s="2" t="s">
        <v>2965</v>
      </c>
      <c r="B2025" s="2">
        <v>88</v>
      </c>
      <c r="C2025" s="2">
        <v>32014289</v>
      </c>
      <c r="D2025" s="2" t="s">
        <v>709</v>
      </c>
      <c r="E2025" s="2" t="s">
        <v>3516</v>
      </c>
      <c r="F2025" s="2" t="s">
        <v>14</v>
      </c>
      <c r="G2025" s="2" t="s">
        <v>15</v>
      </c>
      <c r="H2025" s="2">
        <v>20000000</v>
      </c>
      <c r="I2025" s="2">
        <v>3.5</v>
      </c>
      <c r="J2025" s="2">
        <f t="shared" si="14"/>
        <v>12014289</v>
      </c>
      <c r="K2025" s="2">
        <f t="shared" si="15"/>
        <v>-2.3481439479453723E-2</v>
      </c>
      <c r="L2025" s="2" t="str">
        <f>IF(ISNUMBER(SEARCH("|",IMDB_Movies!$D2025)),LEFT(IMDB_Movies!$D2025,SEARCH("|",IMDB_Movies!$D2025)-1),IMDB_Movies!$D2025)</f>
        <v>Comedy</v>
      </c>
      <c r="V2025" s="2"/>
      <c r="W2025" s="2"/>
    </row>
    <row r="2026" spans="1:23" ht="12.5" x14ac:dyDescent="0.25">
      <c r="A2026" s="2" t="s">
        <v>2035</v>
      </c>
      <c r="B2026" s="2">
        <v>128</v>
      </c>
      <c r="C2026" s="2">
        <v>31838002</v>
      </c>
      <c r="D2026" s="2" t="s">
        <v>2000</v>
      </c>
      <c r="E2026" s="2" t="s">
        <v>3517</v>
      </c>
      <c r="F2026" s="2" t="s">
        <v>14</v>
      </c>
      <c r="G2026" s="2" t="s">
        <v>15</v>
      </c>
      <c r="H2026" s="2">
        <v>20000000</v>
      </c>
      <c r="I2026" s="2">
        <v>7.6</v>
      </c>
      <c r="J2026" s="2">
        <f t="shared" si="14"/>
        <v>11838002</v>
      </c>
      <c r="K2026" s="2">
        <f t="shared" si="15"/>
        <v>-2.3478796570091165E-2</v>
      </c>
      <c r="L2026" s="2" t="str">
        <f>IF(ISNUMBER(SEARCH("|",IMDB_Movies!$D2026)),LEFT(IMDB_Movies!$D2026,SEARCH("|",IMDB_Movies!$D2026)-1),IMDB_Movies!$D2026)</f>
        <v>Biography</v>
      </c>
      <c r="V2026" s="2"/>
      <c r="W2026" s="2"/>
    </row>
    <row r="2027" spans="1:23" ht="12.5" x14ac:dyDescent="0.25">
      <c r="A2027" s="2" t="s">
        <v>208</v>
      </c>
      <c r="B2027" s="2">
        <v>107</v>
      </c>
      <c r="C2027" s="2">
        <v>36874745</v>
      </c>
      <c r="D2027" s="2" t="s">
        <v>3518</v>
      </c>
      <c r="E2027" s="2" t="s">
        <v>3519</v>
      </c>
      <c r="F2027" s="2" t="s">
        <v>14</v>
      </c>
      <c r="G2027" s="2" t="s">
        <v>15</v>
      </c>
      <c r="H2027" s="2">
        <v>20000000</v>
      </c>
      <c r="I2027" s="2">
        <v>6.3</v>
      </c>
      <c r="J2027" s="2">
        <f t="shared" si="14"/>
        <v>16874745</v>
      </c>
      <c r="K2027" s="2">
        <f t="shared" si="15"/>
        <v>-2.347617888437992E-2</v>
      </c>
      <c r="L2027" s="2" t="str">
        <f>IF(ISNUMBER(SEARCH("|",IMDB_Movies!$D2027)),LEFT(IMDB_Movies!$D2027,SEARCH("|",IMDB_Movies!$D2027)-1),IMDB_Movies!$D2027)</f>
        <v>Action</v>
      </c>
      <c r="V2027" s="2"/>
      <c r="W2027" s="2"/>
    </row>
    <row r="2028" spans="1:23" ht="12.5" x14ac:dyDescent="0.25">
      <c r="A2028" s="2" t="s">
        <v>3520</v>
      </c>
      <c r="B2028" s="2">
        <v>91</v>
      </c>
      <c r="C2028" s="2">
        <v>30079316</v>
      </c>
      <c r="D2028" s="2" t="s">
        <v>2148</v>
      </c>
      <c r="E2028" s="2" t="s">
        <v>3521</v>
      </c>
      <c r="F2028" s="2" t="s">
        <v>14</v>
      </c>
      <c r="G2028" s="2" t="s">
        <v>15</v>
      </c>
      <c r="H2028" s="2">
        <v>35000000</v>
      </c>
      <c r="I2028" s="2">
        <v>5.5</v>
      </c>
      <c r="J2028" s="2">
        <f t="shared" si="14"/>
        <v>-4920684</v>
      </c>
      <c r="K2028" s="2">
        <f t="shared" si="15"/>
        <v>-2.3472886373032218E-2</v>
      </c>
      <c r="L2028" s="2" t="str">
        <f>IF(ISNUMBER(SEARCH("|",IMDB_Movies!$D2028)),LEFT(IMDB_Movies!$D2028,SEARCH("|",IMDB_Movies!$D2028)-1),IMDB_Movies!$D2028)</f>
        <v>Horror</v>
      </c>
      <c r="V2028" s="2"/>
      <c r="W2028" s="2"/>
    </row>
    <row r="2029" spans="1:23" ht="12.5" x14ac:dyDescent="0.25">
      <c r="A2029" s="2" t="s">
        <v>3522</v>
      </c>
      <c r="B2029" s="2">
        <v>90</v>
      </c>
      <c r="C2029" s="2">
        <v>35033759</v>
      </c>
      <c r="D2029" s="2" t="s">
        <v>1450</v>
      </c>
      <c r="E2029" s="2" t="s">
        <v>3523</v>
      </c>
      <c r="F2029" s="2" t="s">
        <v>14</v>
      </c>
      <c r="G2029" s="2" t="s">
        <v>15</v>
      </c>
      <c r="H2029" s="2">
        <v>19000000</v>
      </c>
      <c r="I2029" s="2">
        <v>6.3</v>
      </c>
      <c r="J2029" s="2">
        <f t="shared" si="14"/>
        <v>16033759</v>
      </c>
      <c r="K2029" s="2">
        <f t="shared" si="15"/>
        <v>-2.3478050578346892E-2</v>
      </c>
      <c r="L2029" s="2" t="str">
        <f>IF(ISNUMBER(SEARCH("|",IMDB_Movies!$D2029)),LEFT(IMDB_Movies!$D2029,SEARCH("|",IMDB_Movies!$D2029)-1),IMDB_Movies!$D2029)</f>
        <v>Adventure</v>
      </c>
      <c r="V2029" s="2"/>
      <c r="W2029" s="2"/>
    </row>
    <row r="2030" spans="1:23" ht="12.5" x14ac:dyDescent="0.25">
      <c r="A2030" s="2" t="s">
        <v>3524</v>
      </c>
      <c r="B2030" s="2">
        <v>115</v>
      </c>
      <c r="C2030" s="2">
        <v>29753944</v>
      </c>
      <c r="D2030" s="2" t="s">
        <v>770</v>
      </c>
      <c r="E2030" s="2" t="s">
        <v>3525</v>
      </c>
      <c r="F2030" s="2" t="s">
        <v>14</v>
      </c>
      <c r="G2030" s="2" t="s">
        <v>15</v>
      </c>
      <c r="H2030" s="2">
        <v>20000000</v>
      </c>
      <c r="I2030" s="2">
        <v>6.5</v>
      </c>
      <c r="J2030" s="2">
        <f t="shared" si="14"/>
        <v>9753944</v>
      </c>
      <c r="K2030" s="2">
        <f t="shared" si="15"/>
        <v>-2.3474218207333919E-2</v>
      </c>
      <c r="L2030" s="2" t="str">
        <f>IF(ISNUMBER(SEARCH("|",IMDB_Movies!$D2030)),LEFT(IMDB_Movies!$D2030,SEARCH("|",IMDB_Movies!$D2030)-1),IMDB_Movies!$D2030)</f>
        <v>Crime</v>
      </c>
      <c r="V2030" s="2"/>
      <c r="W2030" s="2"/>
    </row>
    <row r="2031" spans="1:23" ht="12.5" x14ac:dyDescent="0.25">
      <c r="A2031" s="2" t="s">
        <v>1552</v>
      </c>
      <c r="B2031" s="2">
        <v>113</v>
      </c>
      <c r="C2031" s="2">
        <v>31146570</v>
      </c>
      <c r="D2031" s="2" t="s">
        <v>1400</v>
      </c>
      <c r="E2031" s="2" t="s">
        <v>3526</v>
      </c>
      <c r="F2031" s="2" t="s">
        <v>14</v>
      </c>
      <c r="G2031" s="2" t="s">
        <v>15</v>
      </c>
      <c r="H2031" s="2">
        <v>20000000</v>
      </c>
      <c r="I2031" s="2">
        <v>6.9</v>
      </c>
      <c r="J2031" s="2">
        <f t="shared" si="14"/>
        <v>11146570</v>
      </c>
      <c r="K2031" s="2">
        <f t="shared" si="15"/>
        <v>-2.3471954416060582E-2</v>
      </c>
      <c r="L2031" s="2" t="str">
        <f>IF(ISNUMBER(SEARCH("|",IMDB_Movies!$D2031)),LEFT(IMDB_Movies!$D2031,SEARCH("|",IMDB_Movies!$D2031)-1),IMDB_Movies!$D2031)</f>
        <v>Drama</v>
      </c>
      <c r="V2031" s="2"/>
      <c r="W2031" s="2"/>
    </row>
    <row r="2032" spans="1:23" ht="12.5" x14ac:dyDescent="0.25">
      <c r="A2032" s="2" t="s">
        <v>1900</v>
      </c>
      <c r="B2032" s="2">
        <v>113</v>
      </c>
      <c r="C2032" s="2">
        <v>27277055</v>
      </c>
      <c r="D2032" s="2" t="s">
        <v>1946</v>
      </c>
      <c r="E2032" s="2" t="s">
        <v>3527</v>
      </c>
      <c r="F2032" s="2" t="s">
        <v>14</v>
      </c>
      <c r="G2032" s="2" t="s">
        <v>22</v>
      </c>
      <c r="H2032" s="2">
        <v>20000000</v>
      </c>
      <c r="I2032" s="2">
        <v>7.6</v>
      </c>
      <c r="J2032" s="2">
        <f t="shared" si="14"/>
        <v>7277055</v>
      </c>
      <c r="K2032" s="2">
        <f t="shared" si="15"/>
        <v>-2.3469440264095153E-2</v>
      </c>
      <c r="L2032" s="2" t="str">
        <f>IF(ISNUMBER(SEARCH("|",IMDB_Movies!$D2032)),LEFT(IMDB_Movies!$D2032,SEARCH("|",IMDB_Movies!$D2032)-1),IMDB_Movies!$D2032)</f>
        <v>Comedy</v>
      </c>
      <c r="V2032" s="2"/>
      <c r="W2032" s="2"/>
    </row>
    <row r="2033" spans="1:23" ht="12.5" x14ac:dyDescent="0.25">
      <c r="A2033" s="2" t="s">
        <v>3528</v>
      </c>
      <c r="B2033" s="2">
        <v>87</v>
      </c>
      <c r="C2033" s="2">
        <v>26876529</v>
      </c>
      <c r="D2033" s="2" t="s">
        <v>2116</v>
      </c>
      <c r="E2033" s="2" t="s">
        <v>3529</v>
      </c>
      <c r="F2033" s="2" t="s">
        <v>14</v>
      </c>
      <c r="G2033" s="2" t="s">
        <v>1032</v>
      </c>
      <c r="H2033" s="2">
        <v>27000000</v>
      </c>
      <c r="I2033" s="2">
        <v>3.9</v>
      </c>
      <c r="J2033" s="2">
        <f t="shared" si="14"/>
        <v>-123471</v>
      </c>
      <c r="K2033" s="2">
        <f t="shared" si="15"/>
        <v>-2.3467666429702272E-2</v>
      </c>
      <c r="L2033" s="2" t="str">
        <f>IF(ISNUMBER(SEARCH("|",IMDB_Movies!$D2033)),LEFT(IMDB_Movies!$D2033,SEARCH("|",IMDB_Movies!$D2033)-1),IMDB_Movies!$D2033)</f>
        <v>Horror</v>
      </c>
      <c r="V2033" s="2"/>
      <c r="W2033" s="2"/>
    </row>
    <row r="2034" spans="1:23" ht="12.5" x14ac:dyDescent="0.25">
      <c r="A2034" s="2" t="s">
        <v>3194</v>
      </c>
      <c r="B2034" s="2">
        <v>101</v>
      </c>
      <c r="C2034" s="2">
        <v>53146000</v>
      </c>
      <c r="D2034" s="2" t="s">
        <v>763</v>
      </c>
      <c r="E2034" s="2" t="s">
        <v>3530</v>
      </c>
      <c r="F2034" s="2" t="s">
        <v>14</v>
      </c>
      <c r="G2034" s="2" t="s">
        <v>15</v>
      </c>
      <c r="H2034" s="2">
        <v>20000000</v>
      </c>
      <c r="I2034" s="2">
        <v>6.1</v>
      </c>
      <c r="J2034" s="2">
        <f t="shared" si="14"/>
        <v>33146000</v>
      </c>
      <c r="K2034" s="2">
        <f t="shared" si="15"/>
        <v>-2.3468333076951984E-2</v>
      </c>
      <c r="L2034" s="2" t="str">
        <f>IF(ISNUMBER(SEARCH("|",IMDB_Movies!$D2034)),LEFT(IMDB_Movies!$D2034,SEARCH("|",IMDB_Movies!$D2034)-1),IMDB_Movies!$D2034)</f>
        <v>Crime</v>
      </c>
      <c r="V2034" s="2"/>
      <c r="W2034" s="2"/>
    </row>
    <row r="2035" spans="1:23" ht="12.5" x14ac:dyDescent="0.25">
      <c r="A2035" s="2" t="s">
        <v>536</v>
      </c>
      <c r="B2035" s="2">
        <v>111</v>
      </c>
      <c r="C2035" s="2">
        <v>30028592</v>
      </c>
      <c r="D2035" s="2" t="s">
        <v>1791</v>
      </c>
      <c r="E2035" s="2" t="s">
        <v>3531</v>
      </c>
      <c r="F2035" s="2" t="s">
        <v>14</v>
      </c>
      <c r="G2035" s="2" t="s">
        <v>22</v>
      </c>
      <c r="H2035" s="2">
        <v>20000000</v>
      </c>
      <c r="I2035" s="2">
        <v>7.3</v>
      </c>
      <c r="J2035" s="2">
        <f t="shared" si="14"/>
        <v>10028592</v>
      </c>
      <c r="K2035" s="2">
        <f t="shared" si="15"/>
        <v>-2.3464831272764435E-2</v>
      </c>
      <c r="L2035" s="2" t="str">
        <f>IF(ISNUMBER(SEARCH("|",IMDB_Movies!$D2035)),LEFT(IMDB_Movies!$D2035,SEARCH("|",IMDB_Movies!$D2035)-1),IMDB_Movies!$D2035)</f>
        <v>Crime</v>
      </c>
      <c r="V2035" s="2"/>
      <c r="W2035" s="2"/>
    </row>
    <row r="2036" spans="1:23" ht="12.5" x14ac:dyDescent="0.25">
      <c r="A2036" s="2" t="s">
        <v>558</v>
      </c>
      <c r="B2036" s="2">
        <v>108</v>
      </c>
      <c r="C2036" s="2">
        <v>34126138</v>
      </c>
      <c r="D2036" s="2" t="s">
        <v>2313</v>
      </c>
      <c r="E2036" s="2" t="s">
        <v>3532</v>
      </c>
      <c r="F2036" s="2" t="s">
        <v>14</v>
      </c>
      <c r="G2036" s="2" t="s">
        <v>15</v>
      </c>
      <c r="H2036" s="2">
        <v>20000000</v>
      </c>
      <c r="I2036" s="2">
        <v>8.3000000000000007</v>
      </c>
      <c r="J2036" s="2">
        <f t="shared" si="14"/>
        <v>14126138</v>
      </c>
      <c r="K2036" s="2">
        <f t="shared" si="15"/>
        <v>-2.346250297471815E-2</v>
      </c>
      <c r="L2036" s="2" t="str">
        <f>IF(ISNUMBER(SEARCH("|",IMDB_Movies!$D2036)),LEFT(IMDB_Movies!$D2036,SEARCH("|",IMDB_Movies!$D2036)-1),IMDB_Movies!$D2036)</f>
        <v>Drama</v>
      </c>
      <c r="V2036" s="2"/>
      <c r="W2036" s="2"/>
    </row>
    <row r="2037" spans="1:23" ht="12.5" x14ac:dyDescent="0.25">
      <c r="A2037" s="2" t="s">
        <v>1743</v>
      </c>
      <c r="B2037" s="2">
        <v>105</v>
      </c>
      <c r="C2037" s="2">
        <v>25677801</v>
      </c>
      <c r="D2037" s="2" t="s">
        <v>955</v>
      </c>
      <c r="E2037" s="2" t="s">
        <v>3533</v>
      </c>
      <c r="F2037" s="2" t="s">
        <v>14</v>
      </c>
      <c r="G2037" s="2" t="s">
        <v>15</v>
      </c>
      <c r="H2037" s="2">
        <v>20000000</v>
      </c>
      <c r="I2037" s="2">
        <v>5.8</v>
      </c>
      <c r="J2037" s="2">
        <f t="shared" si="14"/>
        <v>5677801</v>
      </c>
      <c r="K2037" s="2">
        <f t="shared" si="15"/>
        <v>-2.3459518081150391E-2</v>
      </c>
      <c r="L2037" s="2" t="str">
        <f>IF(ISNUMBER(SEARCH("|",IMDB_Movies!$D2037)),LEFT(IMDB_Movies!$D2037,SEARCH("|",IMDB_Movies!$D2037)-1),IMDB_Movies!$D2037)</f>
        <v>Comedy</v>
      </c>
      <c r="V2037" s="2"/>
      <c r="W2037" s="2"/>
    </row>
    <row r="2038" spans="1:23" ht="12.5" x14ac:dyDescent="0.25">
      <c r="A2038" s="2" t="s">
        <v>200</v>
      </c>
      <c r="B2038" s="2">
        <v>109</v>
      </c>
      <c r="C2038" s="2">
        <v>26415649</v>
      </c>
      <c r="D2038" s="2" t="s">
        <v>177</v>
      </c>
      <c r="E2038" s="2" t="s">
        <v>3534</v>
      </c>
      <c r="F2038" s="2" t="s">
        <v>14</v>
      </c>
      <c r="G2038" s="2" t="s">
        <v>15</v>
      </c>
      <c r="H2038" s="2">
        <v>20000000</v>
      </c>
      <c r="I2038" s="2">
        <v>6.8</v>
      </c>
      <c r="J2038" s="2">
        <f t="shared" si="14"/>
        <v>6415649</v>
      </c>
      <c r="K2038" s="2">
        <f t="shared" si="15"/>
        <v>-2.3458088065766183E-2</v>
      </c>
      <c r="L2038" s="2" t="str">
        <f>IF(ISNUMBER(SEARCH("|",IMDB_Movies!$D2038)),LEFT(IMDB_Movies!$D2038,SEARCH("|",IMDB_Movies!$D2038)-1),IMDB_Movies!$D2038)</f>
        <v>Action</v>
      </c>
      <c r="V2038" s="2"/>
      <c r="W2038" s="2"/>
    </row>
    <row r="2039" spans="1:23" ht="12.5" x14ac:dyDescent="0.25">
      <c r="A2039" s="2" t="s">
        <v>869</v>
      </c>
      <c r="B2039" s="2">
        <v>109</v>
      </c>
      <c r="C2039" s="2">
        <v>26003149</v>
      </c>
      <c r="D2039" s="2" t="s">
        <v>682</v>
      </c>
      <c r="E2039" s="2" t="s">
        <v>3535</v>
      </c>
      <c r="F2039" s="2" t="s">
        <v>14</v>
      </c>
      <c r="G2039" s="2" t="s">
        <v>22</v>
      </c>
      <c r="H2039" s="2">
        <v>20000000</v>
      </c>
      <c r="I2039" s="2">
        <v>7</v>
      </c>
      <c r="J2039" s="2">
        <f t="shared" si="14"/>
        <v>6003149</v>
      </c>
      <c r="K2039" s="2">
        <f t="shared" si="15"/>
        <v>-2.3456487734101961E-2</v>
      </c>
      <c r="L2039" s="2" t="str">
        <f>IF(ISNUMBER(SEARCH("|",IMDB_Movies!$D2039)),LEFT(IMDB_Movies!$D2039,SEARCH("|",IMDB_Movies!$D2039)-1),IMDB_Movies!$D2039)</f>
        <v>Action</v>
      </c>
      <c r="V2039" s="2"/>
      <c r="W2039" s="2"/>
    </row>
    <row r="2040" spans="1:23" ht="12.5" x14ac:dyDescent="0.25">
      <c r="A2040" s="2" t="s">
        <v>3536</v>
      </c>
      <c r="B2040" s="2">
        <v>99</v>
      </c>
      <c r="C2040" s="2">
        <v>25584685</v>
      </c>
      <c r="D2040" s="2" t="s">
        <v>3537</v>
      </c>
      <c r="E2040" s="2" t="s">
        <v>3538</v>
      </c>
      <c r="F2040" s="2" t="s">
        <v>14</v>
      </c>
      <c r="G2040" s="2" t="s">
        <v>15</v>
      </c>
      <c r="H2040" s="2">
        <v>20000000</v>
      </c>
      <c r="I2040" s="2">
        <v>5.9</v>
      </c>
      <c r="J2040" s="2">
        <f t="shared" si="14"/>
        <v>5584685</v>
      </c>
      <c r="K2040" s="2">
        <f t="shared" si="15"/>
        <v>-2.3454979125104233E-2</v>
      </c>
      <c r="L2040" s="2" t="str">
        <f>IF(ISNUMBER(SEARCH("|",IMDB_Movies!$D2040)),LEFT(IMDB_Movies!$D2040,SEARCH("|",IMDB_Movies!$D2040)-1),IMDB_Movies!$D2040)</f>
        <v>Comedy</v>
      </c>
      <c r="V2040" s="2"/>
      <c r="W2040" s="2"/>
    </row>
    <row r="2041" spans="1:23" ht="12.5" x14ac:dyDescent="0.25">
      <c r="A2041" s="2" t="s">
        <v>3539</v>
      </c>
      <c r="B2041" s="2">
        <v>98</v>
      </c>
      <c r="C2041" s="2">
        <v>29975979</v>
      </c>
      <c r="D2041" s="2" t="s">
        <v>790</v>
      </c>
      <c r="E2041" s="2" t="s">
        <v>3540</v>
      </c>
      <c r="F2041" s="2" t="s">
        <v>14</v>
      </c>
      <c r="G2041" s="2" t="s">
        <v>135</v>
      </c>
      <c r="H2041" s="2">
        <v>20000000</v>
      </c>
      <c r="I2041" s="2">
        <v>6.5</v>
      </c>
      <c r="J2041" s="2">
        <f t="shared" si="14"/>
        <v>9975979</v>
      </c>
      <c r="K2041" s="2">
        <f t="shared" si="15"/>
        <v>-2.345356574060958E-2</v>
      </c>
      <c r="L2041" s="2" t="str">
        <f>IF(ISNUMBER(SEARCH("|",IMDB_Movies!$D2041)),LEFT(IMDB_Movies!$D2041,SEARCH("|",IMDB_Movies!$D2041)-1),IMDB_Movies!$D2041)</f>
        <v>Action</v>
      </c>
      <c r="V2041" s="2"/>
      <c r="W2041" s="2"/>
    </row>
    <row r="2042" spans="1:23" ht="12.5" x14ac:dyDescent="0.25">
      <c r="A2042" s="2" t="s">
        <v>3541</v>
      </c>
      <c r="B2042" s="2">
        <v>104</v>
      </c>
      <c r="C2042" s="2">
        <v>31584722</v>
      </c>
      <c r="D2042" s="2" t="s">
        <v>600</v>
      </c>
      <c r="E2042" s="2" t="s">
        <v>3542</v>
      </c>
      <c r="F2042" s="2" t="s">
        <v>14</v>
      </c>
      <c r="G2042" s="2" t="s">
        <v>15</v>
      </c>
      <c r="H2042" s="2">
        <v>20000000</v>
      </c>
      <c r="I2042" s="2">
        <v>6.4</v>
      </c>
      <c r="J2042" s="2">
        <f t="shared" ref="J2042:J2296" si="16">(C2042-H2042)</f>
        <v>11584722</v>
      </c>
      <c r="K2042" s="2">
        <f t="shared" si="15"/>
        <v>-2.3451231940047428E-2</v>
      </c>
      <c r="L2042" s="2" t="str">
        <f>IF(ISNUMBER(SEARCH("|",IMDB_Movies!$D2042)),LEFT(IMDB_Movies!$D2042,SEARCH("|",IMDB_Movies!$D2042)-1),IMDB_Movies!$D2042)</f>
        <v>Comedy</v>
      </c>
      <c r="V2042" s="2"/>
      <c r="W2042" s="2"/>
    </row>
    <row r="2043" spans="1:23" ht="12.5" x14ac:dyDescent="0.25">
      <c r="A2043" s="2" t="s">
        <v>3543</v>
      </c>
      <c r="B2043" s="2">
        <v>109</v>
      </c>
      <c r="C2043" s="2">
        <v>23179303</v>
      </c>
      <c r="D2043" s="2" t="s">
        <v>3182</v>
      </c>
      <c r="E2043" s="2" t="s">
        <v>3544</v>
      </c>
      <c r="F2043" s="2" t="s">
        <v>14</v>
      </c>
      <c r="G2043" s="2" t="s">
        <v>3545</v>
      </c>
      <c r="H2043" s="2">
        <v>20000000</v>
      </c>
      <c r="I2043" s="2">
        <v>5.8</v>
      </c>
      <c r="J2043" s="2">
        <f t="shared" si="16"/>
        <v>3179303</v>
      </c>
      <c r="K2043" s="2">
        <f t="shared" ref="K2043:K2297" si="17">CORREL(H2043:H5828,C2043:C5828)</f>
        <v>-2.3448613619837265E-2</v>
      </c>
      <c r="L2043" s="2" t="str">
        <f>IF(ISNUMBER(SEARCH("|",IMDB_Movies!$D2043)),LEFT(IMDB_Movies!$D2043,SEARCH("|",IMDB_Movies!$D2043)-1),IMDB_Movies!$D2043)</f>
        <v>Adventure</v>
      </c>
      <c r="V2043" s="2"/>
      <c r="W2043" s="2"/>
    </row>
    <row r="2044" spans="1:23" ht="12.5" x14ac:dyDescent="0.25">
      <c r="A2044" s="2" t="s">
        <v>3546</v>
      </c>
      <c r="B2044" s="2">
        <v>75</v>
      </c>
      <c r="C2044" s="2">
        <v>23078294</v>
      </c>
      <c r="D2044" s="2" t="s">
        <v>2228</v>
      </c>
      <c r="E2044" s="2" t="s">
        <v>3547</v>
      </c>
      <c r="F2044" s="2" t="s">
        <v>14</v>
      </c>
      <c r="G2044" s="2" t="s">
        <v>15</v>
      </c>
      <c r="H2044" s="2">
        <v>9000000</v>
      </c>
      <c r="I2044" s="2">
        <v>5.0999999999999996</v>
      </c>
      <c r="J2044" s="2">
        <f t="shared" si="16"/>
        <v>14078294</v>
      </c>
      <c r="K2044" s="2">
        <f t="shared" si="17"/>
        <v>-2.3447790870823753E-2</v>
      </c>
      <c r="L2044" s="2" t="str">
        <f>IF(ISNUMBER(SEARCH("|",IMDB_Movies!$D2044)),LEFT(IMDB_Movies!$D2044,SEARCH("|",IMDB_Movies!$D2044)-1),IMDB_Movies!$D2044)</f>
        <v>Horror</v>
      </c>
      <c r="V2044" s="2"/>
      <c r="W2044" s="2"/>
    </row>
    <row r="2045" spans="1:23" ht="12.5" x14ac:dyDescent="0.25">
      <c r="A2045" s="2" t="s">
        <v>1996</v>
      </c>
      <c r="B2045" s="2">
        <v>119</v>
      </c>
      <c r="C2045" s="2">
        <v>21413105</v>
      </c>
      <c r="D2045" s="2" t="s">
        <v>3548</v>
      </c>
      <c r="E2045" s="2" t="s">
        <v>3549</v>
      </c>
      <c r="F2045" s="2" t="s">
        <v>14</v>
      </c>
      <c r="G2045" s="2" t="s">
        <v>135</v>
      </c>
      <c r="H2045" s="2">
        <v>20000000</v>
      </c>
      <c r="I2045" s="2">
        <v>6.8</v>
      </c>
      <c r="J2045" s="2">
        <f t="shared" si="16"/>
        <v>1413105</v>
      </c>
      <c r="K2045" s="2">
        <f t="shared" si="17"/>
        <v>-2.3445402172579552E-2</v>
      </c>
      <c r="L2045" s="2" t="str">
        <f>IF(ISNUMBER(SEARCH("|",IMDB_Movies!$D2045)),LEFT(IMDB_Movies!$D2045,SEARCH("|",IMDB_Movies!$D2045)-1),IMDB_Movies!$D2045)</f>
        <v>Action</v>
      </c>
      <c r="V2045" s="2"/>
      <c r="W2045" s="2"/>
    </row>
    <row r="2046" spans="1:23" ht="12.5" x14ac:dyDescent="0.25">
      <c r="A2046" s="2" t="s">
        <v>3550</v>
      </c>
      <c r="B2046" s="2">
        <v>90</v>
      </c>
      <c r="C2046" s="2">
        <v>25077977</v>
      </c>
      <c r="D2046" s="2" t="s">
        <v>716</v>
      </c>
      <c r="E2046" s="2" t="s">
        <v>3551</v>
      </c>
      <c r="F2046" s="2" t="s">
        <v>14</v>
      </c>
      <c r="G2046" s="2" t="s">
        <v>15</v>
      </c>
      <c r="H2046" s="2">
        <v>20000000</v>
      </c>
      <c r="I2046" s="2">
        <v>5.3</v>
      </c>
      <c r="J2046" s="2">
        <f t="shared" si="16"/>
        <v>5077977</v>
      </c>
      <c r="K2046" s="2">
        <f t="shared" si="17"/>
        <v>-2.3445058077703751E-2</v>
      </c>
      <c r="L2046" s="2" t="str">
        <f>IF(ISNUMBER(SEARCH("|",IMDB_Movies!$D2046)),LEFT(IMDB_Movies!$D2046,SEARCH("|",IMDB_Movies!$D2046)-1),IMDB_Movies!$D2046)</f>
        <v>Adventure</v>
      </c>
      <c r="V2046" s="2"/>
      <c r="W2046" s="2"/>
    </row>
    <row r="2047" spans="1:23" ht="12.5" x14ac:dyDescent="0.25">
      <c r="A2047" s="2" t="s">
        <v>744</v>
      </c>
      <c r="B2047" s="2">
        <v>97</v>
      </c>
      <c r="C2047" s="2">
        <v>23292105</v>
      </c>
      <c r="D2047" s="2" t="s">
        <v>2930</v>
      </c>
      <c r="E2047" s="2" t="s">
        <v>3552</v>
      </c>
      <c r="F2047" s="2" t="s">
        <v>14</v>
      </c>
      <c r="G2047" s="2" t="s">
        <v>15</v>
      </c>
      <c r="H2047" s="2">
        <v>20000000</v>
      </c>
      <c r="I2047" s="2">
        <v>5.3</v>
      </c>
      <c r="J2047" s="2">
        <f t="shared" si="16"/>
        <v>3292105</v>
      </c>
      <c r="K2047" s="2">
        <f t="shared" si="17"/>
        <v>-2.3443753562226728E-2</v>
      </c>
      <c r="L2047" s="2" t="str">
        <f>IF(ISNUMBER(SEARCH("|",IMDB_Movies!$D2047)),LEFT(IMDB_Movies!$D2047,SEARCH("|",IMDB_Movies!$D2047)-1),IMDB_Movies!$D2047)</f>
        <v>Action</v>
      </c>
      <c r="V2047" s="2"/>
      <c r="W2047" s="2"/>
    </row>
    <row r="2048" spans="1:23" ht="12.5" x14ac:dyDescent="0.25">
      <c r="A2048" s="2" t="s">
        <v>1666</v>
      </c>
      <c r="B2048" s="2">
        <v>89</v>
      </c>
      <c r="C2048" s="2">
        <v>20916309</v>
      </c>
      <c r="D2048" s="2" t="s">
        <v>204</v>
      </c>
      <c r="E2048" s="2" t="s">
        <v>3553</v>
      </c>
      <c r="F2048" s="2" t="s">
        <v>14</v>
      </c>
      <c r="G2048" s="2" t="s">
        <v>15</v>
      </c>
      <c r="H2048" s="2">
        <v>40000000</v>
      </c>
      <c r="I2048" s="2">
        <v>4.9000000000000004</v>
      </c>
      <c r="J2048" s="2">
        <f t="shared" si="16"/>
        <v>-19083691</v>
      </c>
      <c r="K2048" s="2">
        <f t="shared" si="17"/>
        <v>-2.3442896472506556E-2</v>
      </c>
      <c r="L2048" s="2" t="str">
        <f>IF(ISNUMBER(SEARCH("|",IMDB_Movies!$D2048)),LEFT(IMDB_Movies!$D2048,SEARCH("|",IMDB_Movies!$D2048)-1),IMDB_Movies!$D2048)</f>
        <v>Comedy</v>
      </c>
      <c r="V2048" s="2"/>
      <c r="W2048" s="2"/>
    </row>
    <row r="2049" spans="1:23" ht="12.5" x14ac:dyDescent="0.25">
      <c r="A2049" s="2" t="s">
        <v>2035</v>
      </c>
      <c r="B2049" s="2">
        <v>106</v>
      </c>
      <c r="C2049" s="2">
        <v>21200000</v>
      </c>
      <c r="D2049" s="2" t="s">
        <v>3003</v>
      </c>
      <c r="E2049" s="2" t="s">
        <v>3554</v>
      </c>
      <c r="F2049" s="2" t="s">
        <v>14</v>
      </c>
      <c r="G2049" s="2" t="s">
        <v>15</v>
      </c>
      <c r="H2049" s="2">
        <v>20000000</v>
      </c>
      <c r="I2049" s="2">
        <v>6.8</v>
      </c>
      <c r="J2049" s="2">
        <f t="shared" si="16"/>
        <v>1200000</v>
      </c>
      <c r="K2049" s="2">
        <f t="shared" si="17"/>
        <v>-2.3443422688423105E-2</v>
      </c>
      <c r="L2049" s="2" t="str">
        <f>IF(ISNUMBER(SEARCH("|",IMDB_Movies!$D2049)),LEFT(IMDB_Movies!$D2049,SEARCH("|",IMDB_Movies!$D2049)-1),IMDB_Movies!$D2049)</f>
        <v>Comedy</v>
      </c>
      <c r="V2049" s="2"/>
      <c r="W2049" s="2"/>
    </row>
    <row r="2050" spans="1:23" ht="12.5" x14ac:dyDescent="0.25">
      <c r="A2050" s="2" t="s">
        <v>3555</v>
      </c>
      <c r="B2050" s="2">
        <v>96</v>
      </c>
      <c r="C2050" s="2">
        <v>28876924</v>
      </c>
      <c r="D2050" s="2" t="s">
        <v>3556</v>
      </c>
      <c r="E2050" s="2" t="s">
        <v>3557</v>
      </c>
      <c r="F2050" s="2" t="s">
        <v>14</v>
      </c>
      <c r="G2050" s="2" t="s">
        <v>15</v>
      </c>
      <c r="H2050" s="2">
        <v>20000000</v>
      </c>
      <c r="I2050" s="2">
        <v>7.1</v>
      </c>
      <c r="J2050" s="2">
        <f t="shared" si="16"/>
        <v>8876924</v>
      </c>
      <c r="K2050" s="2">
        <f t="shared" si="17"/>
        <v>-2.3443137386852646E-2</v>
      </c>
      <c r="L2050" s="2" t="str">
        <f>IF(ISNUMBER(SEARCH("|",IMDB_Movies!$D2050)),LEFT(IMDB_Movies!$D2050,SEARCH("|",IMDB_Movies!$D2050)-1),IMDB_Movies!$D2050)</f>
        <v>Adventure</v>
      </c>
      <c r="V2050" s="2"/>
      <c r="W2050" s="2"/>
    </row>
    <row r="2051" spans="1:23" ht="12.5" x14ac:dyDescent="0.25">
      <c r="A2051" s="2" t="s">
        <v>1818</v>
      </c>
      <c r="B2051" s="2">
        <v>104</v>
      </c>
      <c r="C2051" s="2">
        <v>20241395</v>
      </c>
      <c r="D2051" s="2" t="s">
        <v>1667</v>
      </c>
      <c r="E2051" s="2" t="s">
        <v>3558</v>
      </c>
      <c r="F2051" s="2" t="s">
        <v>14</v>
      </c>
      <c r="G2051" s="2" t="s">
        <v>15</v>
      </c>
      <c r="H2051" s="2">
        <v>20000000</v>
      </c>
      <c r="I2051" s="2">
        <v>6.1</v>
      </c>
      <c r="J2051" s="2">
        <f t="shared" si="16"/>
        <v>241395</v>
      </c>
      <c r="K2051" s="2">
        <f t="shared" si="17"/>
        <v>-2.3440997392933101E-2</v>
      </c>
      <c r="L2051" s="2" t="str">
        <f>IF(ISNUMBER(SEARCH("|",IMDB_Movies!$D2051)),LEFT(IMDB_Movies!$D2051,SEARCH("|",IMDB_Movies!$D2051)-1),IMDB_Movies!$D2051)</f>
        <v>Action</v>
      </c>
      <c r="V2051" s="2"/>
      <c r="W2051" s="2"/>
    </row>
    <row r="2052" spans="1:23" ht="12.5" x14ac:dyDescent="0.25">
      <c r="A2052" s="2" t="s">
        <v>3559</v>
      </c>
      <c r="B2052" s="2">
        <v>108</v>
      </c>
      <c r="C2052" s="2">
        <v>32000000</v>
      </c>
      <c r="D2052" s="2" t="s">
        <v>1050</v>
      </c>
      <c r="E2052" s="2" t="s">
        <v>3560</v>
      </c>
      <c r="F2052" s="2" t="s">
        <v>14</v>
      </c>
      <c r="G2052" s="2" t="s">
        <v>15</v>
      </c>
      <c r="H2052" s="2">
        <v>806947</v>
      </c>
      <c r="I2052" s="2">
        <v>8.5</v>
      </c>
      <c r="J2052" s="2">
        <f t="shared" si="16"/>
        <v>31193053</v>
      </c>
      <c r="K2052" s="2">
        <f t="shared" si="17"/>
        <v>-2.3440989019436767E-2</v>
      </c>
      <c r="L2052" s="2" t="str">
        <f>IF(ISNUMBER(SEARCH("|",IMDB_Movies!$D2052)),LEFT(IMDB_Movies!$D2052,SEARCH("|",IMDB_Movies!$D2052)-1),IMDB_Movies!$D2052)</f>
        <v>Horror</v>
      </c>
      <c r="V2052" s="2"/>
      <c r="W2052" s="2"/>
    </row>
    <row r="2053" spans="1:23" ht="12.5" x14ac:dyDescent="0.25">
      <c r="A2053" s="2" t="s">
        <v>1774</v>
      </c>
      <c r="B2053" s="2">
        <v>112</v>
      </c>
      <c r="C2053" s="2">
        <v>19151864</v>
      </c>
      <c r="D2053" s="2" t="s">
        <v>600</v>
      </c>
      <c r="E2053" s="2" t="s">
        <v>3561</v>
      </c>
      <c r="F2053" s="2" t="s">
        <v>14</v>
      </c>
      <c r="G2053" s="2" t="s">
        <v>15</v>
      </c>
      <c r="H2053" s="2">
        <v>40000000</v>
      </c>
      <c r="I2053" s="2">
        <v>5.9</v>
      </c>
      <c r="J2053" s="2">
        <f t="shared" si="16"/>
        <v>-20848136</v>
      </c>
      <c r="K2053" s="2">
        <f t="shared" si="17"/>
        <v>-2.34267521615385E-2</v>
      </c>
      <c r="L2053" s="2" t="str">
        <f>IF(ISNUMBER(SEARCH("|",IMDB_Movies!$D2053)),LEFT(IMDB_Movies!$D2053,SEARCH("|",IMDB_Movies!$D2053)-1),IMDB_Movies!$D2053)</f>
        <v>Comedy</v>
      </c>
      <c r="V2053" s="2"/>
      <c r="W2053" s="2"/>
    </row>
    <row r="2054" spans="1:23" ht="12.5" x14ac:dyDescent="0.25">
      <c r="A2054" s="2" t="s">
        <v>3562</v>
      </c>
      <c r="B2054" s="2">
        <v>104</v>
      </c>
      <c r="C2054" s="2">
        <v>23393765</v>
      </c>
      <c r="D2054" s="2" t="s">
        <v>85</v>
      </c>
      <c r="E2054" s="2" t="s">
        <v>3563</v>
      </c>
      <c r="F2054" s="2" t="s">
        <v>14</v>
      </c>
      <c r="G2054" s="2" t="s">
        <v>15</v>
      </c>
      <c r="H2054" s="2">
        <v>20000000</v>
      </c>
      <c r="I2054" s="2">
        <v>6.3</v>
      </c>
      <c r="J2054" s="2">
        <f t="shared" si="16"/>
        <v>3393765</v>
      </c>
      <c r="K2054" s="2">
        <f t="shared" si="17"/>
        <v>-2.3426012463675958E-2</v>
      </c>
      <c r="L2054" s="2" t="str">
        <f>IF(ISNUMBER(SEARCH("|",IMDB_Movies!$D2054)),LEFT(IMDB_Movies!$D2054,SEARCH("|",IMDB_Movies!$D2054)-1),IMDB_Movies!$D2054)</f>
        <v>Drama</v>
      </c>
      <c r="V2054" s="2"/>
      <c r="W2054" s="2"/>
    </row>
    <row r="2055" spans="1:23" ht="12.5" x14ac:dyDescent="0.25">
      <c r="A2055" s="2" t="s">
        <v>1145</v>
      </c>
      <c r="B2055" s="2">
        <v>113</v>
      </c>
      <c r="C2055" s="2">
        <v>18882880</v>
      </c>
      <c r="D2055" s="2" t="s">
        <v>891</v>
      </c>
      <c r="E2055" s="2" t="s">
        <v>3564</v>
      </c>
      <c r="F2055" s="2" t="s">
        <v>14</v>
      </c>
      <c r="G2055" s="2" t="s">
        <v>15</v>
      </c>
      <c r="H2055" s="2">
        <v>20000000</v>
      </c>
      <c r="I2055" s="2">
        <v>5.9</v>
      </c>
      <c r="J2055" s="2">
        <f t="shared" si="16"/>
        <v>-1117120</v>
      </c>
      <c r="K2055" s="2">
        <f t="shared" si="17"/>
        <v>-2.3425123256860764E-2</v>
      </c>
      <c r="L2055" s="2" t="str">
        <f>IF(ISNUMBER(SEARCH("|",IMDB_Movies!$D2055)),LEFT(IMDB_Movies!$D2055,SEARCH("|",IMDB_Movies!$D2055)-1),IMDB_Movies!$D2055)</f>
        <v>Comedy</v>
      </c>
      <c r="V2055" s="2"/>
      <c r="W2055" s="2"/>
    </row>
    <row r="2056" spans="1:23" ht="12.5" x14ac:dyDescent="0.25">
      <c r="A2056" s="2" t="s">
        <v>3565</v>
      </c>
      <c r="B2056" s="2">
        <v>98</v>
      </c>
      <c r="C2056" s="2">
        <v>8500000</v>
      </c>
      <c r="D2056" s="2" t="s">
        <v>709</v>
      </c>
      <c r="E2056" s="2" t="s">
        <v>3566</v>
      </c>
      <c r="F2056" s="2" t="s">
        <v>14</v>
      </c>
      <c r="G2056" s="2" t="s">
        <v>15</v>
      </c>
      <c r="H2056" s="2">
        <v>20000000</v>
      </c>
      <c r="I2056" s="2">
        <v>5.4</v>
      </c>
      <c r="J2056" s="2">
        <f t="shared" si="16"/>
        <v>-11500000</v>
      </c>
      <c r="K2056" s="2">
        <f t="shared" si="17"/>
        <v>-2.3425526387895284E-2</v>
      </c>
      <c r="L2056" s="2" t="str">
        <f>IF(ISNUMBER(SEARCH("|",IMDB_Movies!$D2056)),LEFT(IMDB_Movies!$D2056,SEARCH("|",IMDB_Movies!$D2056)-1),IMDB_Movies!$D2056)</f>
        <v>Comedy</v>
      </c>
      <c r="V2056" s="2"/>
      <c r="W2056" s="2"/>
    </row>
    <row r="2057" spans="1:23" ht="12.5" x14ac:dyDescent="0.25">
      <c r="A2057" s="2" t="s">
        <v>494</v>
      </c>
      <c r="B2057" s="2">
        <v>114</v>
      </c>
      <c r="C2057" s="2">
        <v>18252684</v>
      </c>
      <c r="D2057" s="2" t="s">
        <v>1357</v>
      </c>
      <c r="E2057" s="2" t="s">
        <v>3567</v>
      </c>
      <c r="F2057" s="2" t="s">
        <v>14</v>
      </c>
      <c r="G2057" s="2" t="s">
        <v>15</v>
      </c>
      <c r="H2057" s="2">
        <v>30000000</v>
      </c>
      <c r="I2057" s="2">
        <v>6.9</v>
      </c>
      <c r="J2057" s="2">
        <f t="shared" si="16"/>
        <v>-11747316</v>
      </c>
      <c r="K2057" s="2">
        <f t="shared" si="17"/>
        <v>-2.3429790014334671E-2</v>
      </c>
      <c r="L2057" s="2" t="str">
        <f>IF(ISNUMBER(SEARCH("|",IMDB_Movies!$D2057)),LEFT(IMDB_Movies!$D2057,SEARCH("|",IMDB_Movies!$D2057)-1),IMDB_Movies!$D2057)</f>
        <v>Comedy</v>
      </c>
      <c r="V2057" s="2"/>
      <c r="W2057" s="2"/>
    </row>
    <row r="2058" spans="1:23" ht="12.5" x14ac:dyDescent="0.25">
      <c r="A2058" s="2" t="s">
        <v>3568</v>
      </c>
      <c r="B2058" s="2">
        <v>124</v>
      </c>
      <c r="C2058" s="2">
        <v>19661987</v>
      </c>
      <c r="D2058" s="2" t="s">
        <v>1180</v>
      </c>
      <c r="E2058" s="2" t="s">
        <v>3569</v>
      </c>
      <c r="F2058" s="2" t="s">
        <v>14</v>
      </c>
      <c r="G2058" s="2" t="s">
        <v>15</v>
      </c>
      <c r="H2058" s="2">
        <v>20000000</v>
      </c>
      <c r="I2058" s="2">
        <v>7.5</v>
      </c>
      <c r="J2058" s="2">
        <f t="shared" si="16"/>
        <v>-338013</v>
      </c>
      <c r="K2058" s="2">
        <f t="shared" si="17"/>
        <v>-2.3429396462131363E-2</v>
      </c>
      <c r="L2058" s="2" t="str">
        <f>IF(ISNUMBER(SEARCH("|",IMDB_Movies!$D2058)),LEFT(IMDB_Movies!$D2058,SEARCH("|",IMDB_Movies!$D2058)-1),IMDB_Movies!$D2058)</f>
        <v>Drama</v>
      </c>
      <c r="V2058" s="2"/>
      <c r="W2058" s="2"/>
    </row>
    <row r="2059" spans="1:23" ht="12.5" x14ac:dyDescent="0.25">
      <c r="A2059" s="2" t="s">
        <v>1991</v>
      </c>
      <c r="B2059" s="2">
        <v>148</v>
      </c>
      <c r="C2059" s="2">
        <v>18352454</v>
      </c>
      <c r="D2059" s="2" t="s">
        <v>3570</v>
      </c>
      <c r="E2059" s="2" t="s">
        <v>3571</v>
      </c>
      <c r="F2059" s="2" t="s">
        <v>14</v>
      </c>
      <c r="G2059" s="2" t="s">
        <v>15</v>
      </c>
      <c r="H2059" s="2">
        <v>15000000</v>
      </c>
      <c r="I2059" s="2">
        <v>8.1999999999999993</v>
      </c>
      <c r="J2059" s="2">
        <f t="shared" si="16"/>
        <v>3352454</v>
      </c>
      <c r="K2059" s="2">
        <f t="shared" si="17"/>
        <v>-2.342956239734802E-2</v>
      </c>
      <c r="L2059" s="2" t="str">
        <f>IF(ISNUMBER(SEARCH("|",IMDB_Movies!$D2059)),LEFT(IMDB_Movies!$D2059,SEARCH("|",IMDB_Movies!$D2059)-1),IMDB_Movies!$D2059)</f>
        <v>Adventure</v>
      </c>
      <c r="V2059" s="2"/>
      <c r="W2059" s="2"/>
    </row>
    <row r="2060" spans="1:23" ht="12.5" x14ac:dyDescent="0.25">
      <c r="A2060" s="2" t="s">
        <v>897</v>
      </c>
      <c r="B2060" s="2">
        <v>108</v>
      </c>
      <c r="C2060" s="2">
        <v>17803796</v>
      </c>
      <c r="D2060" s="2" t="s">
        <v>709</v>
      </c>
      <c r="E2060" s="2" t="s">
        <v>3572</v>
      </c>
      <c r="F2060" s="2" t="s">
        <v>14</v>
      </c>
      <c r="G2060" s="2" t="s">
        <v>15</v>
      </c>
      <c r="H2060" s="2">
        <v>20000000</v>
      </c>
      <c r="I2060" s="2">
        <v>5.9</v>
      </c>
      <c r="J2060" s="2">
        <f t="shared" si="16"/>
        <v>-2196204</v>
      </c>
      <c r="K2060" s="2">
        <f t="shared" si="17"/>
        <v>-2.3430615524768838E-2</v>
      </c>
      <c r="L2060" s="2" t="str">
        <f>IF(ISNUMBER(SEARCH("|",IMDB_Movies!$D2060)),LEFT(IMDB_Movies!$D2060,SEARCH("|",IMDB_Movies!$D2060)-1),IMDB_Movies!$D2060)</f>
        <v>Comedy</v>
      </c>
      <c r="V2060" s="2"/>
      <c r="W2060" s="2"/>
    </row>
    <row r="2061" spans="1:23" ht="12.5" x14ac:dyDescent="0.25">
      <c r="A2061" s="2" t="s">
        <v>3573</v>
      </c>
      <c r="B2061" s="2">
        <v>95</v>
      </c>
      <c r="C2061" s="2">
        <v>17529157</v>
      </c>
      <c r="D2061" s="2" t="s">
        <v>3574</v>
      </c>
      <c r="E2061" s="2" t="s">
        <v>3575</v>
      </c>
      <c r="F2061" s="2" t="s">
        <v>14</v>
      </c>
      <c r="G2061" s="2" t="s">
        <v>686</v>
      </c>
      <c r="H2061" s="2">
        <v>20000000</v>
      </c>
      <c r="I2061" s="2">
        <v>5</v>
      </c>
      <c r="J2061" s="2">
        <f t="shared" si="16"/>
        <v>-2470843</v>
      </c>
      <c r="K2061" s="2">
        <f t="shared" si="17"/>
        <v>-2.3431367438492015E-2</v>
      </c>
      <c r="L2061" s="2" t="str">
        <f>IF(ISNUMBER(SEARCH("|",IMDB_Movies!$D2061)),LEFT(IMDB_Movies!$D2061,SEARCH("|",IMDB_Movies!$D2061)-1),IMDB_Movies!$D2061)</f>
        <v>Adventure</v>
      </c>
      <c r="V2061" s="2"/>
      <c r="W2061" s="2"/>
    </row>
    <row r="2062" spans="1:23" ht="12.5" x14ac:dyDescent="0.25">
      <c r="A2062" s="2" t="s">
        <v>1666</v>
      </c>
      <c r="B2062" s="2">
        <v>108</v>
      </c>
      <c r="C2062" s="2">
        <v>25753840</v>
      </c>
      <c r="D2062" s="2" t="s">
        <v>3576</v>
      </c>
      <c r="E2062" s="2" t="s">
        <v>3577</v>
      </c>
      <c r="F2062" s="2" t="s">
        <v>14</v>
      </c>
      <c r="G2062" s="2" t="s">
        <v>15</v>
      </c>
      <c r="H2062" s="2">
        <v>19000000</v>
      </c>
      <c r="I2062" s="2">
        <v>7.3</v>
      </c>
      <c r="J2062" s="2">
        <f t="shared" si="16"/>
        <v>6753840</v>
      </c>
      <c r="K2062" s="2">
        <f t="shared" si="17"/>
        <v>-2.3432210120283046E-2</v>
      </c>
      <c r="L2062" s="2" t="str">
        <f>IF(ISNUMBER(SEARCH("|",IMDB_Movies!$D2062)),LEFT(IMDB_Movies!$D2062,SEARCH("|",IMDB_Movies!$D2062)-1),IMDB_Movies!$D2062)</f>
        <v>Crime</v>
      </c>
      <c r="V2062" s="2"/>
      <c r="W2062" s="2"/>
    </row>
    <row r="2063" spans="1:23" ht="12.5" x14ac:dyDescent="0.25">
      <c r="A2063" s="2" t="s">
        <v>3578</v>
      </c>
      <c r="B2063" s="2">
        <v>68</v>
      </c>
      <c r="C2063" s="2">
        <v>18081626</v>
      </c>
      <c r="D2063" s="2" t="s">
        <v>3579</v>
      </c>
      <c r="E2063" s="2" t="s">
        <v>3580</v>
      </c>
      <c r="F2063" s="2" t="s">
        <v>14</v>
      </c>
      <c r="G2063" s="2" t="s">
        <v>15</v>
      </c>
      <c r="H2063" s="2">
        <v>20000000</v>
      </c>
      <c r="I2063" s="2">
        <v>6.4</v>
      </c>
      <c r="J2063" s="2">
        <f t="shared" si="16"/>
        <v>-1918374</v>
      </c>
      <c r="K2063" s="2">
        <f t="shared" si="17"/>
        <v>-2.3430450304342283E-2</v>
      </c>
      <c r="L2063" s="2" t="str">
        <f>IF(ISNUMBER(SEARCH("|",IMDB_Movies!$D2063)),LEFT(IMDB_Movies!$D2063,SEARCH("|",IMDB_Movies!$D2063)-1),IMDB_Movies!$D2063)</f>
        <v>Animation</v>
      </c>
      <c r="V2063" s="2"/>
      <c r="W2063" s="2"/>
    </row>
    <row r="2064" spans="1:23" ht="12.5" x14ac:dyDescent="0.25">
      <c r="A2064" s="2" t="s">
        <v>3000</v>
      </c>
      <c r="B2064" s="2">
        <v>103</v>
      </c>
      <c r="C2064" s="2">
        <v>17518220</v>
      </c>
      <c r="D2064" s="2" t="s">
        <v>514</v>
      </c>
      <c r="E2064" s="2" t="s">
        <v>3581</v>
      </c>
      <c r="F2064" s="2" t="s">
        <v>14</v>
      </c>
      <c r="G2064" s="2" t="s">
        <v>15</v>
      </c>
      <c r="H2064" s="2">
        <v>20000000</v>
      </c>
      <c r="I2064" s="2">
        <v>6.6</v>
      </c>
      <c r="J2064" s="2">
        <f t="shared" si="16"/>
        <v>-2481780</v>
      </c>
      <c r="K2064" s="2">
        <f t="shared" si="17"/>
        <v>-2.3431113301505595E-2</v>
      </c>
      <c r="L2064" s="2" t="str">
        <f>IF(ISNUMBER(SEARCH("|",IMDB_Movies!$D2064)),LEFT(IMDB_Movies!$D2064,SEARCH("|",IMDB_Movies!$D2064)-1),IMDB_Movies!$D2064)</f>
        <v>Comedy</v>
      </c>
      <c r="V2064" s="2"/>
      <c r="W2064" s="2"/>
    </row>
    <row r="2065" spans="1:23" ht="12.5" x14ac:dyDescent="0.25">
      <c r="A2065" s="2" t="s">
        <v>3582</v>
      </c>
      <c r="B2065" s="2">
        <v>99</v>
      </c>
      <c r="C2065" s="2">
        <v>17104669</v>
      </c>
      <c r="D2065" s="2" t="s">
        <v>3583</v>
      </c>
      <c r="E2065" s="2" t="s">
        <v>3584</v>
      </c>
      <c r="F2065" s="2" t="s">
        <v>2413</v>
      </c>
      <c r="G2065" s="2" t="s">
        <v>1329</v>
      </c>
      <c r="H2065" s="2">
        <v>20000000</v>
      </c>
      <c r="I2065" s="2">
        <v>7.8</v>
      </c>
      <c r="J2065" s="2">
        <f t="shared" si="16"/>
        <v>-2895331</v>
      </c>
      <c r="K2065" s="2">
        <f t="shared" si="17"/>
        <v>-2.3431960934734257E-2</v>
      </c>
      <c r="L2065" s="2" t="str">
        <f>IF(ISNUMBER(SEARCH("|",IMDB_Movies!$D2065)),LEFT(IMDB_Movies!$D2065,SEARCH("|",IMDB_Movies!$D2065)-1),IMDB_Movies!$D2065)</f>
        <v>Action</v>
      </c>
      <c r="V2065" s="2"/>
      <c r="W2065" s="2"/>
    </row>
    <row r="2066" spans="1:23" ht="12.5" x14ac:dyDescent="0.25">
      <c r="A2066" s="2" t="s">
        <v>3585</v>
      </c>
      <c r="B2066" s="2">
        <v>88</v>
      </c>
      <c r="C2066" s="2">
        <v>16988996</v>
      </c>
      <c r="D2066" s="2" t="s">
        <v>3586</v>
      </c>
      <c r="E2066" s="2" t="s">
        <v>3587</v>
      </c>
      <c r="F2066" s="2" t="s">
        <v>14</v>
      </c>
      <c r="G2066" s="2" t="s">
        <v>15</v>
      </c>
      <c r="H2066" s="2">
        <v>35000000</v>
      </c>
      <c r="I2066" s="2">
        <v>4</v>
      </c>
      <c r="J2066" s="2">
        <f t="shared" si="16"/>
        <v>-18011004</v>
      </c>
      <c r="K2066" s="2">
        <f t="shared" si="17"/>
        <v>-2.3432946898785386E-2</v>
      </c>
      <c r="L2066" s="2" t="str">
        <f>IF(ISNUMBER(SEARCH("|",IMDB_Movies!$D2066)),LEFT(IMDB_Movies!$D2066,SEARCH("|",IMDB_Movies!$D2066)-1),IMDB_Movies!$D2066)</f>
        <v>Comedy</v>
      </c>
      <c r="V2066" s="2"/>
      <c r="W2066" s="2"/>
    </row>
    <row r="2067" spans="1:23" ht="12.5" x14ac:dyDescent="0.25">
      <c r="A2067" s="2" t="s">
        <v>54</v>
      </c>
      <c r="B2067" s="2">
        <v>128</v>
      </c>
      <c r="C2067" s="2">
        <v>15797907</v>
      </c>
      <c r="D2067" s="2" t="s">
        <v>1180</v>
      </c>
      <c r="E2067" s="2" t="s">
        <v>3588</v>
      </c>
      <c r="F2067" s="2" t="s">
        <v>3589</v>
      </c>
      <c r="G2067" s="2" t="s">
        <v>15</v>
      </c>
      <c r="H2067" s="2">
        <v>20000000</v>
      </c>
      <c r="I2067" s="2">
        <v>7.6</v>
      </c>
      <c r="J2067" s="2">
        <f t="shared" si="16"/>
        <v>-4202093</v>
      </c>
      <c r="K2067" s="2">
        <f t="shared" si="17"/>
        <v>-2.3431505110618842E-2</v>
      </c>
      <c r="L2067" s="2" t="str">
        <f>IF(ISNUMBER(SEARCH("|",IMDB_Movies!$D2067)),LEFT(IMDB_Movies!$D2067,SEARCH("|",IMDB_Movies!$D2067)-1),IMDB_Movies!$D2067)</f>
        <v>Drama</v>
      </c>
      <c r="V2067" s="2"/>
      <c r="W2067" s="2"/>
    </row>
    <row r="2068" spans="1:23" ht="12.5" x14ac:dyDescent="0.25">
      <c r="A2068" s="2" t="s">
        <v>416</v>
      </c>
      <c r="B2068" s="2">
        <v>124</v>
      </c>
      <c r="C2068" s="2">
        <v>16248701</v>
      </c>
      <c r="D2068" s="2" t="s">
        <v>1180</v>
      </c>
      <c r="E2068" s="2" t="s">
        <v>3590</v>
      </c>
      <c r="F2068" s="2" t="s">
        <v>14</v>
      </c>
      <c r="G2068" s="2" t="s">
        <v>15</v>
      </c>
      <c r="H2068" s="2">
        <v>20000000</v>
      </c>
      <c r="I2068" s="2">
        <v>7.7</v>
      </c>
      <c r="J2068" s="2">
        <f t="shared" si="16"/>
        <v>-3751299</v>
      </c>
      <c r="K2068" s="2">
        <f t="shared" si="17"/>
        <v>-2.3432938731194775E-2</v>
      </c>
      <c r="L2068" s="2" t="str">
        <f>IF(ISNUMBER(SEARCH("|",IMDB_Movies!$D2068)),LEFT(IMDB_Movies!$D2068,SEARCH("|",IMDB_Movies!$D2068)-1),IMDB_Movies!$D2068)</f>
        <v>Drama</v>
      </c>
      <c r="V2068" s="2"/>
      <c r="W2068" s="2"/>
    </row>
    <row r="2069" spans="1:23" ht="12.5" x14ac:dyDescent="0.25">
      <c r="A2069" s="2" t="s">
        <v>3591</v>
      </c>
      <c r="B2069" s="2">
        <v>84</v>
      </c>
      <c r="C2069" s="2">
        <v>15712072</v>
      </c>
      <c r="D2069" s="2" t="s">
        <v>177</v>
      </c>
      <c r="E2069" s="2" t="s">
        <v>3592</v>
      </c>
      <c r="F2069" s="2" t="s">
        <v>14</v>
      </c>
      <c r="G2069" s="2" t="s">
        <v>15</v>
      </c>
      <c r="H2069" s="2">
        <v>20000000</v>
      </c>
      <c r="I2069" s="2">
        <v>5.8</v>
      </c>
      <c r="J2069" s="2">
        <f t="shared" si="16"/>
        <v>-4287928</v>
      </c>
      <c r="K2069" s="2">
        <f t="shared" si="17"/>
        <v>-2.3434217633115661E-2</v>
      </c>
      <c r="L2069" s="2" t="str">
        <f>IF(ISNUMBER(SEARCH("|",IMDB_Movies!$D2069)),LEFT(IMDB_Movies!$D2069,SEARCH("|",IMDB_Movies!$D2069)-1),IMDB_Movies!$D2069)</f>
        <v>Action</v>
      </c>
      <c r="V2069" s="2"/>
      <c r="W2069" s="2"/>
    </row>
    <row r="2070" spans="1:23" ht="12.5" x14ac:dyDescent="0.25">
      <c r="A2070" s="2" t="s">
        <v>3593</v>
      </c>
      <c r="B2070" s="2">
        <v>101</v>
      </c>
      <c r="C2070" s="2">
        <v>15408822</v>
      </c>
      <c r="D2070" s="2" t="s">
        <v>600</v>
      </c>
      <c r="E2070" s="2" t="s">
        <v>3594</v>
      </c>
      <c r="F2070" s="2" t="s">
        <v>14</v>
      </c>
      <c r="G2070" s="2" t="s">
        <v>15</v>
      </c>
      <c r="H2070" s="2">
        <v>20000000</v>
      </c>
      <c r="I2070" s="2">
        <v>5.6</v>
      </c>
      <c r="J2070" s="2">
        <f t="shared" si="16"/>
        <v>-4591178</v>
      </c>
      <c r="K2070" s="2">
        <f t="shared" si="17"/>
        <v>-2.3435684587746471E-2</v>
      </c>
      <c r="L2070" s="2" t="str">
        <f>IF(ISNUMBER(SEARCH("|",IMDB_Movies!$D2070)),LEFT(IMDB_Movies!$D2070,SEARCH("|",IMDB_Movies!$D2070)-1),IMDB_Movies!$D2070)</f>
        <v>Comedy</v>
      </c>
      <c r="V2070" s="2"/>
      <c r="W2070" s="2"/>
    </row>
    <row r="2071" spans="1:23" ht="12.5" x14ac:dyDescent="0.25">
      <c r="A2071" s="2" t="s">
        <v>3595</v>
      </c>
      <c r="B2071" s="2">
        <v>98</v>
      </c>
      <c r="C2071" s="2">
        <v>15464026</v>
      </c>
      <c r="D2071" s="2" t="s">
        <v>600</v>
      </c>
      <c r="E2071" s="2" t="s">
        <v>3596</v>
      </c>
      <c r="F2071" s="2" t="s">
        <v>14</v>
      </c>
      <c r="G2071" s="2" t="s">
        <v>15</v>
      </c>
      <c r="H2071" s="2">
        <v>20000000</v>
      </c>
      <c r="I2071" s="2">
        <v>5.3</v>
      </c>
      <c r="J2071" s="2">
        <f t="shared" si="16"/>
        <v>-4535974</v>
      </c>
      <c r="K2071" s="2">
        <f t="shared" si="17"/>
        <v>-2.3437260203807733E-2</v>
      </c>
      <c r="L2071" s="2" t="str">
        <f>IF(ISNUMBER(SEARCH("|",IMDB_Movies!$D2071)),LEFT(IMDB_Movies!$D2071,SEARCH("|",IMDB_Movies!$D2071)-1),IMDB_Movies!$D2071)</f>
        <v>Comedy</v>
      </c>
      <c r="V2071" s="2"/>
      <c r="W2071" s="2"/>
    </row>
    <row r="2072" spans="1:23" ht="12.5" x14ac:dyDescent="0.25">
      <c r="A2072" s="2" t="s">
        <v>3597</v>
      </c>
      <c r="B2072" s="2">
        <v>225</v>
      </c>
      <c r="C2072" s="2">
        <v>8000000</v>
      </c>
      <c r="D2072" s="2" t="s">
        <v>2000</v>
      </c>
      <c r="E2072" s="2" t="s">
        <v>3598</v>
      </c>
      <c r="F2072" s="2" t="s">
        <v>14</v>
      </c>
      <c r="G2072" s="2" t="s">
        <v>15</v>
      </c>
      <c r="H2072" s="2">
        <v>20000000</v>
      </c>
      <c r="I2072" s="2">
        <v>6.6</v>
      </c>
      <c r="J2072" s="2">
        <f t="shared" si="16"/>
        <v>-12000000</v>
      </c>
      <c r="K2072" s="2">
        <f t="shared" si="17"/>
        <v>-2.3438818118239033E-2</v>
      </c>
      <c r="L2072" s="2" t="str">
        <f>IF(ISNUMBER(SEARCH("|",IMDB_Movies!$D2072)),LEFT(IMDB_Movies!$D2072,SEARCH("|",IMDB_Movies!$D2072)-1),IMDB_Movies!$D2072)</f>
        <v>Biography</v>
      </c>
      <c r="V2072" s="2"/>
      <c r="W2072" s="2"/>
    </row>
    <row r="2073" spans="1:23" ht="12.5" x14ac:dyDescent="0.25">
      <c r="A2073" s="2" t="s">
        <v>2767</v>
      </c>
      <c r="B2073" s="2">
        <v>88</v>
      </c>
      <c r="C2073" s="2">
        <v>14174654</v>
      </c>
      <c r="D2073" s="2" t="s">
        <v>709</v>
      </c>
      <c r="E2073" s="2" t="s">
        <v>3599</v>
      </c>
      <c r="F2073" s="2" t="s">
        <v>14</v>
      </c>
      <c r="G2073" s="2" t="s">
        <v>15</v>
      </c>
      <c r="H2073" s="2">
        <v>25000000</v>
      </c>
      <c r="I2073" s="2">
        <v>1.9</v>
      </c>
      <c r="J2073" s="2">
        <f t="shared" si="16"/>
        <v>-10825346</v>
      </c>
      <c r="K2073" s="2">
        <f t="shared" si="17"/>
        <v>-2.3443339097498368E-2</v>
      </c>
      <c r="L2073" s="2" t="str">
        <f>IF(ISNUMBER(SEARCH("|",IMDB_Movies!$D2073)),LEFT(IMDB_Movies!$D2073,SEARCH("|",IMDB_Movies!$D2073)-1),IMDB_Movies!$D2073)</f>
        <v>Comedy</v>
      </c>
      <c r="V2073" s="2"/>
      <c r="W2073" s="2"/>
    </row>
    <row r="2074" spans="1:23" ht="12.5" x14ac:dyDescent="0.25">
      <c r="A2074" s="2" t="s">
        <v>2167</v>
      </c>
      <c r="B2074" s="2">
        <v>88</v>
      </c>
      <c r="C2074" s="2">
        <v>15988876</v>
      </c>
      <c r="D2074" s="2" t="s">
        <v>125</v>
      </c>
      <c r="E2074" s="2" t="s">
        <v>3600</v>
      </c>
      <c r="F2074" s="2" t="s">
        <v>14</v>
      </c>
      <c r="G2074" s="2" t="s">
        <v>15</v>
      </c>
      <c r="H2074" s="2">
        <v>27000000</v>
      </c>
      <c r="I2074" s="2">
        <v>5.7</v>
      </c>
      <c r="J2074" s="2">
        <f t="shared" si="16"/>
        <v>-11011124</v>
      </c>
      <c r="K2074" s="2">
        <f t="shared" si="17"/>
        <v>-2.344381821578348E-2</v>
      </c>
      <c r="L2074" s="2" t="str">
        <f>IF(ISNUMBER(SEARCH("|",IMDB_Movies!$D2074)),LEFT(IMDB_Movies!$D2074,SEARCH("|",IMDB_Movies!$D2074)-1),IMDB_Movies!$D2074)</f>
        <v>Action</v>
      </c>
      <c r="V2074" s="2"/>
      <c r="W2074" s="2"/>
    </row>
    <row r="2075" spans="1:23" ht="12.5" x14ac:dyDescent="0.25">
      <c r="A2075" s="2" t="s">
        <v>872</v>
      </c>
      <c r="B2075" s="2">
        <v>94</v>
      </c>
      <c r="C2075" s="2">
        <v>13801755</v>
      </c>
      <c r="D2075" s="2" t="s">
        <v>150</v>
      </c>
      <c r="E2075" s="2" t="s">
        <v>3601</v>
      </c>
      <c r="F2075" s="2" t="s">
        <v>14</v>
      </c>
      <c r="G2075" s="2" t="s">
        <v>15</v>
      </c>
      <c r="H2075" s="2">
        <v>20000000</v>
      </c>
      <c r="I2075" s="2">
        <v>6.6</v>
      </c>
      <c r="J2075" s="2">
        <f t="shared" si="16"/>
        <v>-6198245</v>
      </c>
      <c r="K2075" s="2">
        <f t="shared" si="17"/>
        <v>-2.3443676147305074E-2</v>
      </c>
      <c r="L2075" s="2" t="str">
        <f>IF(ISNUMBER(SEARCH("|",IMDB_Movies!$D2075)),LEFT(IMDB_Movies!$D2075,SEARCH("|",IMDB_Movies!$D2075)-1),IMDB_Movies!$D2075)</f>
        <v>Action</v>
      </c>
      <c r="V2075" s="2"/>
      <c r="W2075" s="2"/>
    </row>
    <row r="2076" spans="1:23" ht="12.5" x14ac:dyDescent="0.25">
      <c r="A2076" s="2" t="s">
        <v>3602</v>
      </c>
      <c r="B2076" s="2">
        <v>117</v>
      </c>
      <c r="C2076" s="2">
        <v>13987482</v>
      </c>
      <c r="D2076" s="2" t="s">
        <v>600</v>
      </c>
      <c r="E2076" s="2" t="s">
        <v>3603</v>
      </c>
      <c r="F2076" s="2" t="s">
        <v>14</v>
      </c>
      <c r="G2076" s="2" t="s">
        <v>15</v>
      </c>
      <c r="H2076" s="2">
        <v>20000000</v>
      </c>
      <c r="I2076" s="2">
        <v>6</v>
      </c>
      <c r="J2076" s="2">
        <f t="shared" si="16"/>
        <v>-6012518</v>
      </c>
      <c r="K2076" s="2">
        <f t="shared" si="17"/>
        <v>-2.3445846523127992E-2</v>
      </c>
      <c r="L2076" s="2" t="str">
        <f>IF(ISNUMBER(SEARCH("|",IMDB_Movies!$D2076)),LEFT(IMDB_Movies!$D2076,SEARCH("|",IMDB_Movies!$D2076)-1),IMDB_Movies!$D2076)</f>
        <v>Comedy</v>
      </c>
      <c r="V2076" s="2"/>
      <c r="W2076" s="2"/>
    </row>
    <row r="2077" spans="1:23" ht="12.5" x14ac:dyDescent="0.25">
      <c r="A2077" s="2" t="s">
        <v>3604</v>
      </c>
      <c r="B2077" s="2">
        <v>95</v>
      </c>
      <c r="C2077" s="2">
        <v>14291570</v>
      </c>
      <c r="D2077" s="2" t="s">
        <v>90</v>
      </c>
      <c r="E2077" s="2" t="s">
        <v>3605</v>
      </c>
      <c r="F2077" s="2" t="s">
        <v>14</v>
      </c>
      <c r="G2077" s="2" t="s">
        <v>686</v>
      </c>
      <c r="H2077" s="2">
        <v>20000000</v>
      </c>
      <c r="I2077" s="2">
        <v>6.1</v>
      </c>
      <c r="J2077" s="2">
        <f t="shared" si="16"/>
        <v>-5708430</v>
      </c>
      <c r="K2077" s="2">
        <f t="shared" si="17"/>
        <v>-2.3447950272034328E-2</v>
      </c>
      <c r="L2077" s="2" t="str">
        <f>IF(ISNUMBER(SEARCH("|",IMDB_Movies!$D2077)),LEFT(IMDB_Movies!$D2077,SEARCH("|",IMDB_Movies!$D2077)-1),IMDB_Movies!$D2077)</f>
        <v>Action</v>
      </c>
      <c r="V2077" s="2"/>
      <c r="W2077" s="2"/>
    </row>
    <row r="2078" spans="1:23" ht="12.5" x14ac:dyDescent="0.25">
      <c r="A2078" s="2" t="s">
        <v>1081</v>
      </c>
      <c r="B2078" s="2">
        <v>99</v>
      </c>
      <c r="C2078" s="2">
        <v>12181484</v>
      </c>
      <c r="D2078" s="2" t="s">
        <v>709</v>
      </c>
      <c r="E2078" s="2" t="s">
        <v>3606</v>
      </c>
      <c r="F2078" s="2" t="s">
        <v>14</v>
      </c>
      <c r="G2078" s="2" t="s">
        <v>15</v>
      </c>
      <c r="H2078" s="2">
        <v>40000000</v>
      </c>
      <c r="I2078" s="2">
        <v>4.8</v>
      </c>
      <c r="J2078" s="2">
        <f t="shared" si="16"/>
        <v>-27818516</v>
      </c>
      <c r="K2078" s="2">
        <f t="shared" si="17"/>
        <v>-2.3449943987364663E-2</v>
      </c>
      <c r="L2078" s="2" t="str">
        <f>IF(ISNUMBER(SEARCH("|",IMDB_Movies!$D2078)),LEFT(IMDB_Movies!$D2078,SEARCH("|",IMDB_Movies!$D2078)-1),IMDB_Movies!$D2078)</f>
        <v>Comedy</v>
      </c>
      <c r="V2078" s="2"/>
      <c r="W2078" s="2"/>
    </row>
    <row r="2079" spans="1:23" ht="12.5" x14ac:dyDescent="0.25">
      <c r="A2079" s="2" t="s">
        <v>1550</v>
      </c>
      <c r="B2079" s="2">
        <v>96</v>
      </c>
      <c r="C2079" s="2">
        <v>13630226</v>
      </c>
      <c r="D2079" s="2" t="s">
        <v>509</v>
      </c>
      <c r="E2079" s="2" t="s">
        <v>3607</v>
      </c>
      <c r="F2079" s="2" t="s">
        <v>14</v>
      </c>
      <c r="G2079" s="2" t="s">
        <v>15</v>
      </c>
      <c r="H2079" s="2">
        <v>20000000</v>
      </c>
      <c r="I2079" s="2">
        <v>6.2</v>
      </c>
      <c r="J2079" s="2">
        <f t="shared" si="16"/>
        <v>-6369774</v>
      </c>
      <c r="K2079" s="2">
        <f t="shared" si="17"/>
        <v>-2.3444504777870519E-2</v>
      </c>
      <c r="L2079" s="2" t="str">
        <f>IF(ISNUMBER(SEARCH("|",IMDB_Movies!$D2079)),LEFT(IMDB_Movies!$D2079,SEARCH("|",IMDB_Movies!$D2079)-1),IMDB_Movies!$D2079)</f>
        <v>Action</v>
      </c>
      <c r="V2079" s="2"/>
      <c r="W2079" s="2"/>
    </row>
    <row r="2080" spans="1:23" ht="12.5" x14ac:dyDescent="0.25">
      <c r="A2080" s="2" t="s">
        <v>2732</v>
      </c>
      <c r="B2080" s="2">
        <v>98</v>
      </c>
      <c r="C2080" s="2">
        <v>13383737</v>
      </c>
      <c r="D2080" s="2" t="s">
        <v>375</v>
      </c>
      <c r="E2080" s="2" t="s">
        <v>3608</v>
      </c>
      <c r="F2080" s="2" t="s">
        <v>14</v>
      </c>
      <c r="G2080" s="2" t="s">
        <v>15</v>
      </c>
      <c r="H2080" s="2">
        <v>20000000</v>
      </c>
      <c r="I2080" s="2">
        <v>7.5</v>
      </c>
      <c r="J2080" s="2">
        <f t="shared" si="16"/>
        <v>-6616263</v>
      </c>
      <c r="K2080" s="2">
        <f t="shared" si="17"/>
        <v>-2.3446746065143909E-2</v>
      </c>
      <c r="L2080" s="2" t="str">
        <f>IF(ISNUMBER(SEARCH("|",IMDB_Movies!$D2080)),LEFT(IMDB_Movies!$D2080,SEARCH("|",IMDB_Movies!$D2080)-1),IMDB_Movies!$D2080)</f>
        <v>Comedy</v>
      </c>
      <c r="V2080" s="2"/>
      <c r="W2080" s="2"/>
    </row>
    <row r="2081" spans="1:23" ht="12.5" x14ac:dyDescent="0.25">
      <c r="A2081" s="2" t="s">
        <v>3609</v>
      </c>
      <c r="B2081" s="2">
        <v>123</v>
      </c>
      <c r="C2081" s="2">
        <v>13391174</v>
      </c>
      <c r="D2081" s="2" t="s">
        <v>2000</v>
      </c>
      <c r="E2081" s="2" t="s">
        <v>3610</v>
      </c>
      <c r="F2081" s="2" t="s">
        <v>14</v>
      </c>
      <c r="G2081" s="2" t="s">
        <v>15</v>
      </c>
      <c r="H2081" s="2">
        <v>20000000</v>
      </c>
      <c r="I2081" s="2">
        <v>6.3</v>
      </c>
      <c r="J2081" s="2">
        <f t="shared" si="16"/>
        <v>-6608826</v>
      </c>
      <c r="K2081" s="2">
        <f t="shared" si="17"/>
        <v>-2.3449083048964193E-2</v>
      </c>
      <c r="L2081" s="2" t="str">
        <f>IF(ISNUMBER(SEARCH("|",IMDB_Movies!$D2081)),LEFT(IMDB_Movies!$D2081,SEARCH("|",IMDB_Movies!$D2081)-1),IMDB_Movies!$D2081)</f>
        <v>Biography</v>
      </c>
      <c r="V2081" s="2"/>
      <c r="W2081" s="2"/>
    </row>
    <row r="2082" spans="1:23" ht="12.5" x14ac:dyDescent="0.25">
      <c r="A2082" s="2" t="s">
        <v>439</v>
      </c>
      <c r="B2082" s="2">
        <v>101</v>
      </c>
      <c r="C2082" s="2">
        <v>12987647</v>
      </c>
      <c r="D2082" s="2" t="s">
        <v>3611</v>
      </c>
      <c r="E2082" s="2" t="s">
        <v>3612</v>
      </c>
      <c r="F2082" s="2" t="s">
        <v>14</v>
      </c>
      <c r="G2082" s="2" t="s">
        <v>22</v>
      </c>
      <c r="H2082" s="2">
        <v>30000000</v>
      </c>
      <c r="I2082" s="2">
        <v>7.1</v>
      </c>
      <c r="J2082" s="2">
        <f t="shared" si="16"/>
        <v>-17012353</v>
      </c>
      <c r="K2082" s="2">
        <f t="shared" si="17"/>
        <v>-2.3451420011408472E-2</v>
      </c>
      <c r="L2082" s="2" t="str">
        <f>IF(ISNUMBER(SEARCH("|",IMDB_Movies!$D2082)),LEFT(IMDB_Movies!$D2082,SEARCH("|",IMDB_Movies!$D2082)-1),IMDB_Movies!$D2082)</f>
        <v>Drama</v>
      </c>
      <c r="V2082" s="2"/>
      <c r="W2082" s="2"/>
    </row>
    <row r="2083" spans="1:23" ht="12.5" x14ac:dyDescent="0.25">
      <c r="A2083" s="2" t="s">
        <v>16</v>
      </c>
      <c r="B2083" s="2">
        <v>102</v>
      </c>
      <c r="C2083" s="2">
        <v>12469811</v>
      </c>
      <c r="D2083" s="2" t="s">
        <v>891</v>
      </c>
      <c r="E2083" s="2" t="s">
        <v>3613</v>
      </c>
      <c r="F2083" s="2" t="s">
        <v>14</v>
      </c>
      <c r="G2083" s="2" t="s">
        <v>15</v>
      </c>
      <c r="H2083" s="2">
        <v>22000000</v>
      </c>
      <c r="I2083" s="2">
        <v>6.6</v>
      </c>
      <c r="J2083" s="2">
        <f t="shared" si="16"/>
        <v>-9530189</v>
      </c>
      <c r="K2083" s="2">
        <f t="shared" si="17"/>
        <v>-2.3450191528173049E-2</v>
      </c>
      <c r="L2083" s="2" t="str">
        <f>IF(ISNUMBER(SEARCH("|",IMDB_Movies!$D2083)),LEFT(IMDB_Movies!$D2083,SEARCH("|",IMDB_Movies!$D2083)-1),IMDB_Movies!$D2083)</f>
        <v>Comedy</v>
      </c>
      <c r="V2083" s="2"/>
      <c r="W2083" s="2"/>
    </row>
    <row r="2084" spans="1:23" ht="12.5" x14ac:dyDescent="0.25">
      <c r="A2084" s="2" t="s">
        <v>1496</v>
      </c>
      <c r="B2084" s="2">
        <v>94</v>
      </c>
      <c r="C2084" s="2">
        <v>12398628</v>
      </c>
      <c r="D2084" s="2" t="s">
        <v>3614</v>
      </c>
      <c r="E2084" s="2" t="s">
        <v>3615</v>
      </c>
      <c r="F2084" s="2" t="s">
        <v>14</v>
      </c>
      <c r="G2084" s="2" t="s">
        <v>15</v>
      </c>
      <c r="H2084" s="2">
        <v>20000000</v>
      </c>
      <c r="I2084" s="2">
        <v>6.1</v>
      </c>
      <c r="J2084" s="2">
        <f t="shared" si="16"/>
        <v>-7601372</v>
      </c>
      <c r="K2084" s="2">
        <f t="shared" si="17"/>
        <v>-2.3452087383937881E-2</v>
      </c>
      <c r="L2084" s="2" t="str">
        <f>IF(ISNUMBER(SEARCH("|",IMDB_Movies!$D2084)),LEFT(IMDB_Movies!$D2084,SEARCH("|",IMDB_Movies!$D2084)-1),IMDB_Movies!$D2084)</f>
        <v>Action</v>
      </c>
      <c r="V2084" s="2"/>
      <c r="W2084" s="2"/>
    </row>
    <row r="2085" spans="1:23" ht="12.5" x14ac:dyDescent="0.25">
      <c r="A2085" s="2" t="s">
        <v>1513</v>
      </c>
      <c r="B2085" s="2">
        <v>102</v>
      </c>
      <c r="C2085" s="2">
        <v>13214030</v>
      </c>
      <c r="D2085" s="2" t="s">
        <v>881</v>
      </c>
      <c r="E2085" s="2" t="s">
        <v>3616</v>
      </c>
      <c r="F2085" s="2" t="s">
        <v>14</v>
      </c>
      <c r="G2085" s="2" t="s">
        <v>15</v>
      </c>
      <c r="H2085" s="2">
        <v>20000000</v>
      </c>
      <c r="I2085" s="2">
        <v>6.7</v>
      </c>
      <c r="J2085" s="2">
        <f t="shared" si="16"/>
        <v>-6785970</v>
      </c>
      <c r="K2085" s="2">
        <f t="shared" si="17"/>
        <v>-2.3454812610246317E-2</v>
      </c>
      <c r="L2085" s="2" t="str">
        <f>IF(ISNUMBER(SEARCH("|",IMDB_Movies!$D2085)),LEFT(IMDB_Movies!$D2085,SEARCH("|",IMDB_Movies!$D2085)-1),IMDB_Movies!$D2085)</f>
        <v>Comedy</v>
      </c>
      <c r="V2085" s="2"/>
      <c r="W2085" s="2"/>
    </row>
    <row r="2086" spans="1:23" ht="12.5" x14ac:dyDescent="0.25">
      <c r="A2086" s="2" t="s">
        <v>744</v>
      </c>
      <c r="B2086" s="2">
        <v>108</v>
      </c>
      <c r="C2086" s="2">
        <v>12232937</v>
      </c>
      <c r="D2086" s="2" t="s">
        <v>125</v>
      </c>
      <c r="E2086" s="2" t="s">
        <v>3617</v>
      </c>
      <c r="F2086" s="2" t="s">
        <v>14</v>
      </c>
      <c r="G2086" s="2" t="s">
        <v>15</v>
      </c>
      <c r="H2086" s="2">
        <v>22000000</v>
      </c>
      <c r="I2086" s="2">
        <v>5.6</v>
      </c>
      <c r="J2086" s="2">
        <f t="shared" si="16"/>
        <v>-9767063</v>
      </c>
      <c r="K2086" s="2">
        <f t="shared" si="17"/>
        <v>-2.3457226216226642E-2</v>
      </c>
      <c r="L2086" s="2" t="str">
        <f>IF(ISNUMBER(SEARCH("|",IMDB_Movies!$D2086)),LEFT(IMDB_Movies!$D2086,SEARCH("|",IMDB_Movies!$D2086)-1),IMDB_Movies!$D2086)</f>
        <v>Action</v>
      </c>
      <c r="V2086" s="2"/>
      <c r="W2086" s="2"/>
    </row>
    <row r="2087" spans="1:23" ht="12.5" x14ac:dyDescent="0.25">
      <c r="A2087" s="2" t="s">
        <v>223</v>
      </c>
      <c r="B2087" s="2">
        <v>116</v>
      </c>
      <c r="C2087" s="2">
        <v>12134420</v>
      </c>
      <c r="D2087" s="2" t="s">
        <v>3618</v>
      </c>
      <c r="E2087" s="2" t="s">
        <v>3619</v>
      </c>
      <c r="F2087" s="2" t="s">
        <v>14</v>
      </c>
      <c r="G2087" s="2" t="s">
        <v>22</v>
      </c>
      <c r="H2087" s="2">
        <v>20000000</v>
      </c>
      <c r="I2087" s="2">
        <v>7.2</v>
      </c>
      <c r="J2087" s="2">
        <f t="shared" si="16"/>
        <v>-7865580</v>
      </c>
      <c r="K2087" s="2">
        <f t="shared" si="17"/>
        <v>-2.3459198342224676E-2</v>
      </c>
      <c r="L2087" s="2" t="str">
        <f>IF(ISNUMBER(SEARCH("|",IMDB_Movies!$D2087)),LEFT(IMDB_Movies!$D2087,SEARCH("|",IMDB_Movies!$D2087)-1),IMDB_Movies!$D2087)</f>
        <v>Drama</v>
      </c>
      <c r="V2087" s="2"/>
      <c r="W2087" s="2"/>
    </row>
    <row r="2088" spans="1:23" ht="12.5" x14ac:dyDescent="0.25">
      <c r="A2088" s="2" t="s">
        <v>3620</v>
      </c>
      <c r="B2088" s="2">
        <v>93</v>
      </c>
      <c r="C2088" s="2">
        <v>11784000</v>
      </c>
      <c r="D2088" s="2" t="s">
        <v>2947</v>
      </c>
      <c r="E2088" s="2" t="s">
        <v>3621</v>
      </c>
      <c r="F2088" s="2" t="s">
        <v>14</v>
      </c>
      <c r="G2088" s="2" t="s">
        <v>15</v>
      </c>
      <c r="H2088" s="2">
        <v>20000000</v>
      </c>
      <c r="I2088" s="2">
        <v>4.3</v>
      </c>
      <c r="J2088" s="2">
        <f t="shared" si="16"/>
        <v>-8216000</v>
      </c>
      <c r="K2088" s="2">
        <f t="shared" si="17"/>
        <v>-2.3462036589238608E-2</v>
      </c>
      <c r="L2088" s="2" t="str">
        <f>IF(ISNUMBER(SEARCH("|",IMDB_Movies!$D2088)),LEFT(IMDB_Movies!$D2088,SEARCH("|",IMDB_Movies!$D2088)-1),IMDB_Movies!$D2088)</f>
        <v>Action</v>
      </c>
      <c r="V2088" s="2"/>
      <c r="W2088" s="2"/>
    </row>
    <row r="2089" spans="1:23" ht="12.5" x14ac:dyDescent="0.25">
      <c r="A2089" s="2" t="s">
        <v>558</v>
      </c>
      <c r="B2089" s="2">
        <v>102</v>
      </c>
      <c r="C2089" s="2">
        <v>11169531</v>
      </c>
      <c r="D2089" s="2" t="s">
        <v>709</v>
      </c>
      <c r="E2089" s="2" t="s">
        <v>3622</v>
      </c>
      <c r="F2089" s="2" t="s">
        <v>14</v>
      </c>
      <c r="G2089" s="2" t="s">
        <v>22</v>
      </c>
      <c r="H2089" s="2">
        <v>20000000</v>
      </c>
      <c r="I2089" s="2">
        <v>6.4</v>
      </c>
      <c r="J2089" s="2">
        <f t="shared" si="16"/>
        <v>-8830469</v>
      </c>
      <c r="K2089" s="2">
        <f t="shared" si="17"/>
        <v>-2.3465017236960827E-2</v>
      </c>
      <c r="L2089" s="2" t="str">
        <f>IF(ISNUMBER(SEARCH("|",IMDB_Movies!$D2089)),LEFT(IMDB_Movies!$D2089,SEARCH("|",IMDB_Movies!$D2089)-1),IMDB_Movies!$D2089)</f>
        <v>Comedy</v>
      </c>
      <c r="V2089" s="2"/>
      <c r="W2089" s="2"/>
    </row>
    <row r="2090" spans="1:23" ht="12.5" x14ac:dyDescent="0.25">
      <c r="A2090" s="2" t="s">
        <v>1900</v>
      </c>
      <c r="B2090" s="2">
        <v>103</v>
      </c>
      <c r="C2090" s="2">
        <v>11034436</v>
      </c>
      <c r="D2090" s="2" t="s">
        <v>3623</v>
      </c>
      <c r="E2090" s="2" t="s">
        <v>3624</v>
      </c>
      <c r="F2090" s="2" t="s">
        <v>14</v>
      </c>
      <c r="G2090" s="2" t="s">
        <v>22</v>
      </c>
      <c r="H2090" s="2">
        <v>20000000</v>
      </c>
      <c r="I2090" s="2">
        <v>7.1</v>
      </c>
      <c r="J2090" s="2">
        <f t="shared" si="16"/>
        <v>-8965564</v>
      </c>
      <c r="K2090" s="2">
        <f t="shared" si="17"/>
        <v>-2.3468248723888672E-2</v>
      </c>
      <c r="L2090" s="2" t="str">
        <f>IF(ISNUMBER(SEARCH("|",IMDB_Movies!$D2090)),LEFT(IMDB_Movies!$D2090,SEARCH("|",IMDB_Movies!$D2090)-1),IMDB_Movies!$D2090)</f>
        <v>Comedy</v>
      </c>
      <c r="V2090" s="2"/>
      <c r="W2090" s="2"/>
    </row>
    <row r="2091" spans="1:23" ht="12.5" x14ac:dyDescent="0.25">
      <c r="A2091" s="2" t="s">
        <v>3231</v>
      </c>
      <c r="B2091" s="2">
        <v>115</v>
      </c>
      <c r="C2091" s="2">
        <v>12626905</v>
      </c>
      <c r="D2091" s="2" t="s">
        <v>177</v>
      </c>
      <c r="E2091" s="2" t="s">
        <v>3625</v>
      </c>
      <c r="F2091" s="2" t="s">
        <v>14</v>
      </c>
      <c r="G2091" s="2" t="s">
        <v>15</v>
      </c>
      <c r="H2091" s="2">
        <v>20000000</v>
      </c>
      <c r="I2091" s="2">
        <v>6.3</v>
      </c>
      <c r="J2091" s="2">
        <f t="shared" si="16"/>
        <v>-7373095</v>
      </c>
      <c r="K2091" s="2">
        <f t="shared" si="17"/>
        <v>-2.3471539126967506E-2</v>
      </c>
      <c r="L2091" s="2" t="str">
        <f>IF(ISNUMBER(SEARCH("|",IMDB_Movies!$D2091)),LEFT(IMDB_Movies!$D2091,SEARCH("|",IMDB_Movies!$D2091)-1),IMDB_Movies!$D2091)</f>
        <v>Action</v>
      </c>
      <c r="V2091" s="2"/>
      <c r="W2091" s="2"/>
    </row>
    <row r="2092" spans="1:23" ht="12.5" x14ac:dyDescent="0.25">
      <c r="A2092" s="2" t="s">
        <v>2732</v>
      </c>
      <c r="B2092" s="2">
        <v>96</v>
      </c>
      <c r="C2092" s="2">
        <v>10569071</v>
      </c>
      <c r="D2092" s="2" t="s">
        <v>709</v>
      </c>
      <c r="E2092" s="2" t="s">
        <v>3626</v>
      </c>
      <c r="F2092" s="2" t="s">
        <v>14</v>
      </c>
      <c r="G2092" s="2" t="s">
        <v>15</v>
      </c>
      <c r="H2092" s="2">
        <v>20000000</v>
      </c>
      <c r="I2092" s="2">
        <v>7.4</v>
      </c>
      <c r="J2092" s="2">
        <f t="shared" si="16"/>
        <v>-9430929</v>
      </c>
      <c r="K2092" s="2">
        <f t="shared" si="17"/>
        <v>-2.3474198471596586E-2</v>
      </c>
      <c r="L2092" s="2" t="str">
        <f>IF(ISNUMBER(SEARCH("|",IMDB_Movies!$D2092)),LEFT(IMDB_Movies!$D2092,SEARCH("|",IMDB_Movies!$D2092)-1),IMDB_Movies!$D2092)</f>
        <v>Comedy</v>
      </c>
      <c r="V2092" s="2"/>
      <c r="W2092" s="2"/>
    </row>
    <row r="2093" spans="1:23" ht="12.5" x14ac:dyDescent="0.25">
      <c r="A2093" s="2" t="s">
        <v>3627</v>
      </c>
      <c r="B2093" s="2">
        <v>98</v>
      </c>
      <c r="C2093" s="2">
        <v>10544143</v>
      </c>
      <c r="D2093" s="2" t="s">
        <v>600</v>
      </c>
      <c r="E2093" s="2" t="s">
        <v>3628</v>
      </c>
      <c r="F2093" s="2" t="s">
        <v>14</v>
      </c>
      <c r="G2093" s="2" t="s">
        <v>135</v>
      </c>
      <c r="H2093" s="2">
        <v>20000000</v>
      </c>
      <c r="I2093" s="2">
        <v>6.1</v>
      </c>
      <c r="J2093" s="2">
        <f t="shared" si="16"/>
        <v>-9455857</v>
      </c>
      <c r="K2093" s="2">
        <f t="shared" si="17"/>
        <v>-2.3477687698612471E-2</v>
      </c>
      <c r="L2093" s="2" t="str">
        <f>IF(ISNUMBER(SEARCH("|",IMDB_Movies!$D2093)),LEFT(IMDB_Movies!$D2093,SEARCH("|",IMDB_Movies!$D2093)-1),IMDB_Movies!$D2093)</f>
        <v>Comedy</v>
      </c>
      <c r="V2093" s="2"/>
      <c r="W2093" s="2"/>
    </row>
    <row r="2094" spans="1:23" ht="12.5" x14ac:dyDescent="0.25">
      <c r="A2094" s="2" t="s">
        <v>3158</v>
      </c>
      <c r="B2094" s="2">
        <v>101</v>
      </c>
      <c r="C2094" s="2">
        <v>13650738</v>
      </c>
      <c r="D2094" s="2" t="s">
        <v>891</v>
      </c>
      <c r="E2094" s="2" t="s">
        <v>3629</v>
      </c>
      <c r="F2094" s="2" t="s">
        <v>14</v>
      </c>
      <c r="G2094" s="2" t="s">
        <v>15</v>
      </c>
      <c r="H2094" s="2">
        <v>20000000</v>
      </c>
      <c r="I2094" s="2">
        <v>6.6</v>
      </c>
      <c r="J2094" s="2">
        <f t="shared" si="16"/>
        <v>-6349262</v>
      </c>
      <c r="K2094" s="2">
        <f t="shared" si="17"/>
        <v>-2.3481191537440098E-2</v>
      </c>
      <c r="L2094" s="2" t="str">
        <f>IF(ISNUMBER(SEARCH("|",IMDB_Movies!$D2094)),LEFT(IMDB_Movies!$D2094,SEARCH("|",IMDB_Movies!$D2094)-1),IMDB_Movies!$D2094)</f>
        <v>Comedy</v>
      </c>
      <c r="V2094" s="2"/>
      <c r="W2094" s="2"/>
    </row>
    <row r="2095" spans="1:23" ht="12.5" x14ac:dyDescent="0.25">
      <c r="A2095" s="2" t="s">
        <v>1715</v>
      </c>
      <c r="B2095" s="2">
        <v>106</v>
      </c>
      <c r="C2095" s="2">
        <v>10555348</v>
      </c>
      <c r="D2095" s="2" t="s">
        <v>375</v>
      </c>
      <c r="E2095" s="2" t="s">
        <v>3630</v>
      </c>
      <c r="F2095" s="2" t="s">
        <v>14</v>
      </c>
      <c r="G2095" s="2" t="s">
        <v>15</v>
      </c>
      <c r="H2095" s="2">
        <v>20000000</v>
      </c>
      <c r="I2095" s="2">
        <v>6</v>
      </c>
      <c r="J2095" s="2">
        <f t="shared" si="16"/>
        <v>-9444652</v>
      </c>
      <c r="K2095" s="2">
        <f t="shared" si="17"/>
        <v>-2.3483467787793547E-2</v>
      </c>
      <c r="L2095" s="2" t="str">
        <f>IF(ISNUMBER(SEARCH("|",IMDB_Movies!$D2095)),LEFT(IMDB_Movies!$D2095,SEARCH("|",IMDB_Movies!$D2095)-1),IMDB_Movies!$D2095)</f>
        <v>Comedy</v>
      </c>
      <c r="V2095" s="2"/>
      <c r="W2095" s="2"/>
    </row>
    <row r="2096" spans="1:23" ht="12.5" x14ac:dyDescent="0.25">
      <c r="A2096" s="2" t="s">
        <v>2732</v>
      </c>
      <c r="B2096" s="2">
        <v>101</v>
      </c>
      <c r="C2096" s="2">
        <v>9714482</v>
      </c>
      <c r="D2096" s="2" t="s">
        <v>3631</v>
      </c>
      <c r="E2096" s="2" t="s">
        <v>3632</v>
      </c>
      <c r="F2096" s="2" t="s">
        <v>14</v>
      </c>
      <c r="G2096" s="2" t="s">
        <v>15</v>
      </c>
      <c r="H2096" s="2">
        <v>20000000</v>
      </c>
      <c r="I2096" s="2">
        <v>6.8</v>
      </c>
      <c r="J2096" s="2">
        <f t="shared" si="16"/>
        <v>-10285518</v>
      </c>
      <c r="K2096" s="2">
        <f t="shared" si="17"/>
        <v>-2.3486974781916175E-2</v>
      </c>
      <c r="L2096" s="2" t="str">
        <f>IF(ISNUMBER(SEARCH("|",IMDB_Movies!$D2096)),LEFT(IMDB_Movies!$D2096,SEARCH("|",IMDB_Movies!$D2096)-1),IMDB_Movies!$D2096)</f>
        <v>Comedy</v>
      </c>
      <c r="V2096" s="2"/>
      <c r="W2096" s="2"/>
    </row>
    <row r="2097" spans="1:23" ht="12.5" x14ac:dyDescent="0.25">
      <c r="A2097" s="2" t="s">
        <v>124</v>
      </c>
      <c r="B2097" s="2">
        <v>111</v>
      </c>
      <c r="C2097" s="2">
        <v>9525276</v>
      </c>
      <c r="D2097" s="2" t="s">
        <v>125</v>
      </c>
      <c r="E2097" s="2" t="s">
        <v>3633</v>
      </c>
      <c r="F2097" s="2" t="s">
        <v>14</v>
      </c>
      <c r="G2097" s="2" t="s">
        <v>15</v>
      </c>
      <c r="H2097" s="2">
        <v>20000000</v>
      </c>
      <c r="I2097" s="2">
        <v>6.8</v>
      </c>
      <c r="J2097" s="2">
        <f t="shared" si="16"/>
        <v>-10474724</v>
      </c>
      <c r="K2097" s="2">
        <f t="shared" si="17"/>
        <v>-2.3490838849232594E-2</v>
      </c>
      <c r="L2097" s="2" t="str">
        <f>IF(ISNUMBER(SEARCH("|",IMDB_Movies!$D2097)),LEFT(IMDB_Movies!$D2097,SEARCH("|",IMDB_Movies!$D2097)-1),IMDB_Movies!$D2097)</f>
        <v>Action</v>
      </c>
      <c r="V2097" s="2"/>
      <c r="W2097" s="2"/>
    </row>
    <row r="2098" spans="1:23" ht="12.5" x14ac:dyDescent="0.25">
      <c r="A2098" s="2" t="s">
        <v>2369</v>
      </c>
      <c r="B2098" s="2">
        <v>99</v>
      </c>
      <c r="C2098" s="2">
        <v>8855646</v>
      </c>
      <c r="D2098" s="2" t="s">
        <v>2349</v>
      </c>
      <c r="E2098" s="2" t="s">
        <v>3634</v>
      </c>
      <c r="F2098" s="2" t="s">
        <v>14</v>
      </c>
      <c r="G2098" s="2" t="s">
        <v>15</v>
      </c>
      <c r="H2098" s="2">
        <v>21000000</v>
      </c>
      <c r="I2098" s="2">
        <v>7.2</v>
      </c>
      <c r="J2098" s="2">
        <f t="shared" si="16"/>
        <v>-12144354</v>
      </c>
      <c r="K2098" s="2">
        <f t="shared" si="17"/>
        <v>-2.3494788262714877E-2</v>
      </c>
      <c r="L2098" s="2" t="str">
        <f>IF(ISNUMBER(SEARCH("|",IMDB_Movies!$D2098)),LEFT(IMDB_Movies!$D2098,SEARCH("|",IMDB_Movies!$D2098)-1),IMDB_Movies!$D2098)</f>
        <v>Adventure</v>
      </c>
      <c r="V2098" s="2"/>
      <c r="W2098" s="2"/>
    </row>
    <row r="2099" spans="1:23" ht="12.5" x14ac:dyDescent="0.25">
      <c r="A2099" s="2" t="s">
        <v>3635</v>
      </c>
      <c r="B2099" s="2">
        <v>88</v>
      </c>
      <c r="C2099" s="2">
        <v>9109322</v>
      </c>
      <c r="D2099" s="2" t="s">
        <v>932</v>
      </c>
      <c r="E2099" s="2" t="s">
        <v>3636</v>
      </c>
      <c r="F2099" s="2" t="s">
        <v>14</v>
      </c>
      <c r="G2099" s="2" t="s">
        <v>287</v>
      </c>
      <c r="H2099" s="2">
        <v>20000000</v>
      </c>
      <c r="I2099" s="2">
        <v>1.9</v>
      </c>
      <c r="J2099" s="2">
        <f t="shared" si="16"/>
        <v>-10890678</v>
      </c>
      <c r="K2099" s="2">
        <f t="shared" si="17"/>
        <v>-2.3498442797865997E-2</v>
      </c>
      <c r="L2099" s="2" t="str">
        <f>IF(ISNUMBER(SEARCH("|",IMDB_Movies!$D2099)),LEFT(IMDB_Movies!$D2099,SEARCH("|",IMDB_Movies!$D2099)-1),IMDB_Movies!$D2099)</f>
        <v>Comedy</v>
      </c>
      <c r="V2099" s="2"/>
      <c r="W2099" s="2"/>
    </row>
    <row r="2100" spans="1:23" ht="12.5" x14ac:dyDescent="0.25">
      <c r="A2100" s="2" t="s">
        <v>931</v>
      </c>
      <c r="B2100" s="2">
        <v>83</v>
      </c>
      <c r="C2100" s="2">
        <v>8326035</v>
      </c>
      <c r="D2100" s="2" t="s">
        <v>623</v>
      </c>
      <c r="E2100" s="2" t="s">
        <v>3637</v>
      </c>
      <c r="F2100" s="2" t="s">
        <v>14</v>
      </c>
      <c r="G2100" s="2" t="s">
        <v>287</v>
      </c>
      <c r="H2100" s="2">
        <v>33000000</v>
      </c>
      <c r="I2100" s="2">
        <v>5.5</v>
      </c>
      <c r="J2100" s="2">
        <f t="shared" si="16"/>
        <v>-24673965</v>
      </c>
      <c r="K2100" s="2">
        <f t="shared" si="17"/>
        <v>-2.3502580650234674E-2</v>
      </c>
      <c r="L2100" s="2" t="str">
        <f>IF(ISNUMBER(SEARCH("|",IMDB_Movies!$D2100)),LEFT(IMDB_Movies!$D2100,SEARCH("|",IMDB_Movies!$D2100)-1),IMDB_Movies!$D2100)</f>
        <v>Action</v>
      </c>
      <c r="V2100" s="2"/>
      <c r="W2100" s="2"/>
    </row>
    <row r="2101" spans="1:23" ht="12.5" x14ac:dyDescent="0.25">
      <c r="A2101" s="2" t="s">
        <v>931</v>
      </c>
      <c r="B2101" s="2">
        <v>91</v>
      </c>
      <c r="C2101" s="2">
        <v>8104069</v>
      </c>
      <c r="D2101" s="2" t="s">
        <v>623</v>
      </c>
      <c r="E2101" s="2" t="s">
        <v>3638</v>
      </c>
      <c r="F2101" s="2" t="s">
        <v>14</v>
      </c>
      <c r="G2101" s="2" t="s">
        <v>15</v>
      </c>
      <c r="H2101" s="2">
        <v>20000000</v>
      </c>
      <c r="I2101" s="2">
        <v>4.5</v>
      </c>
      <c r="J2101" s="2">
        <f t="shared" si="16"/>
        <v>-11895931</v>
      </c>
      <c r="K2101" s="2">
        <f t="shared" si="17"/>
        <v>-2.3499065822972637E-2</v>
      </c>
      <c r="L2101" s="2" t="str">
        <f>IF(ISNUMBER(SEARCH("|",IMDB_Movies!$D2101)),LEFT(IMDB_Movies!$D2101,SEARCH("|",IMDB_Movies!$D2101)-1),IMDB_Movies!$D2101)</f>
        <v>Action</v>
      </c>
      <c r="V2101" s="2"/>
      <c r="W2101" s="2"/>
    </row>
    <row r="2102" spans="1:23" ht="12.5" x14ac:dyDescent="0.25">
      <c r="A2102" s="2" t="s">
        <v>1266</v>
      </c>
      <c r="B2102" s="2">
        <v>108</v>
      </c>
      <c r="C2102" s="2">
        <v>8054280</v>
      </c>
      <c r="D2102" s="2" t="s">
        <v>1068</v>
      </c>
      <c r="E2102" s="2" t="s">
        <v>3639</v>
      </c>
      <c r="F2102" s="2" t="s">
        <v>14</v>
      </c>
      <c r="G2102" s="2" t="s">
        <v>15</v>
      </c>
      <c r="H2102" s="2">
        <v>20000000</v>
      </c>
      <c r="I2102" s="2">
        <v>6.3</v>
      </c>
      <c r="J2102" s="2">
        <f t="shared" si="16"/>
        <v>-11945720</v>
      </c>
      <c r="K2102" s="2">
        <f t="shared" si="17"/>
        <v>-2.3503649901944257E-2</v>
      </c>
      <c r="L2102" s="2" t="str">
        <f>IF(ISNUMBER(SEARCH("|",IMDB_Movies!$D2102)),LEFT(IMDB_Movies!$D2102,SEARCH("|",IMDB_Movies!$D2102)-1),IMDB_Movies!$D2102)</f>
        <v>Comedy</v>
      </c>
      <c r="V2102" s="2"/>
      <c r="W2102" s="2"/>
    </row>
    <row r="2103" spans="1:23" ht="12.5" x14ac:dyDescent="0.25">
      <c r="A2103" s="2" t="s">
        <v>2361</v>
      </c>
      <c r="B2103" s="2">
        <v>148</v>
      </c>
      <c r="C2103" s="2">
        <v>8093318</v>
      </c>
      <c r="D2103" s="2" t="s">
        <v>3640</v>
      </c>
      <c r="E2103" s="2" t="s">
        <v>3641</v>
      </c>
      <c r="F2103" s="2" t="s">
        <v>14</v>
      </c>
      <c r="G2103" s="2" t="s">
        <v>15</v>
      </c>
      <c r="H2103" s="2">
        <v>20000000</v>
      </c>
      <c r="I2103" s="2">
        <v>6.7</v>
      </c>
      <c r="J2103" s="2">
        <f t="shared" si="16"/>
        <v>-11906682</v>
      </c>
      <c r="K2103" s="2">
        <f t="shared" si="17"/>
        <v>-2.350826191500012E-2</v>
      </c>
      <c r="L2103" s="2" t="str">
        <f>IF(ISNUMBER(SEARCH("|",IMDB_Movies!$D2103)),LEFT(IMDB_Movies!$D2103,SEARCH("|",IMDB_Movies!$D2103)-1),IMDB_Movies!$D2103)</f>
        <v>Comedy</v>
      </c>
      <c r="V2103" s="2"/>
      <c r="W2103" s="2"/>
    </row>
    <row r="2104" spans="1:23" ht="12.5" x14ac:dyDescent="0.25">
      <c r="A2104" s="2" t="s">
        <v>3642</v>
      </c>
      <c r="B2104" s="2">
        <v>77</v>
      </c>
      <c r="C2104" s="2">
        <v>7382993</v>
      </c>
      <c r="D2104" s="2" t="s">
        <v>106</v>
      </c>
      <c r="E2104" s="2" t="s">
        <v>3643</v>
      </c>
      <c r="F2104" s="2" t="s">
        <v>14</v>
      </c>
      <c r="G2104" s="2" t="s">
        <v>15</v>
      </c>
      <c r="H2104" s="2">
        <v>20000000</v>
      </c>
      <c r="I2104" s="2">
        <v>2.8</v>
      </c>
      <c r="J2104" s="2">
        <f t="shared" si="16"/>
        <v>-12617007</v>
      </c>
      <c r="K2104" s="2">
        <f t="shared" si="17"/>
        <v>-2.3512862418627364E-2</v>
      </c>
      <c r="L2104" s="2" t="str">
        <f>IF(ISNUMBER(SEARCH("|",IMDB_Movies!$D2104)),LEFT(IMDB_Movies!$D2104,SEARCH("|",IMDB_Movies!$D2104)-1),IMDB_Movies!$D2104)</f>
        <v>Adventure</v>
      </c>
      <c r="V2104" s="2"/>
      <c r="W2104" s="2"/>
    </row>
    <row r="2105" spans="1:23" ht="12.5" x14ac:dyDescent="0.25">
      <c r="A2105" s="2" t="s">
        <v>3644</v>
      </c>
      <c r="B2105" s="2">
        <v>110</v>
      </c>
      <c r="C2105" s="2">
        <v>8888355</v>
      </c>
      <c r="D2105" s="2" t="s">
        <v>2082</v>
      </c>
      <c r="E2105" s="2" t="s">
        <v>3645</v>
      </c>
      <c r="F2105" s="2" t="s">
        <v>14</v>
      </c>
      <c r="G2105" s="2" t="s">
        <v>15</v>
      </c>
      <c r="H2105" s="2">
        <v>20000000</v>
      </c>
      <c r="I2105" s="2">
        <v>5</v>
      </c>
      <c r="J2105" s="2">
        <f t="shared" si="16"/>
        <v>-11111645</v>
      </c>
      <c r="K2105" s="2">
        <f t="shared" si="17"/>
        <v>-2.3517787622617563E-2</v>
      </c>
      <c r="L2105" s="2" t="str">
        <f>IF(ISNUMBER(SEARCH("|",IMDB_Movies!$D2105)),LEFT(IMDB_Movies!$D2105,SEARCH("|",IMDB_Movies!$D2105)-1),IMDB_Movies!$D2105)</f>
        <v>Drama</v>
      </c>
      <c r="V2105" s="2"/>
      <c r="W2105" s="2"/>
    </row>
    <row r="2106" spans="1:23" ht="12.5" x14ac:dyDescent="0.25">
      <c r="A2106" s="2" t="s">
        <v>1918</v>
      </c>
      <c r="B2106" s="2">
        <v>83</v>
      </c>
      <c r="C2106" s="2">
        <v>7001720</v>
      </c>
      <c r="D2106" s="2" t="s">
        <v>975</v>
      </c>
      <c r="E2106" s="2" t="s">
        <v>3646</v>
      </c>
      <c r="F2106" s="2" t="s">
        <v>14</v>
      </c>
      <c r="G2106" s="2" t="s">
        <v>15</v>
      </c>
      <c r="H2106" s="2">
        <v>12000000</v>
      </c>
      <c r="I2106" s="2">
        <v>4.3</v>
      </c>
      <c r="J2106" s="2">
        <f t="shared" si="16"/>
        <v>-4998280</v>
      </c>
      <c r="K2106" s="2">
        <f t="shared" si="17"/>
        <v>-2.3522049753695901E-2</v>
      </c>
      <c r="L2106" s="2" t="str">
        <f>IF(ISNUMBER(SEARCH("|",IMDB_Movies!$D2106)),LEFT(IMDB_Movies!$D2106,SEARCH("|",IMDB_Movies!$D2106)-1),IMDB_Movies!$D2106)</f>
        <v>Comedy</v>
      </c>
      <c r="V2106" s="2"/>
      <c r="W2106" s="2"/>
    </row>
    <row r="2107" spans="1:23" ht="12.5" x14ac:dyDescent="0.25">
      <c r="A2107" s="2" t="s">
        <v>1666</v>
      </c>
      <c r="B2107" s="2">
        <v>107</v>
      </c>
      <c r="C2107" s="2">
        <v>7268659</v>
      </c>
      <c r="D2107" s="2" t="s">
        <v>150</v>
      </c>
      <c r="E2107" s="2" t="s">
        <v>3647</v>
      </c>
      <c r="F2107" s="2" t="s">
        <v>14</v>
      </c>
      <c r="G2107" s="2" t="s">
        <v>3648</v>
      </c>
      <c r="H2107" s="2">
        <v>20000000</v>
      </c>
      <c r="I2107" s="2">
        <v>5.6</v>
      </c>
      <c r="J2107" s="2">
        <f t="shared" si="16"/>
        <v>-12731341</v>
      </c>
      <c r="K2107" s="2">
        <f t="shared" si="17"/>
        <v>-2.353265541249952E-2</v>
      </c>
      <c r="L2107" s="2" t="str">
        <f>IF(ISNUMBER(SEARCH("|",IMDB_Movies!$D2107)),LEFT(IMDB_Movies!$D2107,SEARCH("|",IMDB_Movies!$D2107)-1),IMDB_Movies!$D2107)</f>
        <v>Action</v>
      </c>
      <c r="V2107" s="2"/>
      <c r="W2107" s="2"/>
    </row>
    <row r="2108" spans="1:23" ht="12.5" x14ac:dyDescent="0.25">
      <c r="A2108" s="2" t="s">
        <v>3649</v>
      </c>
      <c r="B2108" s="2">
        <v>100</v>
      </c>
      <c r="C2108" s="2">
        <v>6852144</v>
      </c>
      <c r="D2108" s="2" t="s">
        <v>1260</v>
      </c>
      <c r="E2108" s="2" t="s">
        <v>3650</v>
      </c>
      <c r="F2108" s="2" t="s">
        <v>14</v>
      </c>
      <c r="G2108" s="2" t="s">
        <v>104</v>
      </c>
      <c r="H2108" s="2">
        <v>22000000</v>
      </c>
      <c r="I2108" s="2">
        <v>6.2</v>
      </c>
      <c r="J2108" s="2">
        <f t="shared" si="16"/>
        <v>-15147856</v>
      </c>
      <c r="K2108" s="2">
        <f t="shared" si="17"/>
        <v>-2.3537654613328213E-2</v>
      </c>
      <c r="L2108" s="2" t="str">
        <f>IF(ISNUMBER(SEARCH("|",IMDB_Movies!$D2108)),LEFT(IMDB_Movies!$D2108,SEARCH("|",IMDB_Movies!$D2108)-1),IMDB_Movies!$D2108)</f>
        <v>Drama</v>
      </c>
      <c r="V2108" s="2"/>
      <c r="W2108" s="2"/>
    </row>
    <row r="2109" spans="1:23" ht="12.5" x14ac:dyDescent="0.25">
      <c r="A2109" s="2" t="s">
        <v>3121</v>
      </c>
      <c r="B2109" s="2">
        <v>87</v>
      </c>
      <c r="C2109" s="2">
        <v>6563357</v>
      </c>
      <c r="D2109" s="2" t="s">
        <v>1450</v>
      </c>
      <c r="E2109" s="2" t="s">
        <v>3651</v>
      </c>
      <c r="F2109" s="2" t="s">
        <v>14</v>
      </c>
      <c r="G2109" s="2" t="s">
        <v>15</v>
      </c>
      <c r="H2109" s="2">
        <v>20000000</v>
      </c>
      <c r="I2109" s="2">
        <v>5.3</v>
      </c>
      <c r="J2109" s="2">
        <f t="shared" si="16"/>
        <v>-13436643</v>
      </c>
      <c r="K2109" s="2">
        <f t="shared" si="17"/>
        <v>-2.3541461683053679E-2</v>
      </c>
      <c r="L2109" s="2" t="str">
        <f>IF(ISNUMBER(SEARCH("|",IMDB_Movies!$D2109)),LEFT(IMDB_Movies!$D2109,SEARCH("|",IMDB_Movies!$D2109)-1),IMDB_Movies!$D2109)</f>
        <v>Adventure</v>
      </c>
      <c r="V2109" s="2"/>
      <c r="W2109" s="2"/>
    </row>
    <row r="2110" spans="1:23" ht="12.5" x14ac:dyDescent="0.25">
      <c r="A2110" s="2" t="s">
        <v>3652</v>
      </c>
      <c r="B2110" s="2">
        <v>154</v>
      </c>
      <c r="C2110" s="2">
        <v>6201757</v>
      </c>
      <c r="D2110" s="2" t="s">
        <v>3653</v>
      </c>
      <c r="E2110" s="2" t="s">
        <v>3654</v>
      </c>
      <c r="F2110" s="2" t="s">
        <v>14</v>
      </c>
      <c r="G2110" s="2" t="s">
        <v>22</v>
      </c>
      <c r="H2110" s="2">
        <v>10000000</v>
      </c>
      <c r="I2110" s="2">
        <v>7.4</v>
      </c>
      <c r="J2110" s="2">
        <f t="shared" si="16"/>
        <v>-3798243</v>
      </c>
      <c r="K2110" s="2">
        <f t="shared" si="17"/>
        <v>-2.3546797564869281E-2</v>
      </c>
      <c r="L2110" s="2" t="str">
        <f>IF(ISNUMBER(SEARCH("|",IMDB_Movies!$D2110)),LEFT(IMDB_Movies!$D2110,SEARCH("|",IMDB_Movies!$D2110)-1),IMDB_Movies!$D2110)</f>
        <v>Biography</v>
      </c>
      <c r="V2110" s="2"/>
      <c r="W2110" s="2"/>
    </row>
    <row r="2111" spans="1:23" ht="12.5" x14ac:dyDescent="0.25">
      <c r="A2111" s="2" t="s">
        <v>3655</v>
      </c>
      <c r="B2111" s="2">
        <v>106</v>
      </c>
      <c r="C2111" s="2">
        <v>6420319</v>
      </c>
      <c r="D2111" s="2" t="s">
        <v>1175</v>
      </c>
      <c r="E2111" s="2" t="s">
        <v>3656</v>
      </c>
      <c r="F2111" s="2" t="s">
        <v>14</v>
      </c>
      <c r="G2111" s="2" t="s">
        <v>3657</v>
      </c>
      <c r="H2111" s="2">
        <v>20000000</v>
      </c>
      <c r="I2111" s="2">
        <v>7.4</v>
      </c>
      <c r="J2111" s="2">
        <f t="shared" si="16"/>
        <v>-13579681</v>
      </c>
      <c r="K2111" s="2">
        <f t="shared" si="17"/>
        <v>-2.3559605494368075E-2</v>
      </c>
      <c r="L2111" s="2" t="str">
        <f>IF(ISNUMBER(SEARCH("|",IMDB_Movies!$D2111)),LEFT(IMDB_Movies!$D2111,SEARCH("|",IMDB_Movies!$D2111)-1),IMDB_Movies!$D2111)</f>
        <v>Drama</v>
      </c>
      <c r="V2111" s="2"/>
      <c r="W2111" s="2"/>
    </row>
    <row r="2112" spans="1:23" ht="12.5" x14ac:dyDescent="0.25">
      <c r="A2112" s="2" t="s">
        <v>1829</v>
      </c>
      <c r="B2112" s="2">
        <v>99</v>
      </c>
      <c r="C2112" s="2">
        <v>5702083</v>
      </c>
      <c r="D2112" s="2" t="s">
        <v>1243</v>
      </c>
      <c r="E2112" s="2" t="s">
        <v>3658</v>
      </c>
      <c r="F2112" s="2" t="s">
        <v>14</v>
      </c>
      <c r="G2112" s="2" t="s">
        <v>22</v>
      </c>
      <c r="H2112" s="2">
        <v>15000000</v>
      </c>
      <c r="I2112" s="2">
        <v>6.5</v>
      </c>
      <c r="J2112" s="2">
        <f t="shared" si="16"/>
        <v>-9297917</v>
      </c>
      <c r="K2112" s="2">
        <f t="shared" si="17"/>
        <v>-2.356502660090434E-2</v>
      </c>
      <c r="L2112" s="2" t="str">
        <f>IF(ISNUMBER(SEARCH("|",IMDB_Movies!$D2112)),LEFT(IMDB_Movies!$D2112,SEARCH("|",IMDB_Movies!$D2112)-1),IMDB_Movies!$D2112)</f>
        <v>Biography</v>
      </c>
      <c r="V2112" s="2"/>
      <c r="W2112" s="2"/>
    </row>
    <row r="2113" spans="1:23" ht="12.5" x14ac:dyDescent="0.25">
      <c r="A2113" s="2" t="s">
        <v>2991</v>
      </c>
      <c r="B2113" s="2">
        <v>100</v>
      </c>
      <c r="C2113" s="2">
        <v>5480996</v>
      </c>
      <c r="D2113" s="2" t="s">
        <v>3659</v>
      </c>
      <c r="E2113" s="2" t="s">
        <v>3660</v>
      </c>
      <c r="F2113" s="2" t="s">
        <v>14</v>
      </c>
      <c r="G2113" s="2" t="s">
        <v>15</v>
      </c>
      <c r="H2113" s="2">
        <v>8700000</v>
      </c>
      <c r="I2113" s="2">
        <v>7.1</v>
      </c>
      <c r="J2113" s="2">
        <f t="shared" si="16"/>
        <v>-3219004</v>
      </c>
      <c r="K2113" s="2">
        <f t="shared" si="17"/>
        <v>-2.3574572441864686E-2</v>
      </c>
      <c r="L2113" s="2" t="str">
        <f>IF(ISNUMBER(SEARCH("|",IMDB_Movies!$D2113)),LEFT(IMDB_Movies!$D2113,SEARCH("|",IMDB_Movies!$D2113)-1),IMDB_Movies!$D2113)</f>
        <v>Animation</v>
      </c>
      <c r="V2113" s="2"/>
      <c r="W2113" s="2"/>
    </row>
    <row r="2114" spans="1:23" ht="12.5" x14ac:dyDescent="0.25">
      <c r="A2114" s="2" t="s">
        <v>279</v>
      </c>
      <c r="B2114" s="2">
        <v>116</v>
      </c>
      <c r="C2114" s="2">
        <v>6002756</v>
      </c>
      <c r="D2114" s="2" t="s">
        <v>585</v>
      </c>
      <c r="E2114" s="2" t="s">
        <v>3661</v>
      </c>
      <c r="F2114" s="2" t="s">
        <v>14</v>
      </c>
      <c r="G2114" s="2" t="s">
        <v>15</v>
      </c>
      <c r="H2114" s="2">
        <v>20000000</v>
      </c>
      <c r="I2114" s="2">
        <v>7.2</v>
      </c>
      <c r="J2114" s="2">
        <f t="shared" si="16"/>
        <v>-13997244</v>
      </c>
      <c r="K2114" s="2">
        <f t="shared" si="17"/>
        <v>-2.358913344148296E-2</v>
      </c>
      <c r="L2114" s="2" t="str">
        <f>IF(ISNUMBER(SEARCH("|",IMDB_Movies!$D2114)),LEFT(IMDB_Movies!$D2114,SEARCH("|",IMDB_Movies!$D2114)-1),IMDB_Movies!$D2114)</f>
        <v>Biography</v>
      </c>
      <c r="V2114" s="2"/>
      <c r="W2114" s="2"/>
    </row>
    <row r="2115" spans="1:23" ht="12.5" x14ac:dyDescent="0.25">
      <c r="A2115" s="2" t="s">
        <v>1516</v>
      </c>
      <c r="B2115" s="2">
        <v>94</v>
      </c>
      <c r="C2115" s="2">
        <v>5132655</v>
      </c>
      <c r="D2115" s="2" t="s">
        <v>3315</v>
      </c>
      <c r="E2115" s="2" t="s">
        <v>3662</v>
      </c>
      <c r="F2115" s="2" t="s">
        <v>14</v>
      </c>
      <c r="G2115" s="2" t="s">
        <v>104</v>
      </c>
      <c r="H2115" s="2">
        <v>20000000</v>
      </c>
      <c r="I2115" s="2">
        <v>2.2999999999999998</v>
      </c>
      <c r="J2115" s="2">
        <f t="shared" si="16"/>
        <v>-14867345</v>
      </c>
      <c r="K2115" s="2">
        <f t="shared" si="17"/>
        <v>-2.3594780580412381E-2</v>
      </c>
      <c r="L2115" s="2" t="str">
        <f>IF(ISNUMBER(SEARCH("|",IMDB_Movies!$D2115)),LEFT(IMDB_Movies!$D2115,SEARCH("|",IMDB_Movies!$D2115)-1),IMDB_Movies!$D2115)</f>
        <v>Horror</v>
      </c>
      <c r="V2115" s="2"/>
      <c r="W2115" s="2"/>
    </row>
    <row r="2116" spans="1:23" ht="12.5" x14ac:dyDescent="0.25">
      <c r="A2116" s="2" t="s">
        <v>2979</v>
      </c>
      <c r="B2116" s="2">
        <v>111</v>
      </c>
      <c r="C2116" s="2">
        <v>5205343</v>
      </c>
      <c r="D2116" s="2" t="s">
        <v>2703</v>
      </c>
      <c r="E2116" s="2" t="s">
        <v>3663</v>
      </c>
      <c r="F2116" s="2" t="s">
        <v>14</v>
      </c>
      <c r="G2116" s="2" t="s">
        <v>15</v>
      </c>
      <c r="H2116" s="2">
        <v>20000000</v>
      </c>
      <c r="I2116" s="2">
        <v>6.4</v>
      </c>
      <c r="J2116" s="2">
        <f t="shared" si="16"/>
        <v>-14794657</v>
      </c>
      <c r="K2116" s="2">
        <f t="shared" si="17"/>
        <v>-2.3600851651895668E-2</v>
      </c>
      <c r="L2116" s="2" t="str">
        <f>IF(ISNUMBER(SEARCH("|",IMDB_Movies!$D2116)),LEFT(IMDB_Movies!$D2116,SEARCH("|",IMDB_Movies!$D2116)-1),IMDB_Movies!$D2116)</f>
        <v>Comedy</v>
      </c>
      <c r="V2116" s="2"/>
      <c r="W2116" s="2"/>
    </row>
    <row r="2117" spans="1:23" ht="12.5" x14ac:dyDescent="0.25">
      <c r="A2117" s="2" t="s">
        <v>3664</v>
      </c>
      <c r="B2117" s="2">
        <v>100</v>
      </c>
      <c r="C2117" s="2">
        <v>5005883</v>
      </c>
      <c r="D2117" s="2" t="s">
        <v>1137</v>
      </c>
      <c r="E2117" s="2" t="s">
        <v>3665</v>
      </c>
      <c r="F2117" s="2" t="s">
        <v>14</v>
      </c>
      <c r="G2117" s="2" t="s">
        <v>15</v>
      </c>
      <c r="H2117" s="2">
        <v>20000000</v>
      </c>
      <c r="I2117" s="2">
        <v>6.1</v>
      </c>
      <c r="J2117" s="2">
        <f t="shared" si="16"/>
        <v>-14994117</v>
      </c>
      <c r="K2117" s="2">
        <f t="shared" si="17"/>
        <v>-2.3606895609204072E-2</v>
      </c>
      <c r="L2117" s="2" t="str">
        <f>IF(ISNUMBER(SEARCH("|",IMDB_Movies!$D2117)),LEFT(IMDB_Movies!$D2117,SEARCH("|",IMDB_Movies!$D2117)-1),IMDB_Movies!$D2117)</f>
        <v>Drama</v>
      </c>
      <c r="V2117" s="2"/>
      <c r="W2117" s="2"/>
    </row>
    <row r="2118" spans="1:23" ht="12.5" x14ac:dyDescent="0.25">
      <c r="A2118" s="2" t="s">
        <v>3666</v>
      </c>
      <c r="B2118" s="2">
        <v>125</v>
      </c>
      <c r="C2118" s="2">
        <v>5749134</v>
      </c>
      <c r="D2118" s="2" t="s">
        <v>177</v>
      </c>
      <c r="E2118" s="2" t="s">
        <v>3667</v>
      </c>
      <c r="F2118" s="2" t="s">
        <v>14</v>
      </c>
      <c r="G2118" s="2" t="s">
        <v>15</v>
      </c>
      <c r="H2118" s="2">
        <v>20000000</v>
      </c>
      <c r="I2118" s="2">
        <v>7</v>
      </c>
      <c r="J2118" s="2">
        <f t="shared" si="16"/>
        <v>-14250866</v>
      </c>
      <c r="K2118" s="2">
        <f t="shared" si="17"/>
        <v>-2.3613044268923727E-2</v>
      </c>
      <c r="L2118" s="2" t="str">
        <f>IF(ISNUMBER(SEARCH("|",IMDB_Movies!$D2118)),LEFT(IMDB_Movies!$D2118,SEARCH("|",IMDB_Movies!$D2118)-1),IMDB_Movies!$D2118)</f>
        <v>Action</v>
      </c>
      <c r="V2118" s="2"/>
      <c r="W2118" s="2"/>
    </row>
    <row r="2119" spans="1:23" ht="12.5" x14ac:dyDescent="0.25">
      <c r="A2119" s="2" t="s">
        <v>3668</v>
      </c>
      <c r="B2119" s="2">
        <v>119</v>
      </c>
      <c r="C2119" s="2">
        <v>4234040</v>
      </c>
      <c r="D2119" s="2" t="s">
        <v>555</v>
      </c>
      <c r="E2119" s="2" t="s">
        <v>3669</v>
      </c>
      <c r="F2119" s="2" t="s">
        <v>14</v>
      </c>
      <c r="G2119" s="2" t="s">
        <v>15</v>
      </c>
      <c r="H2119" s="2">
        <v>20000000</v>
      </c>
      <c r="I2119" s="2">
        <v>7</v>
      </c>
      <c r="J2119" s="2">
        <f t="shared" si="16"/>
        <v>-15765960</v>
      </c>
      <c r="K2119" s="2">
        <f t="shared" si="17"/>
        <v>-2.3618842829138884E-2</v>
      </c>
      <c r="L2119" s="2" t="str">
        <f>IF(ISNUMBER(SEARCH("|",IMDB_Movies!$D2119)),LEFT(IMDB_Movies!$D2119,SEARCH("|",IMDB_Movies!$D2119)-1),IMDB_Movies!$D2119)</f>
        <v>Biography</v>
      </c>
      <c r="V2119" s="2"/>
      <c r="W2119" s="2"/>
    </row>
    <row r="2120" spans="1:23" ht="12.5" x14ac:dyDescent="0.25">
      <c r="A2120" s="2" t="s">
        <v>3670</v>
      </c>
      <c r="B2120" s="2">
        <v>135</v>
      </c>
      <c r="C2120" s="2">
        <v>4001121</v>
      </c>
      <c r="D2120" s="2" t="s">
        <v>1473</v>
      </c>
      <c r="E2120" s="2" t="s">
        <v>3671</v>
      </c>
      <c r="F2120" s="2" t="s">
        <v>14</v>
      </c>
      <c r="G2120" s="2" t="s">
        <v>15</v>
      </c>
      <c r="H2120" s="2">
        <v>20000000</v>
      </c>
      <c r="I2120" s="2">
        <v>7</v>
      </c>
      <c r="J2120" s="2">
        <f t="shared" si="16"/>
        <v>-15998879</v>
      </c>
      <c r="K2120" s="2">
        <f t="shared" si="17"/>
        <v>-2.3625386647858012E-2</v>
      </c>
      <c r="L2120" s="2" t="str">
        <f>IF(ISNUMBER(SEARCH("|",IMDB_Movies!$D2120)),LEFT(IMDB_Movies!$D2120,SEARCH("|",IMDB_Movies!$D2120)-1),IMDB_Movies!$D2120)</f>
        <v>Biography</v>
      </c>
      <c r="V2120" s="2"/>
      <c r="W2120" s="2"/>
    </row>
    <row r="2121" spans="1:23" ht="12.5" x14ac:dyDescent="0.25">
      <c r="A2121" s="2" t="s">
        <v>3672</v>
      </c>
      <c r="B2121" s="2">
        <v>93</v>
      </c>
      <c r="C2121" s="2">
        <v>3749061</v>
      </c>
      <c r="D2121" s="2" t="s">
        <v>25</v>
      </c>
      <c r="E2121" s="2" t="s">
        <v>3673</v>
      </c>
      <c r="F2121" s="2" t="s">
        <v>14</v>
      </c>
      <c r="G2121" s="2" t="s">
        <v>15</v>
      </c>
      <c r="H2121" s="2">
        <v>20000000</v>
      </c>
      <c r="I2121" s="2">
        <v>4.9000000000000004</v>
      </c>
      <c r="J2121" s="2">
        <f t="shared" si="16"/>
        <v>-16250939</v>
      </c>
      <c r="K2121" s="2">
        <f t="shared" si="17"/>
        <v>-2.3632055102096976E-2</v>
      </c>
      <c r="L2121" s="2" t="str">
        <f>IF(ISNUMBER(SEARCH("|",IMDB_Movies!$D2121)),LEFT(IMDB_Movies!$D2121,SEARCH("|",IMDB_Movies!$D2121)-1),IMDB_Movies!$D2121)</f>
        <v>Action</v>
      </c>
      <c r="V2121" s="2"/>
      <c r="W2121" s="2"/>
    </row>
    <row r="2122" spans="1:23" ht="12.5" x14ac:dyDescent="0.25">
      <c r="A2122" s="2" t="s">
        <v>2716</v>
      </c>
      <c r="B2122" s="2">
        <v>114</v>
      </c>
      <c r="C2122" s="2">
        <v>3519627</v>
      </c>
      <c r="D2122" s="2" t="s">
        <v>3674</v>
      </c>
      <c r="E2122" s="2" t="s">
        <v>3675</v>
      </c>
      <c r="F2122" s="2" t="s">
        <v>14</v>
      </c>
      <c r="G2122" s="2" t="s">
        <v>15</v>
      </c>
      <c r="H2122" s="2">
        <v>20000000</v>
      </c>
      <c r="I2122" s="2">
        <v>6.9</v>
      </c>
      <c r="J2122" s="2">
        <f t="shared" si="16"/>
        <v>-16480373</v>
      </c>
      <c r="K2122" s="2">
        <f t="shared" si="17"/>
        <v>-2.3638858720010959E-2</v>
      </c>
      <c r="L2122" s="2" t="str">
        <f>IF(ISNUMBER(SEARCH("|",IMDB_Movies!$D2122)),LEFT(IMDB_Movies!$D2122,SEARCH("|",IMDB_Movies!$D2122)-1),IMDB_Movies!$D2122)</f>
        <v>Adventure</v>
      </c>
      <c r="V2122" s="2"/>
      <c r="W2122" s="2"/>
    </row>
    <row r="2123" spans="1:23" ht="12.5" x14ac:dyDescent="0.25">
      <c r="A2123" s="2" t="s">
        <v>3676</v>
      </c>
      <c r="B2123" s="2">
        <v>124</v>
      </c>
      <c r="C2123" s="2">
        <v>3081925</v>
      </c>
      <c r="D2123" s="2" t="s">
        <v>514</v>
      </c>
      <c r="E2123" s="2" t="s">
        <v>3677</v>
      </c>
      <c r="F2123" s="2" t="s">
        <v>14</v>
      </c>
      <c r="G2123" s="2" t="s">
        <v>15</v>
      </c>
      <c r="H2123" s="2">
        <v>21000000</v>
      </c>
      <c r="I2123" s="2">
        <v>7.5</v>
      </c>
      <c r="J2123" s="2">
        <f t="shared" si="16"/>
        <v>-17918075</v>
      </c>
      <c r="K2123" s="2">
        <f t="shared" si="17"/>
        <v>-2.3645787128928966E-2</v>
      </c>
      <c r="L2123" s="2" t="str">
        <f>IF(ISNUMBER(SEARCH("|",IMDB_Movies!$D2123)),LEFT(IMDB_Movies!$D2123,SEARCH("|",IMDB_Movies!$D2123)-1),IMDB_Movies!$D2123)</f>
        <v>Comedy</v>
      </c>
      <c r="V2123" s="2"/>
      <c r="W2123" s="2"/>
    </row>
    <row r="2124" spans="1:23" ht="12.5" x14ac:dyDescent="0.25">
      <c r="A2124" s="2" t="s">
        <v>2566</v>
      </c>
      <c r="B2124" s="2">
        <v>134</v>
      </c>
      <c r="C2124" s="2">
        <v>2298191</v>
      </c>
      <c r="D2124" s="2" t="s">
        <v>3678</v>
      </c>
      <c r="E2124" s="2" t="s">
        <v>3679</v>
      </c>
      <c r="F2124" s="2" t="s">
        <v>2568</v>
      </c>
      <c r="G2124" s="2" t="s">
        <v>1032</v>
      </c>
      <c r="H2124" s="2">
        <v>2400000000</v>
      </c>
      <c r="I2124" s="2">
        <v>8.4</v>
      </c>
      <c r="J2124" s="2">
        <f t="shared" si="16"/>
        <v>-2397701809</v>
      </c>
      <c r="K2124" s="2">
        <f t="shared" si="17"/>
        <v>-2.365205194091578E-2</v>
      </c>
      <c r="L2124" s="2" t="str">
        <f>IF(ISNUMBER(SEARCH("|",IMDB_Movies!$D2124)),LEFT(IMDB_Movies!$D2124,SEARCH("|",IMDB_Movies!$D2124)-1),IMDB_Movies!$D2124)</f>
        <v>Adventure</v>
      </c>
      <c r="V2124" s="2"/>
      <c r="W2124" s="2"/>
    </row>
    <row r="2125" spans="1:23" ht="12.5" x14ac:dyDescent="0.25">
      <c r="A2125" s="2" t="s">
        <v>3680</v>
      </c>
      <c r="B2125" s="2">
        <v>114</v>
      </c>
      <c r="C2125" s="2">
        <v>2353728</v>
      </c>
      <c r="D2125" s="2" t="s">
        <v>3681</v>
      </c>
      <c r="E2125" s="2" t="s">
        <v>3682</v>
      </c>
      <c r="F2125" s="2" t="s">
        <v>1006</v>
      </c>
      <c r="G2125" s="2" t="s">
        <v>686</v>
      </c>
      <c r="H2125" s="2">
        <v>20000000</v>
      </c>
      <c r="I2125" s="2">
        <v>6.9</v>
      </c>
      <c r="J2125" s="2">
        <f t="shared" si="16"/>
        <v>-17646272</v>
      </c>
      <c r="K2125" s="2">
        <f t="shared" si="17"/>
        <v>-2.1765154549884782E-2</v>
      </c>
      <c r="L2125" s="2" t="str">
        <f>IF(ISNUMBER(SEARCH("|",IMDB_Movies!$D2125)),LEFT(IMDB_Movies!$D2125,SEARCH("|",IMDB_Movies!$D2125)-1),IMDB_Movies!$D2125)</f>
        <v>Comedy</v>
      </c>
      <c r="V2125" s="2"/>
      <c r="W2125" s="2"/>
    </row>
    <row r="2126" spans="1:23" ht="12.5" x14ac:dyDescent="0.25">
      <c r="A2126" s="2" t="s">
        <v>3683</v>
      </c>
      <c r="B2126" s="2">
        <v>124</v>
      </c>
      <c r="C2126" s="2">
        <v>2000000</v>
      </c>
      <c r="D2126" s="2" t="s">
        <v>3684</v>
      </c>
      <c r="E2126" s="2" t="s">
        <v>3685</v>
      </c>
      <c r="F2126" s="2" t="s">
        <v>14</v>
      </c>
      <c r="G2126" s="2" t="s">
        <v>15</v>
      </c>
      <c r="H2126" s="2">
        <v>20000000</v>
      </c>
      <c r="I2126" s="2">
        <v>4.5</v>
      </c>
      <c r="J2126" s="2">
        <f t="shared" si="16"/>
        <v>-18000000</v>
      </c>
      <c r="K2126" s="2">
        <f t="shared" si="17"/>
        <v>-2.1771285818613335E-2</v>
      </c>
      <c r="L2126" s="2" t="str">
        <f>IF(ISNUMBER(SEARCH("|",IMDB_Movies!$D2126)),LEFT(IMDB_Movies!$D2126,SEARCH("|",IMDB_Movies!$D2126)-1),IMDB_Movies!$D2126)</f>
        <v>Biography</v>
      </c>
      <c r="V2126" s="2"/>
      <c r="W2126" s="2"/>
    </row>
    <row r="2127" spans="1:23" ht="12.5" x14ac:dyDescent="0.25">
      <c r="A2127" s="2" t="s">
        <v>3231</v>
      </c>
      <c r="B2127" s="2">
        <v>104</v>
      </c>
      <c r="C2127" s="2">
        <v>1900725</v>
      </c>
      <c r="D2127" s="2" t="s">
        <v>3686</v>
      </c>
      <c r="E2127" s="2" t="s">
        <v>3687</v>
      </c>
      <c r="F2127" s="2" t="s">
        <v>14</v>
      </c>
      <c r="G2127" s="2" t="s">
        <v>135</v>
      </c>
      <c r="H2127" s="2">
        <v>2000000</v>
      </c>
      <c r="I2127" s="2">
        <v>7.4</v>
      </c>
      <c r="J2127" s="2">
        <f t="shared" si="16"/>
        <v>-99275</v>
      </c>
      <c r="K2127" s="2">
        <f t="shared" si="17"/>
        <v>-2.1777579657183091E-2</v>
      </c>
      <c r="L2127" s="2" t="str">
        <f>IF(ISNUMBER(SEARCH("|",IMDB_Movies!$D2127)),LEFT(IMDB_Movies!$D2127,SEARCH("|",IMDB_Movies!$D2127)-1),IMDB_Movies!$D2127)</f>
        <v>Crime</v>
      </c>
      <c r="V2127" s="2"/>
      <c r="W2127" s="2"/>
    </row>
    <row r="2128" spans="1:23" ht="12.5" x14ac:dyDescent="0.25">
      <c r="A2128" s="2" t="s">
        <v>3688</v>
      </c>
      <c r="B2128" s="2">
        <v>118</v>
      </c>
      <c r="C2128" s="2">
        <v>2246000</v>
      </c>
      <c r="D2128" s="2" t="s">
        <v>585</v>
      </c>
      <c r="E2128" s="2" t="s">
        <v>3689</v>
      </c>
      <c r="F2128" s="2" t="s">
        <v>14</v>
      </c>
      <c r="G2128" s="2" t="s">
        <v>15</v>
      </c>
      <c r="H2128" s="2">
        <v>20000000</v>
      </c>
      <c r="I2128" s="2">
        <v>7</v>
      </c>
      <c r="J2128" s="2">
        <f t="shared" si="16"/>
        <v>-17754000</v>
      </c>
      <c r="K2128" s="2">
        <f t="shared" si="17"/>
        <v>-2.1801460618123283E-2</v>
      </c>
      <c r="L2128" s="2" t="str">
        <f>IF(ISNUMBER(SEARCH("|",IMDB_Movies!$D2128)),LEFT(IMDB_Movies!$D2128,SEARCH("|",IMDB_Movies!$D2128)-1),IMDB_Movies!$D2128)</f>
        <v>Biography</v>
      </c>
      <c r="V2128" s="2"/>
      <c r="W2128" s="2"/>
    </row>
    <row r="2129" spans="1:23" ht="12.5" x14ac:dyDescent="0.25">
      <c r="A2129" s="2" t="s">
        <v>3225</v>
      </c>
      <c r="B2129" s="2">
        <v>80</v>
      </c>
      <c r="C2129" s="2">
        <v>1646664</v>
      </c>
      <c r="D2129" s="2" t="s">
        <v>2525</v>
      </c>
      <c r="E2129" s="2" t="s">
        <v>3690</v>
      </c>
      <c r="F2129" s="2" t="s">
        <v>14</v>
      </c>
      <c r="G2129" s="2" t="s">
        <v>15</v>
      </c>
      <c r="H2129" s="2">
        <v>20000000</v>
      </c>
      <c r="I2129" s="2">
        <v>2.8</v>
      </c>
      <c r="J2129" s="2">
        <f t="shared" si="16"/>
        <v>-18353336</v>
      </c>
      <c r="K2129" s="2">
        <f t="shared" si="17"/>
        <v>-2.1807676477770474E-2</v>
      </c>
      <c r="L2129" s="2" t="str">
        <f>IF(ISNUMBER(SEARCH("|",IMDB_Movies!$D2129)),LEFT(IMDB_Movies!$D2129,SEARCH("|",IMDB_Movies!$D2129)-1),IMDB_Movies!$D2129)</f>
        <v>Comedy</v>
      </c>
      <c r="V2129" s="2"/>
      <c r="W2129" s="2"/>
    </row>
    <row r="2130" spans="1:23" ht="12.5" x14ac:dyDescent="0.25">
      <c r="A2130" s="2" t="s">
        <v>2812</v>
      </c>
      <c r="B2130" s="2">
        <v>107</v>
      </c>
      <c r="C2130" s="2">
        <v>1190018</v>
      </c>
      <c r="D2130" s="2" t="s">
        <v>504</v>
      </c>
      <c r="E2130" s="2" t="s">
        <v>3691</v>
      </c>
      <c r="F2130" s="2" t="s">
        <v>14</v>
      </c>
      <c r="G2130" s="2" t="s">
        <v>15</v>
      </c>
      <c r="H2130" s="2">
        <v>20000000</v>
      </c>
      <c r="I2130" s="2">
        <v>7.5</v>
      </c>
      <c r="J2130" s="2">
        <f t="shared" si="16"/>
        <v>-18809982</v>
      </c>
      <c r="K2130" s="2">
        <f t="shared" si="17"/>
        <v>-2.1814164597448477E-2</v>
      </c>
      <c r="L2130" s="2" t="str">
        <f>IF(ISNUMBER(SEARCH("|",IMDB_Movies!$D2130)),LEFT(IMDB_Movies!$D2130,SEARCH("|",IMDB_Movies!$D2130)-1),IMDB_Movies!$D2130)</f>
        <v>Action</v>
      </c>
      <c r="V2130" s="2"/>
      <c r="W2130" s="2"/>
    </row>
    <row r="2131" spans="1:23" ht="12.5" x14ac:dyDescent="0.25">
      <c r="A2131" s="2" t="s">
        <v>546</v>
      </c>
      <c r="B2131" s="2">
        <v>125</v>
      </c>
      <c r="C2131" s="2">
        <v>1027749</v>
      </c>
      <c r="D2131" s="2" t="s">
        <v>1175</v>
      </c>
      <c r="E2131" s="2" t="s">
        <v>3692</v>
      </c>
      <c r="F2131" s="2" t="s">
        <v>14</v>
      </c>
      <c r="G2131" s="2" t="s">
        <v>135</v>
      </c>
      <c r="H2131" s="2">
        <v>40000000</v>
      </c>
      <c r="I2131" s="2">
        <v>7.1</v>
      </c>
      <c r="J2131" s="2">
        <f t="shared" si="16"/>
        <v>-38972251</v>
      </c>
      <c r="K2131" s="2">
        <f t="shared" si="17"/>
        <v>-2.1820865442602522E-2</v>
      </c>
      <c r="L2131" s="2" t="str">
        <f>IF(ISNUMBER(SEARCH("|",IMDB_Movies!$D2131)),LEFT(IMDB_Movies!$D2131,SEARCH("|",IMDB_Movies!$D2131)-1),IMDB_Movies!$D2131)</f>
        <v>Drama</v>
      </c>
      <c r="V2131" s="2"/>
      <c r="W2131" s="2"/>
    </row>
    <row r="2132" spans="1:23" ht="12.5" x14ac:dyDescent="0.25">
      <c r="A2132" s="2" t="s">
        <v>2939</v>
      </c>
      <c r="B2132" s="2">
        <v>115</v>
      </c>
      <c r="C2132" s="2">
        <v>882710</v>
      </c>
      <c r="D2132" s="2" t="s">
        <v>1791</v>
      </c>
      <c r="E2132" s="2" t="s">
        <v>3693</v>
      </c>
      <c r="F2132" s="2" t="s">
        <v>14</v>
      </c>
      <c r="G2132" s="2" t="s">
        <v>15</v>
      </c>
      <c r="H2132" s="2">
        <v>24000000</v>
      </c>
      <c r="I2132" s="2">
        <v>6.4</v>
      </c>
      <c r="J2132" s="2">
        <f t="shared" si="16"/>
        <v>-23117290</v>
      </c>
      <c r="K2132" s="2">
        <f t="shared" si="17"/>
        <v>-2.1807248817253811E-2</v>
      </c>
      <c r="L2132" s="2" t="str">
        <f>IF(ISNUMBER(SEARCH("|",IMDB_Movies!$D2132)),LEFT(IMDB_Movies!$D2132,SEARCH("|",IMDB_Movies!$D2132)-1),IMDB_Movies!$D2132)</f>
        <v>Crime</v>
      </c>
      <c r="V2132" s="2"/>
      <c r="W2132" s="2"/>
    </row>
    <row r="2133" spans="1:23" ht="12.5" x14ac:dyDescent="0.25">
      <c r="A2133" s="2" t="s">
        <v>3694</v>
      </c>
      <c r="B2133" s="2">
        <v>88</v>
      </c>
      <c r="C2133" s="2">
        <v>1064277</v>
      </c>
      <c r="D2133" s="2" t="s">
        <v>3187</v>
      </c>
      <c r="E2133" s="2" t="s">
        <v>3695</v>
      </c>
      <c r="F2133" s="2" t="s">
        <v>14</v>
      </c>
      <c r="G2133" s="2" t="s">
        <v>15</v>
      </c>
      <c r="H2133" s="2">
        <v>20000000</v>
      </c>
      <c r="I2133" s="2">
        <v>6.7</v>
      </c>
      <c r="J2133" s="2">
        <f t="shared" si="16"/>
        <v>-18935723</v>
      </c>
      <c r="K2133" s="2">
        <f t="shared" si="17"/>
        <v>-2.1809976018457845E-2</v>
      </c>
      <c r="L2133" s="2" t="str">
        <f>IF(ISNUMBER(SEARCH("|",IMDB_Movies!$D2133)),LEFT(IMDB_Movies!$D2133,SEARCH("|",IMDB_Movies!$D2133)-1),IMDB_Movies!$D2133)</f>
        <v>Adventure</v>
      </c>
      <c r="V2133" s="2"/>
      <c r="W2133" s="2"/>
    </row>
    <row r="2134" spans="1:23" ht="12.5" x14ac:dyDescent="0.25">
      <c r="A2134" s="2" t="s">
        <v>1276</v>
      </c>
      <c r="B2134" s="2">
        <v>122</v>
      </c>
      <c r="C2134" s="2">
        <v>531009</v>
      </c>
      <c r="D2134" s="2" t="s">
        <v>85</v>
      </c>
      <c r="E2134" s="2" t="s">
        <v>3696</v>
      </c>
      <c r="F2134" s="2" t="s">
        <v>14</v>
      </c>
      <c r="G2134" s="2" t="s">
        <v>15</v>
      </c>
      <c r="H2134" s="2">
        <v>10000000</v>
      </c>
      <c r="I2134" s="2">
        <v>5.3</v>
      </c>
      <c r="J2134" s="2">
        <f t="shared" si="16"/>
        <v>-9468991</v>
      </c>
      <c r="K2134" s="2">
        <f t="shared" si="17"/>
        <v>-2.1816745165934633E-2</v>
      </c>
      <c r="L2134" s="2" t="str">
        <f>IF(ISNUMBER(SEARCH("|",IMDB_Movies!$D2134)),LEFT(IMDB_Movies!$D2134,SEARCH("|",IMDB_Movies!$D2134)-1),IMDB_Movies!$D2134)</f>
        <v>Drama</v>
      </c>
      <c r="V2134" s="2"/>
      <c r="W2134" s="2"/>
    </row>
    <row r="2135" spans="1:23" ht="12.5" x14ac:dyDescent="0.25">
      <c r="A2135" s="2" t="s">
        <v>3697</v>
      </c>
      <c r="B2135" s="2">
        <v>103</v>
      </c>
      <c r="C2135" s="2">
        <v>410388</v>
      </c>
      <c r="D2135" s="2" t="s">
        <v>3698</v>
      </c>
      <c r="E2135" s="2" t="s">
        <v>3699</v>
      </c>
      <c r="F2135" s="2" t="s">
        <v>2568</v>
      </c>
      <c r="G2135" s="2" t="s">
        <v>1032</v>
      </c>
      <c r="H2135" s="2">
        <v>2127519898</v>
      </c>
      <c r="I2135" s="2">
        <v>6.9</v>
      </c>
      <c r="J2135" s="2">
        <f t="shared" si="16"/>
        <v>-2127109510</v>
      </c>
      <c r="K2135" s="2">
        <f t="shared" si="17"/>
        <v>-2.1834263658682115E-2</v>
      </c>
      <c r="L2135" s="2" t="str">
        <f>IF(ISNUMBER(SEARCH("|",IMDB_Movies!$D2135)),LEFT(IMDB_Movies!$D2135,SEARCH("|",IMDB_Movies!$D2135)-1),IMDB_Movies!$D2135)</f>
        <v>Action</v>
      </c>
      <c r="V2135" s="2"/>
      <c r="W2135" s="2"/>
    </row>
    <row r="2136" spans="1:23" ht="12.5" x14ac:dyDescent="0.25">
      <c r="A2136" s="2" t="s">
        <v>3700</v>
      </c>
      <c r="B2136" s="2">
        <v>101</v>
      </c>
      <c r="C2136" s="2">
        <v>375474</v>
      </c>
      <c r="D2136" s="2" t="s">
        <v>821</v>
      </c>
      <c r="E2136" s="2" t="s">
        <v>3701</v>
      </c>
      <c r="F2136" s="2" t="s">
        <v>14</v>
      </c>
      <c r="G2136" s="2" t="s">
        <v>15</v>
      </c>
      <c r="H2136" s="2">
        <v>20000000</v>
      </c>
      <c r="I2136" s="2">
        <v>6.2</v>
      </c>
      <c r="J2136" s="2">
        <f t="shared" si="16"/>
        <v>-19624526</v>
      </c>
      <c r="K2136" s="2">
        <f t="shared" si="17"/>
        <v>-1.9861141934648205E-2</v>
      </c>
      <c r="L2136" s="2" t="str">
        <f>IF(ISNUMBER(SEARCH("|",IMDB_Movies!$D2136)),LEFT(IMDB_Movies!$D2136,SEARCH("|",IMDB_Movies!$D2136)-1),IMDB_Movies!$D2136)</f>
        <v>Drama</v>
      </c>
      <c r="V2136" s="2"/>
      <c r="W2136" s="2"/>
    </row>
    <row r="2137" spans="1:23" ht="12.5" x14ac:dyDescent="0.25">
      <c r="A2137" s="2" t="s">
        <v>208</v>
      </c>
      <c r="B2137" s="2">
        <v>107</v>
      </c>
      <c r="C2137" s="2">
        <v>305070</v>
      </c>
      <c r="D2137" s="2" t="s">
        <v>1008</v>
      </c>
      <c r="E2137" s="2" t="s">
        <v>3702</v>
      </c>
      <c r="F2137" s="2" t="s">
        <v>14</v>
      </c>
      <c r="G2137" s="2" t="s">
        <v>15</v>
      </c>
      <c r="H2137" s="2">
        <v>20000000</v>
      </c>
      <c r="I2137" s="2">
        <v>6.4</v>
      </c>
      <c r="J2137" s="2">
        <f t="shared" si="16"/>
        <v>-19694930</v>
      </c>
      <c r="K2137" s="2">
        <f t="shared" si="17"/>
        <v>-1.9866754705163515E-2</v>
      </c>
      <c r="L2137" s="2" t="str">
        <f>IF(ISNUMBER(SEARCH("|",IMDB_Movies!$D2137)),LEFT(IMDB_Movies!$D2137,SEARCH("|",IMDB_Movies!$D2137)-1),IMDB_Movies!$D2137)</f>
        <v>Action</v>
      </c>
      <c r="V2137" s="2"/>
      <c r="W2137" s="2"/>
    </row>
    <row r="2138" spans="1:23" ht="12.5" x14ac:dyDescent="0.25">
      <c r="A2138" s="2" t="s">
        <v>2281</v>
      </c>
      <c r="B2138" s="2">
        <v>118</v>
      </c>
      <c r="C2138" s="2">
        <v>146072</v>
      </c>
      <c r="D2138" s="2" t="s">
        <v>3703</v>
      </c>
      <c r="E2138" s="2" t="s">
        <v>3704</v>
      </c>
      <c r="F2138" s="2" t="s">
        <v>1006</v>
      </c>
      <c r="G2138" s="2" t="s">
        <v>686</v>
      </c>
      <c r="H2138" s="2">
        <v>140000000</v>
      </c>
      <c r="I2138" s="2">
        <v>6</v>
      </c>
      <c r="J2138" s="2">
        <f t="shared" si="16"/>
        <v>-139853928</v>
      </c>
      <c r="K2138" s="2">
        <f t="shared" si="17"/>
        <v>-1.9872402061711845E-2</v>
      </c>
      <c r="L2138" s="2" t="str">
        <f>IF(ISNUMBER(SEARCH("|",IMDB_Movies!$D2138)),LEFT(IMDB_Movies!$D2138,SEARCH("|",IMDB_Movies!$D2138)-1),IMDB_Movies!$D2138)</f>
        <v>Comedy</v>
      </c>
      <c r="V2138" s="2"/>
      <c r="W2138" s="2"/>
    </row>
    <row r="2139" spans="1:23" ht="12.5" x14ac:dyDescent="0.25">
      <c r="A2139" s="2" t="s">
        <v>2444</v>
      </c>
      <c r="B2139" s="2">
        <v>107</v>
      </c>
      <c r="C2139" s="2">
        <v>1183354</v>
      </c>
      <c r="D2139" s="2" t="s">
        <v>3705</v>
      </c>
      <c r="E2139" s="2" t="s">
        <v>3706</v>
      </c>
      <c r="F2139" s="2" t="s">
        <v>14</v>
      </c>
      <c r="G2139" s="2" t="s">
        <v>15</v>
      </c>
      <c r="H2139" s="2">
        <v>20000000</v>
      </c>
      <c r="I2139" s="2">
        <v>5.0999999999999996</v>
      </c>
      <c r="J2139" s="2">
        <f t="shared" si="16"/>
        <v>-18816646</v>
      </c>
      <c r="K2139" s="2">
        <f t="shared" si="17"/>
        <v>-1.9748674867769635E-2</v>
      </c>
      <c r="L2139" s="2" t="str">
        <f>IF(ISNUMBER(SEARCH("|",IMDB_Movies!$D2139)),LEFT(IMDB_Movies!$D2139,SEARCH("|",IMDB_Movies!$D2139)-1),IMDB_Movies!$D2139)</f>
        <v>Action</v>
      </c>
      <c r="V2139" s="2"/>
      <c r="W2139" s="2"/>
    </row>
    <row r="2140" spans="1:23" ht="12.5" x14ac:dyDescent="0.25">
      <c r="A2140" s="2" t="s">
        <v>3707</v>
      </c>
      <c r="B2140" s="2">
        <v>100</v>
      </c>
      <c r="C2140" s="2">
        <v>121972</v>
      </c>
      <c r="D2140" s="2" t="s">
        <v>3708</v>
      </c>
      <c r="E2140" s="2" t="s">
        <v>3709</v>
      </c>
      <c r="F2140" s="2" t="s">
        <v>14</v>
      </c>
      <c r="G2140" s="2" t="s">
        <v>15</v>
      </c>
      <c r="H2140" s="2">
        <v>22000000</v>
      </c>
      <c r="I2140" s="2">
        <v>5.5</v>
      </c>
      <c r="J2140" s="2">
        <f t="shared" si="16"/>
        <v>-21878028</v>
      </c>
      <c r="K2140" s="2">
        <f t="shared" si="17"/>
        <v>-1.975392465678184E-2</v>
      </c>
      <c r="L2140" s="2" t="str">
        <f>IF(ISNUMBER(SEARCH("|",IMDB_Movies!$D2140)),LEFT(IMDB_Movies!$D2140,SEARCH("|",IMDB_Movies!$D2140)-1),IMDB_Movies!$D2140)</f>
        <v>Crime</v>
      </c>
      <c r="V2140" s="2"/>
      <c r="W2140" s="2"/>
    </row>
    <row r="2141" spans="1:23" ht="12.5" x14ac:dyDescent="0.25">
      <c r="A2141" s="2" t="s">
        <v>1978</v>
      </c>
      <c r="B2141" s="2">
        <v>110</v>
      </c>
      <c r="C2141" s="2">
        <v>263365</v>
      </c>
      <c r="D2141" s="2" t="s">
        <v>881</v>
      </c>
      <c r="E2141" s="2" t="s">
        <v>3710</v>
      </c>
      <c r="F2141" s="2" t="s">
        <v>14</v>
      </c>
      <c r="G2141" s="2" t="s">
        <v>15</v>
      </c>
      <c r="H2141" s="2">
        <v>20000000</v>
      </c>
      <c r="I2141" s="2">
        <v>5.4</v>
      </c>
      <c r="J2141" s="2">
        <f t="shared" si="16"/>
        <v>-19736635</v>
      </c>
      <c r="K2141" s="2">
        <f t="shared" si="17"/>
        <v>-1.9757396814612242E-2</v>
      </c>
      <c r="L2141" s="2" t="str">
        <f>IF(ISNUMBER(SEARCH("|",IMDB_Movies!$D2141)),LEFT(IMDB_Movies!$D2141,SEARCH("|",IMDB_Movies!$D2141)-1),IMDB_Movies!$D2141)</f>
        <v>Comedy</v>
      </c>
      <c r="V2141" s="2"/>
      <c r="W2141" s="2"/>
    </row>
    <row r="2142" spans="1:23" ht="12.5" x14ac:dyDescent="0.25">
      <c r="A2142" s="2" t="s">
        <v>3402</v>
      </c>
      <c r="B2142" s="2">
        <v>125</v>
      </c>
      <c r="C2142" s="2">
        <v>8047690</v>
      </c>
      <c r="D2142" s="2" t="s">
        <v>85</v>
      </c>
      <c r="E2142" s="2" t="s">
        <v>3711</v>
      </c>
      <c r="F2142" s="2" t="s">
        <v>699</v>
      </c>
      <c r="G2142" s="2" t="s">
        <v>331</v>
      </c>
      <c r="H2142" s="2">
        <v>19400000</v>
      </c>
      <c r="I2142" s="2">
        <v>7.5</v>
      </c>
      <c r="J2142" s="2">
        <f t="shared" si="16"/>
        <v>-11352310</v>
      </c>
      <c r="K2142" s="2">
        <f t="shared" si="17"/>
        <v>-1.9762999133397584E-2</v>
      </c>
      <c r="L2142" s="2" t="str">
        <f>IF(ISNUMBER(SEARCH("|",IMDB_Movies!$D2142)),LEFT(IMDB_Movies!$D2142,SEARCH("|",IMDB_Movies!$D2142)-1),IMDB_Movies!$D2142)</f>
        <v>Drama</v>
      </c>
      <c r="V2142" s="2"/>
      <c r="W2142" s="2"/>
    </row>
    <row r="2143" spans="1:23" ht="12.5" x14ac:dyDescent="0.25">
      <c r="A2143" s="2" t="s">
        <v>3379</v>
      </c>
      <c r="B2143" s="2">
        <v>184</v>
      </c>
      <c r="C2143" s="2">
        <v>476270</v>
      </c>
      <c r="D2143" s="2" t="s">
        <v>2878</v>
      </c>
      <c r="E2143" s="2" t="s">
        <v>3712</v>
      </c>
      <c r="F2143" s="2" t="s">
        <v>3713</v>
      </c>
      <c r="G2143" s="2" t="s">
        <v>287</v>
      </c>
      <c r="H2143" s="2">
        <v>20000000</v>
      </c>
      <c r="I2143" s="2">
        <v>7.4</v>
      </c>
      <c r="J2143" s="2">
        <f t="shared" si="16"/>
        <v>-19523730</v>
      </c>
      <c r="K2143" s="2">
        <f t="shared" si="17"/>
        <v>-1.9766404356445978E-2</v>
      </c>
      <c r="L2143" s="2" t="str">
        <f>IF(ISNUMBER(SEARCH("|",IMDB_Movies!$D2143)),LEFT(IMDB_Movies!$D2143,SEARCH("|",IMDB_Movies!$D2143)-1),IMDB_Movies!$D2143)</f>
        <v>Action</v>
      </c>
      <c r="V2143" s="2"/>
      <c r="W2143" s="2"/>
    </row>
    <row r="2144" spans="1:23" ht="12.5" x14ac:dyDescent="0.25">
      <c r="A2144" s="2" t="s">
        <v>996</v>
      </c>
      <c r="B2144" s="2">
        <v>236</v>
      </c>
      <c r="C2144" s="2">
        <v>184208848</v>
      </c>
      <c r="D2144" s="2" t="s">
        <v>2030</v>
      </c>
      <c r="E2144" s="2" t="s">
        <v>3714</v>
      </c>
      <c r="F2144" s="2" t="s">
        <v>14</v>
      </c>
      <c r="G2144" s="2" t="s">
        <v>15</v>
      </c>
      <c r="H2144" s="2">
        <v>22000000</v>
      </c>
      <c r="I2144" s="2">
        <v>8</v>
      </c>
      <c r="J2144" s="2">
        <f t="shared" si="16"/>
        <v>162208848</v>
      </c>
      <c r="K2144" s="2">
        <f t="shared" si="17"/>
        <v>-1.9771941758415967E-2</v>
      </c>
      <c r="L2144" s="2" t="str">
        <f>IF(ISNUMBER(SEARCH("|",IMDB_Movies!$D2144)),LEFT(IMDB_Movies!$D2144,SEARCH("|",IMDB_Movies!$D2144)-1),IMDB_Movies!$D2144)</f>
        <v>Adventure</v>
      </c>
      <c r="V2144" s="2"/>
      <c r="W2144" s="2"/>
    </row>
    <row r="2145" spans="1:23" ht="12.5" x14ac:dyDescent="0.25">
      <c r="A2145" s="2" t="s">
        <v>2196</v>
      </c>
      <c r="B2145" s="2">
        <v>97</v>
      </c>
      <c r="C2145" s="2">
        <v>100292856</v>
      </c>
      <c r="D2145" s="2" t="s">
        <v>709</v>
      </c>
      <c r="E2145" s="2" t="s">
        <v>3715</v>
      </c>
      <c r="F2145" s="2" t="s">
        <v>14</v>
      </c>
      <c r="G2145" s="2" t="s">
        <v>15</v>
      </c>
      <c r="H2145" s="2">
        <v>20000000</v>
      </c>
      <c r="I2145" s="2">
        <v>5.7</v>
      </c>
      <c r="J2145" s="2">
        <f t="shared" si="16"/>
        <v>80292856</v>
      </c>
      <c r="K2145" s="2">
        <f t="shared" si="17"/>
        <v>-1.9891233449289419E-2</v>
      </c>
      <c r="L2145" s="2" t="str">
        <f>IF(ISNUMBER(SEARCH("|",IMDB_Movies!$D2145)),LEFT(IMDB_Movies!$D2145,SEARCH("|",IMDB_Movies!$D2145)-1),IMDB_Movies!$D2145)</f>
        <v>Comedy</v>
      </c>
      <c r="V2145" s="2"/>
      <c r="W2145" s="2"/>
    </row>
    <row r="2146" spans="1:23" ht="12.5" x14ac:dyDescent="0.25">
      <c r="A2146" s="2" t="s">
        <v>1471</v>
      </c>
      <c r="B2146" s="2">
        <v>113</v>
      </c>
      <c r="C2146" s="2">
        <v>58571513</v>
      </c>
      <c r="D2146" s="2" t="s">
        <v>770</v>
      </c>
      <c r="E2146" s="2" t="s">
        <v>3716</v>
      </c>
      <c r="F2146" s="2" t="s">
        <v>14</v>
      </c>
      <c r="G2146" s="2" t="s">
        <v>15</v>
      </c>
      <c r="H2146" s="2">
        <v>19000000</v>
      </c>
      <c r="I2146" s="2">
        <v>6.8</v>
      </c>
      <c r="J2146" s="2">
        <f t="shared" si="16"/>
        <v>39571513</v>
      </c>
      <c r="K2146" s="2">
        <f t="shared" si="17"/>
        <v>-1.9908593865536804E-2</v>
      </c>
      <c r="L2146" s="2" t="str">
        <f>IF(ISNUMBER(SEARCH("|",IMDB_Movies!$D2146)),LEFT(IMDB_Movies!$D2146,SEARCH("|",IMDB_Movies!$D2146)-1),IMDB_Movies!$D2146)</f>
        <v>Crime</v>
      </c>
      <c r="V2146" s="2"/>
      <c r="W2146" s="2"/>
    </row>
    <row r="2147" spans="1:23" ht="12.5" x14ac:dyDescent="0.25">
      <c r="A2147" s="2" t="s">
        <v>3717</v>
      </c>
      <c r="B2147" s="2">
        <v>95</v>
      </c>
      <c r="C2147" s="2">
        <v>51431160</v>
      </c>
      <c r="D2147" s="2" t="s">
        <v>955</v>
      </c>
      <c r="E2147" s="2" t="s">
        <v>3718</v>
      </c>
      <c r="F2147" s="2" t="s">
        <v>14</v>
      </c>
      <c r="G2147" s="2" t="s">
        <v>15</v>
      </c>
      <c r="H2147" s="2">
        <v>20000000</v>
      </c>
      <c r="I2147" s="2">
        <v>5.9</v>
      </c>
      <c r="J2147" s="2">
        <f t="shared" si="16"/>
        <v>31431160</v>
      </c>
      <c r="K2147" s="2">
        <f t="shared" si="17"/>
        <v>-1.9907037559250534E-2</v>
      </c>
      <c r="L2147" s="2" t="str">
        <f>IF(ISNUMBER(SEARCH("|",IMDB_Movies!$D2147)),LEFT(IMDB_Movies!$D2147,SEARCH("|",IMDB_Movies!$D2147)-1),IMDB_Movies!$D2147)</f>
        <v>Comedy</v>
      </c>
      <c r="V2147" s="2"/>
      <c r="W2147" s="2"/>
    </row>
    <row r="2148" spans="1:23" ht="12.5" x14ac:dyDescent="0.25">
      <c r="A2148" s="2" t="s">
        <v>2115</v>
      </c>
      <c r="B2148" s="2">
        <v>103</v>
      </c>
      <c r="C2148" s="2">
        <v>103001286</v>
      </c>
      <c r="D2148" s="2" t="s">
        <v>2116</v>
      </c>
      <c r="E2148" s="2" t="s">
        <v>3719</v>
      </c>
      <c r="F2148" s="2" t="s">
        <v>14</v>
      </c>
      <c r="G2148" s="2" t="s">
        <v>15</v>
      </c>
      <c r="H2148" s="2">
        <v>15000000</v>
      </c>
      <c r="I2148" s="2">
        <v>7.2</v>
      </c>
      <c r="J2148" s="2">
        <f t="shared" si="16"/>
        <v>88001286</v>
      </c>
      <c r="K2148" s="2">
        <f t="shared" si="17"/>
        <v>-1.9906320465456786E-2</v>
      </c>
      <c r="L2148" s="2" t="str">
        <f>IF(ISNUMBER(SEARCH("|",IMDB_Movies!$D2148)),LEFT(IMDB_Movies!$D2148,SEARCH("|",IMDB_Movies!$D2148)-1),IMDB_Movies!$D2148)</f>
        <v>Horror</v>
      </c>
      <c r="V2148" s="2"/>
      <c r="W2148" s="2"/>
    </row>
    <row r="2149" spans="1:23" ht="12.5" x14ac:dyDescent="0.25">
      <c r="A2149" s="2" t="s">
        <v>3520</v>
      </c>
      <c r="B2149" s="2">
        <v>91</v>
      </c>
      <c r="C2149" s="2">
        <v>41867960</v>
      </c>
      <c r="D2149" s="2" t="s">
        <v>2148</v>
      </c>
      <c r="E2149" s="2" t="s">
        <v>3720</v>
      </c>
      <c r="F2149" s="2" t="s">
        <v>14</v>
      </c>
      <c r="G2149" s="2" t="s">
        <v>15</v>
      </c>
      <c r="H2149" s="2">
        <v>20000000</v>
      </c>
      <c r="I2149" s="2">
        <v>5.5</v>
      </c>
      <c r="J2149" s="2">
        <f t="shared" si="16"/>
        <v>21867960</v>
      </c>
      <c r="K2149" s="2">
        <f t="shared" si="17"/>
        <v>-1.9903600084113446E-2</v>
      </c>
      <c r="L2149" s="2" t="str">
        <f>IF(ISNUMBER(SEARCH("|",IMDB_Movies!$D2149)),LEFT(IMDB_Movies!$D2149,SEARCH("|",IMDB_Movies!$D2149)-1),IMDB_Movies!$D2149)</f>
        <v>Horror</v>
      </c>
      <c r="V2149" s="2"/>
      <c r="W2149" s="2"/>
    </row>
    <row r="2150" spans="1:23" ht="12.5" x14ac:dyDescent="0.25">
      <c r="A2150" s="2" t="s">
        <v>160</v>
      </c>
      <c r="B2150" s="2">
        <v>116</v>
      </c>
      <c r="C2150" s="2">
        <v>210609762</v>
      </c>
      <c r="D2150" s="2" t="s">
        <v>670</v>
      </c>
      <c r="E2150" s="2" t="s">
        <v>3721</v>
      </c>
      <c r="F2150" s="2" t="s">
        <v>14</v>
      </c>
      <c r="G2150" s="2" t="s">
        <v>15</v>
      </c>
      <c r="H2150" s="2">
        <v>19000000</v>
      </c>
      <c r="I2150" s="2">
        <v>8.5</v>
      </c>
      <c r="J2150" s="2">
        <f t="shared" si="16"/>
        <v>191609762</v>
      </c>
      <c r="K2150" s="2">
        <f t="shared" si="17"/>
        <v>-1.9902093491365347E-2</v>
      </c>
      <c r="L2150" s="2" t="str">
        <f>IF(ISNUMBER(SEARCH("|",IMDB_Movies!$D2150)),LEFT(IMDB_Movies!$D2150,SEARCH("|",IMDB_Movies!$D2150)-1),IMDB_Movies!$D2150)</f>
        <v>Adventure</v>
      </c>
      <c r="V2150" s="2"/>
      <c r="W2150" s="2"/>
    </row>
    <row r="2151" spans="1:23" ht="12.5" x14ac:dyDescent="0.25">
      <c r="A2151" s="2" t="s">
        <v>2267</v>
      </c>
      <c r="B2151" s="2">
        <v>93</v>
      </c>
      <c r="C2151" s="2">
        <v>40846082</v>
      </c>
      <c r="D2151" s="2" t="s">
        <v>1050</v>
      </c>
      <c r="E2151" s="2" t="s">
        <v>3722</v>
      </c>
      <c r="F2151" s="2" t="s">
        <v>14</v>
      </c>
      <c r="G2151" s="2" t="s">
        <v>15</v>
      </c>
      <c r="H2151" s="2">
        <v>19000000</v>
      </c>
      <c r="I2151" s="2">
        <v>5.6</v>
      </c>
      <c r="J2151" s="2">
        <f t="shared" si="16"/>
        <v>21846082</v>
      </c>
      <c r="K2151" s="2">
        <f t="shared" si="17"/>
        <v>-2.0040290424254224E-2</v>
      </c>
      <c r="L2151" s="2" t="str">
        <f>IF(ISNUMBER(SEARCH("|",IMDB_Movies!$D2151)),LEFT(IMDB_Movies!$D2151,SEARCH("|",IMDB_Movies!$D2151)-1),IMDB_Movies!$D2151)</f>
        <v>Horror</v>
      </c>
      <c r="V2151" s="2"/>
      <c r="W2151" s="2"/>
    </row>
    <row r="2152" spans="1:23" ht="12.5" x14ac:dyDescent="0.25">
      <c r="A2152" s="2" t="s">
        <v>3095</v>
      </c>
      <c r="B2152" s="2">
        <v>113</v>
      </c>
      <c r="C2152" s="2">
        <v>51697449</v>
      </c>
      <c r="D2152" s="2" t="s">
        <v>891</v>
      </c>
      <c r="E2152" s="2" t="s">
        <v>3723</v>
      </c>
      <c r="F2152" s="2" t="s">
        <v>14</v>
      </c>
      <c r="G2152" s="2" t="s">
        <v>15</v>
      </c>
      <c r="H2152" s="2">
        <v>13000000</v>
      </c>
      <c r="I2152" s="2">
        <v>4.0999999999999996</v>
      </c>
      <c r="J2152" s="2">
        <f t="shared" si="16"/>
        <v>38697449</v>
      </c>
      <c r="K2152" s="2">
        <f t="shared" si="17"/>
        <v>-2.0037673290805236E-2</v>
      </c>
      <c r="L2152" s="2" t="str">
        <f>IF(ISNUMBER(SEARCH("|",IMDB_Movies!$D2152)),LEFT(IMDB_Movies!$D2152,SEARCH("|",IMDB_Movies!$D2152)-1),IMDB_Movies!$D2152)</f>
        <v>Comedy</v>
      </c>
      <c r="V2152" s="2"/>
      <c r="W2152" s="2"/>
    </row>
    <row r="2153" spans="1:23" ht="12.5" x14ac:dyDescent="0.25">
      <c r="A2153" s="2" t="s">
        <v>1349</v>
      </c>
      <c r="B2153" s="2">
        <v>101</v>
      </c>
      <c r="C2153" s="2">
        <v>27758465</v>
      </c>
      <c r="D2153" s="2" t="s">
        <v>514</v>
      </c>
      <c r="E2153" s="2" t="s">
        <v>3724</v>
      </c>
      <c r="F2153" s="2" t="s">
        <v>14</v>
      </c>
      <c r="G2153" s="2" t="s">
        <v>15</v>
      </c>
      <c r="H2153" s="2">
        <v>19000000</v>
      </c>
      <c r="I2153" s="2">
        <v>6.1</v>
      </c>
      <c r="J2153" s="2">
        <f t="shared" si="16"/>
        <v>8758465</v>
      </c>
      <c r="K2153" s="2">
        <f t="shared" si="17"/>
        <v>-2.002530212452391E-2</v>
      </c>
      <c r="L2153" s="2" t="str">
        <f>IF(ISNUMBER(SEARCH("|",IMDB_Movies!$D2153)),LEFT(IMDB_Movies!$D2153,SEARCH("|",IMDB_Movies!$D2153)-1),IMDB_Movies!$D2153)</f>
        <v>Comedy</v>
      </c>
      <c r="V2153" s="2"/>
      <c r="W2153" s="2"/>
    </row>
    <row r="2154" spans="1:23" ht="12.5" x14ac:dyDescent="0.25">
      <c r="A2154" s="2" t="s">
        <v>302</v>
      </c>
      <c r="B2154" s="2">
        <v>95</v>
      </c>
      <c r="C2154" s="2">
        <v>56127162</v>
      </c>
      <c r="D2154" s="2" t="s">
        <v>600</v>
      </c>
      <c r="E2154" s="2" t="s">
        <v>3725</v>
      </c>
      <c r="F2154" s="2" t="s">
        <v>14</v>
      </c>
      <c r="G2154" s="2" t="s">
        <v>15</v>
      </c>
      <c r="H2154" s="2">
        <v>18000000</v>
      </c>
      <c r="I2154" s="2">
        <v>5.4</v>
      </c>
      <c r="J2154" s="2">
        <f t="shared" si="16"/>
        <v>38127162</v>
      </c>
      <c r="K2154" s="2">
        <f t="shared" si="17"/>
        <v>-2.0023864875055426E-2</v>
      </c>
      <c r="L2154" s="2" t="str">
        <f>IF(ISNUMBER(SEARCH("|",IMDB_Movies!$D2154)),LEFT(IMDB_Movies!$D2154,SEARCH("|",IMDB_Movies!$D2154)-1),IMDB_Movies!$D2154)</f>
        <v>Comedy</v>
      </c>
      <c r="V2154" s="2"/>
      <c r="W2154" s="2"/>
    </row>
    <row r="2155" spans="1:23" ht="12.5" x14ac:dyDescent="0.25">
      <c r="A2155" s="2" t="s">
        <v>355</v>
      </c>
      <c r="B2155" s="2">
        <v>109</v>
      </c>
      <c r="C2155" s="2">
        <v>1357042</v>
      </c>
      <c r="D2155" s="2" t="s">
        <v>1243</v>
      </c>
      <c r="E2155" s="2" t="s">
        <v>3726</v>
      </c>
      <c r="F2155" s="2" t="s">
        <v>14</v>
      </c>
      <c r="G2155" s="2" t="s">
        <v>2582</v>
      </c>
      <c r="H2155" s="2">
        <v>15000000</v>
      </c>
      <c r="I2155" s="2">
        <v>7.1</v>
      </c>
      <c r="J2155" s="2">
        <f t="shared" si="16"/>
        <v>-13642958</v>
      </c>
      <c r="K2155" s="2">
        <f t="shared" si="17"/>
        <v>-2.0020130393408737E-2</v>
      </c>
      <c r="L2155" s="2" t="str">
        <f>IF(ISNUMBER(SEARCH("|",IMDB_Movies!$D2155)),LEFT(IMDB_Movies!$D2155,SEARCH("|",IMDB_Movies!$D2155)-1),IMDB_Movies!$D2155)</f>
        <v>Biography</v>
      </c>
      <c r="V2155" s="2"/>
      <c r="W2155" s="2"/>
    </row>
    <row r="2156" spans="1:23" ht="12.5" x14ac:dyDescent="0.25">
      <c r="A2156" s="2" t="s">
        <v>3727</v>
      </c>
      <c r="B2156" s="2">
        <v>85</v>
      </c>
      <c r="C2156" s="2">
        <v>15911333</v>
      </c>
      <c r="D2156" s="2" t="s">
        <v>867</v>
      </c>
      <c r="E2156" s="2" t="s">
        <v>3728</v>
      </c>
      <c r="F2156" s="2" t="s">
        <v>14</v>
      </c>
      <c r="G2156" s="2" t="s">
        <v>22</v>
      </c>
      <c r="H2156" s="2">
        <v>19000000</v>
      </c>
      <c r="I2156" s="2">
        <v>3.6</v>
      </c>
      <c r="J2156" s="2">
        <f t="shared" si="16"/>
        <v>-3088667</v>
      </c>
      <c r="K2156" s="2">
        <f t="shared" si="17"/>
        <v>-2.0030516644748728E-2</v>
      </c>
      <c r="L2156" s="2" t="str">
        <f>IF(ISNUMBER(SEARCH("|",IMDB_Movies!$D2156)),LEFT(IMDB_Movies!$D2156,SEARCH("|",IMDB_Movies!$D2156)-1),IMDB_Movies!$D2156)</f>
        <v>Adventure</v>
      </c>
      <c r="V2156" s="2"/>
      <c r="W2156" s="2"/>
    </row>
    <row r="2157" spans="1:23" ht="12.5" x14ac:dyDescent="0.25">
      <c r="A2157" s="2" t="s">
        <v>397</v>
      </c>
      <c r="B2157" s="2">
        <v>101</v>
      </c>
      <c r="C2157" s="2">
        <v>39103378</v>
      </c>
      <c r="D2157" s="2" t="s">
        <v>2228</v>
      </c>
      <c r="E2157" s="2" t="s">
        <v>3729</v>
      </c>
      <c r="F2157" s="2" t="s">
        <v>14</v>
      </c>
      <c r="G2157" s="2" t="s">
        <v>15</v>
      </c>
      <c r="H2157" s="2">
        <v>20000000</v>
      </c>
      <c r="I2157" s="2">
        <v>6.5</v>
      </c>
      <c r="J2157" s="2">
        <f t="shared" si="16"/>
        <v>19103378</v>
      </c>
      <c r="K2157" s="2">
        <f t="shared" si="17"/>
        <v>-2.0031666101269087E-2</v>
      </c>
      <c r="L2157" s="2" t="str">
        <f>IF(ISNUMBER(SEARCH("|",IMDB_Movies!$D2157)),LEFT(IMDB_Movies!$D2157,SEARCH("|",IMDB_Movies!$D2157)-1),IMDB_Movies!$D2157)</f>
        <v>Horror</v>
      </c>
      <c r="V2157" s="2"/>
      <c r="W2157" s="2"/>
    </row>
    <row r="2158" spans="1:23" ht="12.5" x14ac:dyDescent="0.25">
      <c r="A2158" s="2" t="s">
        <v>2566</v>
      </c>
      <c r="B2158" s="2">
        <v>125</v>
      </c>
      <c r="C2158" s="2">
        <v>10049886</v>
      </c>
      <c r="D2158" s="2" t="s">
        <v>240</v>
      </c>
      <c r="E2158" s="2" t="s">
        <v>3730</v>
      </c>
      <c r="F2158" s="2" t="s">
        <v>2568</v>
      </c>
      <c r="G2158" s="2" t="s">
        <v>1032</v>
      </c>
      <c r="H2158" s="2">
        <v>19000000</v>
      </c>
      <c r="I2158" s="2">
        <v>8.6</v>
      </c>
      <c r="J2158" s="2">
        <f t="shared" si="16"/>
        <v>-8950114</v>
      </c>
      <c r="K2158" s="2">
        <f t="shared" si="17"/>
        <v>-2.0030087250496084E-2</v>
      </c>
      <c r="L2158" s="2" t="str">
        <f>IF(ISNUMBER(SEARCH("|",IMDB_Movies!$D2158)),LEFT(IMDB_Movies!$D2158,SEARCH("|",IMDB_Movies!$D2158)-1),IMDB_Movies!$D2158)</f>
        <v>Adventure</v>
      </c>
      <c r="V2158" s="2"/>
      <c r="W2158" s="2"/>
    </row>
    <row r="2159" spans="1:23" ht="12.5" x14ac:dyDescent="0.25">
      <c r="A2159" s="2" t="s">
        <v>536</v>
      </c>
      <c r="B2159" s="2">
        <v>132</v>
      </c>
      <c r="C2159" s="2">
        <v>8600000</v>
      </c>
      <c r="D2159" s="2" t="s">
        <v>1008</v>
      </c>
      <c r="E2159" s="2" t="s">
        <v>3731</v>
      </c>
      <c r="F2159" s="2" t="s">
        <v>14</v>
      </c>
      <c r="G2159" s="2" t="s">
        <v>22</v>
      </c>
      <c r="H2159" s="2">
        <v>25000000</v>
      </c>
      <c r="I2159" s="2">
        <v>7</v>
      </c>
      <c r="J2159" s="2">
        <f t="shared" si="16"/>
        <v>-16400000</v>
      </c>
      <c r="K2159" s="2">
        <f t="shared" si="17"/>
        <v>-2.0033050697104825E-2</v>
      </c>
      <c r="L2159" s="2" t="str">
        <f>IF(ISNUMBER(SEARCH("|",IMDB_Movies!$D2159)),LEFT(IMDB_Movies!$D2159,SEARCH("|",IMDB_Movies!$D2159)-1),IMDB_Movies!$D2159)</f>
        <v>Action</v>
      </c>
      <c r="V2159" s="2"/>
      <c r="W2159" s="2"/>
    </row>
    <row r="2160" spans="1:23" ht="12.5" x14ac:dyDescent="0.25">
      <c r="A2160" s="2" t="s">
        <v>3732</v>
      </c>
      <c r="B2160" s="2">
        <v>131</v>
      </c>
      <c r="C2160" s="2">
        <v>21483154</v>
      </c>
      <c r="D2160" s="2" t="s">
        <v>1175</v>
      </c>
      <c r="E2160" s="2" t="s">
        <v>3733</v>
      </c>
      <c r="F2160" s="2" t="s">
        <v>14</v>
      </c>
      <c r="G2160" s="2" t="s">
        <v>15</v>
      </c>
      <c r="H2160" s="2">
        <v>19000000</v>
      </c>
      <c r="I2160" s="2">
        <v>7.6</v>
      </c>
      <c r="J2160" s="2">
        <f t="shared" si="16"/>
        <v>2483154</v>
      </c>
      <c r="K2160" s="2">
        <f t="shared" si="17"/>
        <v>-2.0032714552105209E-2</v>
      </c>
      <c r="L2160" s="2" t="str">
        <f>IF(ISNUMBER(SEARCH("|",IMDB_Movies!$D2160)),LEFT(IMDB_Movies!$D2160,SEARCH("|",IMDB_Movies!$D2160)-1),IMDB_Movies!$D2160)</f>
        <v>Drama</v>
      </c>
      <c r="V2160" s="2"/>
      <c r="W2160" s="2"/>
    </row>
    <row r="2161" spans="1:23" ht="12.5" x14ac:dyDescent="0.25">
      <c r="A2161" s="2" t="s">
        <v>1545</v>
      </c>
      <c r="B2161" s="2">
        <v>129</v>
      </c>
      <c r="C2161" s="2">
        <v>8396942</v>
      </c>
      <c r="D2161" s="2" t="s">
        <v>3734</v>
      </c>
      <c r="E2161" s="2" t="s">
        <v>3735</v>
      </c>
      <c r="F2161" s="2" t="s">
        <v>14</v>
      </c>
      <c r="G2161" s="2" t="s">
        <v>15</v>
      </c>
      <c r="H2161" s="2">
        <v>19000000</v>
      </c>
      <c r="I2161" s="2">
        <v>6.5</v>
      </c>
      <c r="J2161" s="2">
        <f t="shared" si="16"/>
        <v>-10603058</v>
      </c>
      <c r="K2161" s="2">
        <f t="shared" si="17"/>
        <v>-2.0032466033413607E-2</v>
      </c>
      <c r="L2161" s="2" t="str">
        <f>IF(ISNUMBER(SEARCH("|",IMDB_Movies!$D2161)),LEFT(IMDB_Movies!$D2161,SEARCH("|",IMDB_Movies!$D2161)-1),IMDB_Movies!$D2161)</f>
        <v>Adventure</v>
      </c>
      <c r="V2161" s="2"/>
      <c r="W2161" s="2"/>
    </row>
    <row r="2162" spans="1:23" ht="12.5" x14ac:dyDescent="0.25">
      <c r="A2162" s="2" t="s">
        <v>3736</v>
      </c>
      <c r="B2162" s="2">
        <v>100</v>
      </c>
      <c r="C2162" s="2">
        <v>12561</v>
      </c>
      <c r="D2162" s="2" t="s">
        <v>600</v>
      </c>
      <c r="E2162" s="2" t="s">
        <v>3737</v>
      </c>
      <c r="F2162" s="2" t="s">
        <v>14</v>
      </c>
      <c r="G2162" s="2" t="s">
        <v>15</v>
      </c>
      <c r="H2162" s="2">
        <v>19000000</v>
      </c>
      <c r="I2162" s="2">
        <v>6.4</v>
      </c>
      <c r="J2162" s="2">
        <f t="shared" si="16"/>
        <v>-18987439</v>
      </c>
      <c r="K2162" s="2">
        <f t="shared" si="17"/>
        <v>-2.0036012666126816E-2</v>
      </c>
      <c r="L2162" s="2" t="str">
        <f>IF(ISNUMBER(SEARCH("|",IMDB_Movies!$D2162)),LEFT(IMDB_Movies!$D2162,SEARCH("|",IMDB_Movies!$D2162)-1),IMDB_Movies!$D2162)</f>
        <v>Comedy</v>
      </c>
      <c r="V2162" s="2"/>
      <c r="W2162" s="2"/>
    </row>
    <row r="2163" spans="1:23" ht="12.5" x14ac:dyDescent="0.25">
      <c r="A2163" s="2" t="s">
        <v>3738</v>
      </c>
      <c r="B2163" s="2">
        <v>97</v>
      </c>
      <c r="C2163" s="2">
        <v>6923891</v>
      </c>
      <c r="D2163" s="2" t="s">
        <v>514</v>
      </c>
      <c r="E2163" s="2" t="s">
        <v>3739</v>
      </c>
      <c r="F2163" s="2" t="s">
        <v>14</v>
      </c>
      <c r="G2163" s="2" t="s">
        <v>15</v>
      </c>
      <c r="H2163" s="2">
        <v>23000000</v>
      </c>
      <c r="I2163" s="2">
        <v>6.3</v>
      </c>
      <c r="J2163" s="2">
        <f t="shared" si="16"/>
        <v>-16076109</v>
      </c>
      <c r="K2163" s="2">
        <f t="shared" si="17"/>
        <v>-2.0042919233215106E-2</v>
      </c>
      <c r="L2163" s="2" t="str">
        <f>IF(ISNUMBER(SEARCH("|",IMDB_Movies!$D2163)),LEFT(IMDB_Movies!$D2163,SEARCH("|",IMDB_Movies!$D2163)-1),IMDB_Movies!$D2163)</f>
        <v>Comedy</v>
      </c>
      <c r="V2163" s="2"/>
      <c r="W2163" s="2"/>
    </row>
    <row r="2164" spans="1:23" ht="12.5" x14ac:dyDescent="0.25">
      <c r="A2164" s="2" t="s">
        <v>3740</v>
      </c>
      <c r="B2164" s="2">
        <v>92</v>
      </c>
      <c r="C2164" s="2">
        <v>2119994</v>
      </c>
      <c r="D2164" s="2" t="s">
        <v>3741</v>
      </c>
      <c r="E2164" s="2" t="s">
        <v>3742</v>
      </c>
      <c r="F2164" s="2" t="s">
        <v>14</v>
      </c>
      <c r="G2164" s="2" t="s">
        <v>15</v>
      </c>
      <c r="H2164" s="2">
        <v>19000000</v>
      </c>
      <c r="I2164" s="2">
        <v>5.7</v>
      </c>
      <c r="J2164" s="2">
        <f t="shared" si="16"/>
        <v>-16880006</v>
      </c>
      <c r="K2164" s="2">
        <f t="shared" si="17"/>
        <v>-2.0044109729143438E-2</v>
      </c>
      <c r="L2164" s="2" t="str">
        <f>IF(ISNUMBER(SEARCH("|",IMDB_Movies!$D2164)),LEFT(IMDB_Movies!$D2164,SEARCH("|",IMDB_Movies!$D2164)-1),IMDB_Movies!$D2164)</f>
        <v>Family</v>
      </c>
      <c r="V2164" s="2"/>
      <c r="W2164" s="2"/>
    </row>
    <row r="2165" spans="1:23" ht="12.5" x14ac:dyDescent="0.25">
      <c r="A2165" s="2" t="s">
        <v>3743</v>
      </c>
      <c r="B2165" s="2">
        <v>116</v>
      </c>
      <c r="C2165" s="2">
        <v>1292527</v>
      </c>
      <c r="D2165" s="2" t="s">
        <v>3744</v>
      </c>
      <c r="E2165" s="2" t="s">
        <v>3745</v>
      </c>
      <c r="F2165" s="2" t="s">
        <v>14</v>
      </c>
      <c r="G2165" s="2" t="s">
        <v>686</v>
      </c>
      <c r="H2165" s="2">
        <v>19000000</v>
      </c>
      <c r="I2165" s="2">
        <v>6.3</v>
      </c>
      <c r="J2165" s="2">
        <f t="shared" si="16"/>
        <v>-17707473</v>
      </c>
      <c r="K2165" s="2">
        <f t="shared" si="17"/>
        <v>-2.0050118709734912E-2</v>
      </c>
      <c r="L2165" s="2" t="str">
        <f>IF(ISNUMBER(SEARCH("|",IMDB_Movies!$D2165)),LEFT(IMDB_Movies!$D2165,SEARCH("|",IMDB_Movies!$D2165)-1),IMDB_Movies!$D2165)</f>
        <v>Crime</v>
      </c>
      <c r="V2165" s="2"/>
      <c r="W2165" s="2"/>
    </row>
    <row r="2166" spans="1:23" ht="12.5" x14ac:dyDescent="0.25">
      <c r="A2166" s="2" t="s">
        <v>3746</v>
      </c>
      <c r="B2166" s="2">
        <v>90</v>
      </c>
      <c r="C2166" s="2">
        <v>64255243</v>
      </c>
      <c r="D2166" s="2" t="s">
        <v>2061</v>
      </c>
      <c r="E2166" s="2" t="s">
        <v>3747</v>
      </c>
      <c r="F2166" s="2" t="s">
        <v>14</v>
      </c>
      <c r="G2166" s="2" t="s">
        <v>15</v>
      </c>
      <c r="H2166" s="2">
        <v>19000000</v>
      </c>
      <c r="I2166" s="2">
        <v>6</v>
      </c>
      <c r="J2166" s="2">
        <f t="shared" si="16"/>
        <v>45255243</v>
      </c>
      <c r="K2166" s="2">
        <f t="shared" si="17"/>
        <v>-2.0056489346550598E-2</v>
      </c>
      <c r="L2166" s="2" t="str">
        <f>IF(ISNUMBER(SEARCH("|",IMDB_Movies!$D2166)),LEFT(IMDB_Movies!$D2166,SEARCH("|",IMDB_Movies!$D2166)-1),IMDB_Movies!$D2166)</f>
        <v>Drama</v>
      </c>
      <c r="V2166" s="2"/>
      <c r="W2166" s="2"/>
    </row>
    <row r="2167" spans="1:23" ht="12.5" x14ac:dyDescent="0.25">
      <c r="A2167" s="2" t="s">
        <v>642</v>
      </c>
      <c r="B2167" s="2">
        <v>81</v>
      </c>
      <c r="C2167" s="2">
        <v>22245861</v>
      </c>
      <c r="D2167" s="2" t="s">
        <v>891</v>
      </c>
      <c r="E2167" s="2" t="s">
        <v>3748</v>
      </c>
      <c r="F2167" s="2" t="s">
        <v>14</v>
      </c>
      <c r="G2167" s="2" t="s">
        <v>15</v>
      </c>
      <c r="H2167" s="2">
        <v>19000000</v>
      </c>
      <c r="I2167" s="2">
        <v>7.7</v>
      </c>
      <c r="J2167" s="2">
        <f t="shared" si="16"/>
        <v>3245861</v>
      </c>
      <c r="K2167" s="2">
        <f t="shared" si="17"/>
        <v>-2.0056034944142678E-2</v>
      </c>
      <c r="L2167" s="2" t="str">
        <f>IF(ISNUMBER(SEARCH("|",IMDB_Movies!$D2167)),LEFT(IMDB_Movies!$D2167,SEARCH("|",IMDB_Movies!$D2167)-1),IMDB_Movies!$D2167)</f>
        <v>Comedy</v>
      </c>
      <c r="V2167" s="2"/>
      <c r="W2167" s="2"/>
    </row>
    <row r="2168" spans="1:23" ht="12.5" x14ac:dyDescent="0.25">
      <c r="A2168" s="2" t="s">
        <v>3749</v>
      </c>
      <c r="B2168" s="2">
        <v>97</v>
      </c>
      <c r="C2168" s="2">
        <v>20433940</v>
      </c>
      <c r="D2168" s="2" t="s">
        <v>2148</v>
      </c>
      <c r="E2168" s="2" t="s">
        <v>3750</v>
      </c>
      <c r="F2168" s="2" t="s">
        <v>14</v>
      </c>
      <c r="G2168" s="2" t="s">
        <v>104</v>
      </c>
      <c r="H2168" s="2">
        <v>15000000</v>
      </c>
      <c r="I2168" s="2">
        <v>6.2</v>
      </c>
      <c r="J2168" s="2">
        <f t="shared" si="16"/>
        <v>5433940</v>
      </c>
      <c r="K2168" s="2">
        <f t="shared" si="17"/>
        <v>-2.0055622506113271E-2</v>
      </c>
      <c r="L2168" s="2" t="str">
        <f>IF(ISNUMBER(SEARCH("|",IMDB_Movies!$D2168)),LEFT(IMDB_Movies!$D2168,SEARCH("|",IMDB_Movies!$D2168)-1),IMDB_Movies!$D2168)</f>
        <v>Horror</v>
      </c>
      <c r="V2168" s="2"/>
      <c r="W2168" s="2"/>
    </row>
    <row r="2169" spans="1:23" ht="12.5" x14ac:dyDescent="0.25">
      <c r="A2169" s="2" t="s">
        <v>977</v>
      </c>
      <c r="B2169" s="2">
        <v>118</v>
      </c>
      <c r="C2169" s="2">
        <v>10562387</v>
      </c>
      <c r="D2169" s="2" t="s">
        <v>1822</v>
      </c>
      <c r="E2169" s="2" t="s">
        <v>3751</v>
      </c>
      <c r="F2169" s="2" t="s">
        <v>14</v>
      </c>
      <c r="G2169" s="2" t="s">
        <v>15</v>
      </c>
      <c r="H2169" s="2">
        <v>18500000</v>
      </c>
      <c r="I2169" s="2">
        <v>7.7</v>
      </c>
      <c r="J2169" s="2">
        <f t="shared" si="16"/>
        <v>-7937613</v>
      </c>
      <c r="K2169" s="2">
        <f t="shared" si="17"/>
        <v>-2.0055617290545651E-2</v>
      </c>
      <c r="L2169" s="2" t="str">
        <f>IF(ISNUMBER(SEARCH("|",IMDB_Movies!$D2169)),LEFT(IMDB_Movies!$D2169,SEARCH("|",IMDB_Movies!$D2169)-1),IMDB_Movies!$D2169)</f>
        <v>Adventure</v>
      </c>
      <c r="V2169" s="2"/>
      <c r="W2169" s="2"/>
    </row>
    <row r="2170" spans="1:23" ht="12.5" x14ac:dyDescent="0.25">
      <c r="A2170" s="2" t="s">
        <v>3752</v>
      </c>
      <c r="B2170" s="2">
        <v>100</v>
      </c>
      <c r="C2170" s="2">
        <v>18439082</v>
      </c>
      <c r="D2170" s="2" t="s">
        <v>1256</v>
      </c>
      <c r="E2170" s="2" t="s">
        <v>3753</v>
      </c>
      <c r="F2170" s="2" t="s">
        <v>14</v>
      </c>
      <c r="G2170" s="2" t="s">
        <v>15</v>
      </c>
      <c r="H2170" s="2">
        <v>18500000</v>
      </c>
      <c r="I2170" s="2">
        <v>6.4</v>
      </c>
      <c r="J2170" s="2">
        <f t="shared" si="16"/>
        <v>-60918</v>
      </c>
      <c r="K2170" s="2">
        <f t="shared" si="17"/>
        <v>-2.005870312878236E-2</v>
      </c>
      <c r="L2170" s="2" t="str">
        <f>IF(ISNUMBER(SEARCH("|",IMDB_Movies!$D2170)),LEFT(IMDB_Movies!$D2170,SEARCH("|",IMDB_Movies!$D2170)-1),IMDB_Movies!$D2170)</f>
        <v>Comedy</v>
      </c>
      <c r="V2170" s="2"/>
      <c r="W2170" s="2"/>
    </row>
    <row r="2171" spans="1:23" ht="12.5" x14ac:dyDescent="0.25">
      <c r="A2171" s="2" t="s">
        <v>2449</v>
      </c>
      <c r="B2171" s="2">
        <v>97</v>
      </c>
      <c r="C2171" s="2">
        <v>150056505</v>
      </c>
      <c r="D2171" s="2" t="s">
        <v>709</v>
      </c>
      <c r="E2171" s="2" t="s">
        <v>3754</v>
      </c>
      <c r="F2171" s="2" t="s">
        <v>14</v>
      </c>
      <c r="G2171" s="2" t="s">
        <v>15</v>
      </c>
      <c r="H2171" s="2">
        <v>18000000</v>
      </c>
      <c r="I2171" s="2">
        <v>6.4</v>
      </c>
      <c r="J2171" s="2">
        <f t="shared" si="16"/>
        <v>132056505</v>
      </c>
      <c r="K2171" s="2">
        <f t="shared" si="17"/>
        <v>-2.005924497656042E-2</v>
      </c>
      <c r="L2171" s="2" t="str">
        <f>IF(ISNUMBER(SEARCH("|",IMDB_Movies!$D2171)),LEFT(IMDB_Movies!$D2171,SEARCH("|",IMDB_Movies!$D2171)-1),IMDB_Movies!$D2171)</f>
        <v>Comedy</v>
      </c>
      <c r="V2171" s="2"/>
      <c r="W2171" s="2"/>
    </row>
    <row r="2172" spans="1:23" ht="12.5" x14ac:dyDescent="0.25">
      <c r="A2172" s="2" t="s">
        <v>625</v>
      </c>
      <c r="B2172" s="2">
        <v>114</v>
      </c>
      <c r="C2172" s="2">
        <v>119938730</v>
      </c>
      <c r="D2172" s="2" t="s">
        <v>3583</v>
      </c>
      <c r="E2172" s="2" t="s">
        <v>3755</v>
      </c>
      <c r="F2172" s="2" t="s">
        <v>14</v>
      </c>
      <c r="G2172" s="2" t="s">
        <v>15</v>
      </c>
      <c r="H2172" s="2">
        <v>18000000</v>
      </c>
      <c r="I2172" s="2">
        <v>6.9</v>
      </c>
      <c r="J2172" s="2">
        <f t="shared" si="16"/>
        <v>101938730</v>
      </c>
      <c r="K2172" s="2">
        <f t="shared" si="17"/>
        <v>-2.010828347072045E-2</v>
      </c>
      <c r="L2172" s="2" t="str">
        <f>IF(ISNUMBER(SEARCH("|",IMDB_Movies!$D2172)),LEFT(IMDB_Movies!$D2172,SEARCH("|",IMDB_Movies!$D2172)-1),IMDB_Movies!$D2172)</f>
        <v>Action</v>
      </c>
      <c r="V2172" s="2"/>
      <c r="W2172" s="2"/>
    </row>
    <row r="2173" spans="1:23" ht="12.5" x14ac:dyDescent="0.25">
      <c r="A2173" s="2" t="s">
        <v>1896</v>
      </c>
      <c r="B2173" s="2">
        <v>130</v>
      </c>
      <c r="C2173" s="2">
        <v>114968774</v>
      </c>
      <c r="D2173" s="2" t="s">
        <v>2144</v>
      </c>
      <c r="E2173" s="2" t="s">
        <v>3756</v>
      </c>
      <c r="F2173" s="2" t="s">
        <v>14</v>
      </c>
      <c r="G2173" s="2" t="s">
        <v>15</v>
      </c>
      <c r="H2173" s="2">
        <v>18000000</v>
      </c>
      <c r="I2173" s="2">
        <v>7.3</v>
      </c>
      <c r="J2173" s="2">
        <f t="shared" si="16"/>
        <v>96968774</v>
      </c>
      <c r="K2173" s="2">
        <f t="shared" si="17"/>
        <v>-2.0130854520985467E-2</v>
      </c>
      <c r="L2173" s="2" t="str">
        <f>IF(ISNUMBER(SEARCH("|",IMDB_Movies!$D2173)),LEFT(IMDB_Movies!$D2173,SEARCH("|",IMDB_Movies!$D2173)-1),IMDB_Movies!$D2173)</f>
        <v>Comedy</v>
      </c>
      <c r="V2173" s="2"/>
      <c r="W2173" s="2"/>
    </row>
    <row r="2174" spans="1:23" ht="12.5" x14ac:dyDescent="0.25">
      <c r="A2174" s="2" t="s">
        <v>1286</v>
      </c>
      <c r="B2174" s="2">
        <v>82</v>
      </c>
      <c r="C2174" s="2">
        <v>128505958</v>
      </c>
      <c r="D2174" s="2" t="s">
        <v>709</v>
      </c>
      <c r="E2174" s="2" t="s">
        <v>3757</v>
      </c>
      <c r="F2174" s="2" t="s">
        <v>14</v>
      </c>
      <c r="G2174" s="2" t="s">
        <v>15</v>
      </c>
      <c r="H2174" s="2">
        <v>18000000</v>
      </c>
      <c r="I2174" s="2">
        <v>7.3</v>
      </c>
      <c r="J2174" s="2">
        <f t="shared" si="16"/>
        <v>110505958</v>
      </c>
      <c r="K2174" s="2">
        <f t="shared" si="17"/>
        <v>-2.0150087799643387E-2</v>
      </c>
      <c r="L2174" s="2" t="str">
        <f>IF(ISNUMBER(SEARCH("|",IMDB_Movies!$D2174)),LEFT(IMDB_Movies!$D2174,SEARCH("|",IMDB_Movies!$D2174)-1),IMDB_Movies!$D2174)</f>
        <v>Comedy</v>
      </c>
      <c r="V2174" s="2"/>
      <c r="W2174" s="2"/>
    </row>
    <row r="2175" spans="1:23" ht="12.5" x14ac:dyDescent="0.25">
      <c r="A2175" s="2" t="s">
        <v>1073</v>
      </c>
      <c r="B2175" s="2">
        <v>96</v>
      </c>
      <c r="C2175" s="2">
        <v>95001351</v>
      </c>
      <c r="D2175" s="2" t="s">
        <v>600</v>
      </c>
      <c r="E2175" s="2" t="s">
        <v>3758</v>
      </c>
      <c r="F2175" s="2" t="s">
        <v>14</v>
      </c>
      <c r="G2175" s="2" t="s">
        <v>15</v>
      </c>
      <c r="H2175" s="2">
        <v>18000000</v>
      </c>
      <c r="I2175" s="2">
        <v>6.2</v>
      </c>
      <c r="J2175" s="2">
        <f t="shared" si="16"/>
        <v>77001351</v>
      </c>
      <c r="K2175" s="2">
        <f t="shared" si="17"/>
        <v>-2.0180090954722348E-2</v>
      </c>
      <c r="L2175" s="2" t="str">
        <f>IF(ISNUMBER(SEARCH("|",IMDB_Movies!$D2175)),LEFT(IMDB_Movies!$D2175,SEARCH("|",IMDB_Movies!$D2175)-1),IMDB_Movies!$D2175)</f>
        <v>Comedy</v>
      </c>
      <c r="V2175" s="2"/>
      <c r="W2175" s="2"/>
    </row>
    <row r="2176" spans="1:23" ht="12.5" x14ac:dyDescent="0.25">
      <c r="A2176" s="2" t="s">
        <v>3261</v>
      </c>
      <c r="B2176" s="2">
        <v>105</v>
      </c>
      <c r="C2176" s="2">
        <v>76400000</v>
      </c>
      <c r="D2176" s="2" t="s">
        <v>28</v>
      </c>
      <c r="E2176" s="2" t="s">
        <v>3759</v>
      </c>
      <c r="F2176" s="2" t="s">
        <v>14</v>
      </c>
      <c r="G2176" s="2" t="s">
        <v>15</v>
      </c>
      <c r="H2176" s="2">
        <v>17000000</v>
      </c>
      <c r="I2176" s="2">
        <v>6.6</v>
      </c>
      <c r="J2176" s="2">
        <f t="shared" si="16"/>
        <v>59400000</v>
      </c>
      <c r="K2176" s="2">
        <f t="shared" si="17"/>
        <v>-2.0187740856571469E-2</v>
      </c>
      <c r="L2176" s="2" t="str">
        <f>IF(ISNUMBER(SEARCH("|",IMDB_Movies!$D2176)),LEFT(IMDB_Movies!$D2176,SEARCH("|",IMDB_Movies!$D2176)-1),IMDB_Movies!$D2176)</f>
        <v>Action</v>
      </c>
      <c r="V2176" s="2"/>
      <c r="W2176" s="2"/>
    </row>
    <row r="2177" spans="1:23" ht="12.5" x14ac:dyDescent="0.25">
      <c r="A2177" s="2" t="s">
        <v>941</v>
      </c>
      <c r="B2177" s="2">
        <v>122</v>
      </c>
      <c r="C2177" s="2">
        <v>75072454</v>
      </c>
      <c r="D2177" s="2" t="s">
        <v>1507</v>
      </c>
      <c r="E2177" s="2" t="s">
        <v>3760</v>
      </c>
      <c r="F2177" s="2" t="s">
        <v>14</v>
      </c>
      <c r="G2177" s="2" t="s">
        <v>15</v>
      </c>
      <c r="H2177" s="2">
        <v>20000000</v>
      </c>
      <c r="I2177" s="2">
        <v>6.7</v>
      </c>
      <c r="J2177" s="2">
        <f t="shared" si="16"/>
        <v>55072454</v>
      </c>
      <c r="K2177" s="2">
        <f t="shared" si="17"/>
        <v>-2.0184896448134017E-2</v>
      </c>
      <c r="L2177" s="2" t="str">
        <f>IF(ISNUMBER(SEARCH("|",IMDB_Movies!$D2177)),LEFT(IMDB_Movies!$D2177,SEARCH("|",IMDB_Movies!$D2177)-1),IMDB_Movies!$D2177)</f>
        <v>Drama</v>
      </c>
      <c r="V2177" s="2"/>
      <c r="W2177" s="2"/>
    </row>
    <row r="2178" spans="1:23" ht="12.5" x14ac:dyDescent="0.25">
      <c r="A2178" s="2" t="s">
        <v>229</v>
      </c>
      <c r="B2178" s="2">
        <v>88</v>
      </c>
      <c r="C2178" s="2">
        <v>65535067</v>
      </c>
      <c r="D2178" s="2" t="s">
        <v>600</v>
      </c>
      <c r="E2178" s="2" t="s">
        <v>3761</v>
      </c>
      <c r="F2178" s="2" t="s">
        <v>14</v>
      </c>
      <c r="G2178" s="2" t="s">
        <v>15</v>
      </c>
      <c r="H2178" s="2">
        <v>17000000</v>
      </c>
      <c r="I2178" s="2">
        <v>5.7</v>
      </c>
      <c r="J2178" s="2">
        <f t="shared" si="16"/>
        <v>48535067</v>
      </c>
      <c r="K2178" s="2">
        <f t="shared" si="17"/>
        <v>-2.0190762412386331E-2</v>
      </c>
      <c r="L2178" s="2" t="str">
        <f>IF(ISNUMBER(SEARCH("|",IMDB_Movies!$D2178)),LEFT(IMDB_Movies!$D2178,SEARCH("|",IMDB_Movies!$D2178)-1),IMDB_Movies!$D2178)</f>
        <v>Comedy</v>
      </c>
      <c r="V2178" s="2"/>
      <c r="W2178" s="2"/>
    </row>
    <row r="2179" spans="1:23" ht="12.5" x14ac:dyDescent="0.25">
      <c r="A2179" s="2" t="s">
        <v>3762</v>
      </c>
      <c r="B2179" s="2">
        <v>110</v>
      </c>
      <c r="C2179" s="2">
        <v>13998282</v>
      </c>
      <c r="D2179" s="2" t="s">
        <v>3763</v>
      </c>
      <c r="E2179" s="2" t="s">
        <v>3764</v>
      </c>
      <c r="F2179" s="2" t="s">
        <v>14</v>
      </c>
      <c r="G2179" s="2" t="s">
        <v>15</v>
      </c>
      <c r="H2179" s="2">
        <v>16000000</v>
      </c>
      <c r="I2179" s="2">
        <v>3.1</v>
      </c>
      <c r="J2179" s="2">
        <f t="shared" si="16"/>
        <v>-2001718</v>
      </c>
      <c r="K2179" s="2">
        <f t="shared" si="17"/>
        <v>-2.0185850303160592E-2</v>
      </c>
      <c r="L2179" s="2" t="str">
        <f>IF(ISNUMBER(SEARCH("|",IMDB_Movies!$D2179)),LEFT(IMDB_Movies!$D2179,SEARCH("|",IMDB_Movies!$D2179)-1),IMDB_Movies!$D2179)</f>
        <v>Action</v>
      </c>
      <c r="V2179" s="2"/>
      <c r="W2179" s="2"/>
    </row>
    <row r="2180" spans="1:23" ht="12.5" x14ac:dyDescent="0.25">
      <c r="A2180" s="2" t="s">
        <v>3543</v>
      </c>
      <c r="B2180" s="2">
        <v>103</v>
      </c>
      <c r="C2180" s="2">
        <v>6061759</v>
      </c>
      <c r="D2180" s="2" t="s">
        <v>514</v>
      </c>
      <c r="E2180" s="2" t="s">
        <v>3765</v>
      </c>
      <c r="F2180" s="2" t="s">
        <v>14</v>
      </c>
      <c r="G2180" s="2" t="s">
        <v>15</v>
      </c>
      <c r="H2180" s="2">
        <v>17000000</v>
      </c>
      <c r="I2180" s="2">
        <v>6.3</v>
      </c>
      <c r="J2180" s="2">
        <f t="shared" si="16"/>
        <v>-10938241</v>
      </c>
      <c r="K2180" s="2">
        <f t="shared" si="17"/>
        <v>-2.0188483249785335E-2</v>
      </c>
      <c r="L2180" s="2" t="str">
        <f>IF(ISNUMBER(SEARCH("|",IMDB_Movies!$D2180)),LEFT(IMDB_Movies!$D2180,SEARCH("|",IMDB_Movies!$D2180)-1),IMDB_Movies!$D2180)</f>
        <v>Comedy</v>
      </c>
      <c r="V2180" s="2"/>
      <c r="W2180" s="2"/>
    </row>
    <row r="2181" spans="1:23" ht="12.5" x14ac:dyDescent="0.25">
      <c r="A2181" s="2" t="s">
        <v>2430</v>
      </c>
      <c r="B2181" s="2">
        <v>106</v>
      </c>
      <c r="C2181" s="2">
        <v>64955956</v>
      </c>
      <c r="D2181" s="2" t="s">
        <v>891</v>
      </c>
      <c r="E2181" s="2" t="s">
        <v>3766</v>
      </c>
      <c r="F2181" s="2" t="s">
        <v>14</v>
      </c>
      <c r="G2181" s="2" t="s">
        <v>15</v>
      </c>
      <c r="H2181" s="2">
        <v>18000000</v>
      </c>
      <c r="I2181" s="2">
        <v>5.7</v>
      </c>
      <c r="J2181" s="2">
        <f t="shared" si="16"/>
        <v>46955956</v>
      </c>
      <c r="K2181" s="2">
        <f t="shared" si="17"/>
        <v>-2.0194419868134021E-2</v>
      </c>
      <c r="L2181" s="2" t="str">
        <f>IF(ISNUMBER(SEARCH("|",IMDB_Movies!$D2181)),LEFT(IMDB_Movies!$D2181,SEARCH("|",IMDB_Movies!$D2181)-1),IMDB_Movies!$D2181)</f>
        <v>Comedy</v>
      </c>
      <c r="V2181" s="2"/>
      <c r="W2181" s="2"/>
    </row>
    <row r="2182" spans="1:23" ht="12.5" x14ac:dyDescent="0.25">
      <c r="A2182" s="2" t="s">
        <v>3767</v>
      </c>
      <c r="B2182" s="2">
        <v>98</v>
      </c>
      <c r="C2182" s="2">
        <v>60057639</v>
      </c>
      <c r="D2182" s="2" t="s">
        <v>3003</v>
      </c>
      <c r="E2182" s="2" t="s">
        <v>3768</v>
      </c>
      <c r="F2182" s="2" t="s">
        <v>14</v>
      </c>
      <c r="G2182" s="2" t="s">
        <v>15</v>
      </c>
      <c r="H2182" s="2">
        <v>18000000</v>
      </c>
      <c r="I2182" s="2">
        <v>7.1</v>
      </c>
      <c r="J2182" s="2">
        <f t="shared" si="16"/>
        <v>42057639</v>
      </c>
      <c r="K2182" s="2">
        <f t="shared" si="17"/>
        <v>-2.0191868920932759E-2</v>
      </c>
      <c r="L2182" s="2" t="str">
        <f>IF(ISNUMBER(SEARCH("|",IMDB_Movies!$D2182)),LEFT(IMDB_Movies!$D2182,SEARCH("|",IMDB_Movies!$D2182)-1),IMDB_Movies!$D2182)</f>
        <v>Comedy</v>
      </c>
      <c r="V2182" s="2"/>
      <c r="W2182" s="2"/>
    </row>
    <row r="2183" spans="1:23" ht="12.5" x14ac:dyDescent="0.25">
      <c r="A2183" s="2" t="s">
        <v>708</v>
      </c>
      <c r="B2183" s="2">
        <v>68</v>
      </c>
      <c r="C2183" s="2">
        <v>53868030</v>
      </c>
      <c r="D2183" s="2" t="s">
        <v>375</v>
      </c>
      <c r="E2183" s="2" t="s">
        <v>3769</v>
      </c>
      <c r="F2183" s="2" t="s">
        <v>14</v>
      </c>
      <c r="G2183" s="2" t="s">
        <v>15</v>
      </c>
      <c r="H2183" s="2">
        <v>17000000</v>
      </c>
      <c r="I2183" s="2">
        <v>7</v>
      </c>
      <c r="J2183" s="2">
        <f t="shared" si="16"/>
        <v>36868030</v>
      </c>
      <c r="K2183" s="2">
        <f t="shared" si="17"/>
        <v>-2.0188547521527041E-2</v>
      </c>
      <c r="L2183" s="2" t="str">
        <f>IF(ISNUMBER(SEARCH("|",IMDB_Movies!$D2183)),LEFT(IMDB_Movies!$D2183,SEARCH("|",IMDB_Movies!$D2183)-1),IMDB_Movies!$D2183)</f>
        <v>Comedy</v>
      </c>
      <c r="V2183" s="2"/>
      <c r="W2183" s="2"/>
    </row>
    <row r="2184" spans="1:23" ht="12.5" x14ac:dyDescent="0.25">
      <c r="A2184" s="2" t="s">
        <v>2369</v>
      </c>
      <c r="B2184" s="2">
        <v>94</v>
      </c>
      <c r="C2184" s="2">
        <v>59573085</v>
      </c>
      <c r="D2184" s="2" t="s">
        <v>955</v>
      </c>
      <c r="E2184" s="2" t="s">
        <v>3770</v>
      </c>
      <c r="F2184" s="2" t="s">
        <v>14</v>
      </c>
      <c r="G2184" s="2" t="s">
        <v>15</v>
      </c>
      <c r="H2184" s="2">
        <v>18000000</v>
      </c>
      <c r="I2184" s="2">
        <v>6.1</v>
      </c>
      <c r="J2184" s="2">
        <f t="shared" si="16"/>
        <v>41573085</v>
      </c>
      <c r="K2184" s="2">
        <f t="shared" si="17"/>
        <v>-2.0182757483770779E-2</v>
      </c>
      <c r="L2184" s="2" t="str">
        <f>IF(ISNUMBER(SEARCH("|",IMDB_Movies!$D2184)),LEFT(IMDB_Movies!$D2184,SEARCH("|",IMDB_Movies!$D2184)-1),IMDB_Movies!$D2184)</f>
        <v>Comedy</v>
      </c>
      <c r="V2184" s="2"/>
      <c r="W2184" s="2"/>
    </row>
    <row r="2185" spans="1:23" ht="12.5" x14ac:dyDescent="0.25">
      <c r="A2185" s="2" t="s">
        <v>346</v>
      </c>
      <c r="B2185" s="2">
        <v>99</v>
      </c>
      <c r="C2185" s="2">
        <v>52691009</v>
      </c>
      <c r="D2185" s="2" t="s">
        <v>1058</v>
      </c>
      <c r="E2185" s="2" t="s">
        <v>3771</v>
      </c>
      <c r="F2185" s="2" t="s">
        <v>14</v>
      </c>
      <c r="G2185" s="2" t="s">
        <v>15</v>
      </c>
      <c r="H2185" s="2">
        <v>21000000</v>
      </c>
      <c r="I2185" s="2">
        <v>6.6</v>
      </c>
      <c r="J2185" s="2">
        <f t="shared" si="16"/>
        <v>31691009</v>
      </c>
      <c r="K2185" s="2">
        <f t="shared" si="17"/>
        <v>-2.0179363478122266E-2</v>
      </c>
      <c r="L2185" s="2" t="str">
        <f>IF(ISNUMBER(SEARCH("|",IMDB_Movies!$D2185)),LEFT(IMDB_Movies!$D2185,SEARCH("|",IMDB_Movies!$D2185)-1),IMDB_Movies!$D2185)</f>
        <v>Comedy</v>
      </c>
      <c r="V2185" s="2"/>
      <c r="W2185" s="2"/>
    </row>
    <row r="2186" spans="1:23" ht="12.5" x14ac:dyDescent="0.25">
      <c r="A2186" s="2" t="s">
        <v>477</v>
      </c>
      <c r="B2186" s="2">
        <v>107</v>
      </c>
      <c r="C2186" s="2">
        <v>59735548</v>
      </c>
      <c r="D2186" s="2" t="s">
        <v>1436</v>
      </c>
      <c r="E2186" s="2" t="s">
        <v>3772</v>
      </c>
      <c r="F2186" s="2" t="s">
        <v>14</v>
      </c>
      <c r="G2186" s="2" t="s">
        <v>15</v>
      </c>
      <c r="H2186" s="2">
        <v>15000000</v>
      </c>
      <c r="I2186" s="2">
        <v>7.8</v>
      </c>
      <c r="J2186" s="2">
        <f t="shared" si="16"/>
        <v>44735548</v>
      </c>
      <c r="K2186" s="2">
        <f t="shared" si="17"/>
        <v>-2.0180740828557409E-2</v>
      </c>
      <c r="L2186" s="2" t="str">
        <f>IF(ISNUMBER(SEARCH("|",IMDB_Movies!$D2186)),LEFT(IMDB_Movies!$D2186,SEARCH("|",IMDB_Movies!$D2186)-1),IMDB_Movies!$D2186)</f>
        <v>Action</v>
      </c>
      <c r="V2186" s="2"/>
      <c r="W2186" s="2"/>
    </row>
    <row r="2187" spans="1:23" ht="12.5" x14ac:dyDescent="0.25">
      <c r="A2187" s="2" t="s">
        <v>1687</v>
      </c>
      <c r="B2187" s="2">
        <v>180</v>
      </c>
      <c r="C2187" s="2">
        <v>51600000</v>
      </c>
      <c r="D2187" s="2" t="s">
        <v>3773</v>
      </c>
      <c r="E2187" s="2" t="s">
        <v>3774</v>
      </c>
      <c r="F2187" s="2" t="s">
        <v>14</v>
      </c>
      <c r="G2187" s="2" t="s">
        <v>15</v>
      </c>
      <c r="H2187" s="2">
        <v>18000000</v>
      </c>
      <c r="I2187" s="2">
        <v>8.3000000000000007</v>
      </c>
      <c r="J2187" s="2">
        <f t="shared" si="16"/>
        <v>33600000</v>
      </c>
      <c r="K2187" s="2">
        <f t="shared" si="17"/>
        <v>-2.017080966492011E-2</v>
      </c>
      <c r="L2187" s="2" t="str">
        <f>IF(ISNUMBER(SEARCH("|",IMDB_Movies!$D2187)),LEFT(IMDB_Movies!$D2187,SEARCH("|",IMDB_Movies!$D2187)-1),IMDB_Movies!$D2187)</f>
        <v>Biography</v>
      </c>
      <c r="V2187" s="2"/>
      <c r="W2187" s="2"/>
    </row>
    <row r="2188" spans="1:23" ht="12.5" x14ac:dyDescent="0.25">
      <c r="A2188" s="2" t="s">
        <v>3775</v>
      </c>
      <c r="B2188" s="2">
        <v>89</v>
      </c>
      <c r="C2188" s="2">
        <v>43818159</v>
      </c>
      <c r="D2188" s="2" t="s">
        <v>2116</v>
      </c>
      <c r="E2188" s="2" t="s">
        <v>3776</v>
      </c>
      <c r="F2188" s="2" t="s">
        <v>14</v>
      </c>
      <c r="G2188" s="2" t="s">
        <v>15</v>
      </c>
      <c r="H2188" s="2">
        <v>20000000</v>
      </c>
      <c r="I2188" s="2">
        <v>3.9</v>
      </c>
      <c r="J2188" s="2">
        <f t="shared" si="16"/>
        <v>23818159</v>
      </c>
      <c r="K2188" s="2">
        <f t="shared" si="17"/>
        <v>-2.0166733382109708E-2</v>
      </c>
      <c r="L2188" s="2" t="str">
        <f>IF(ISNUMBER(SEARCH("|",IMDB_Movies!$D2188)),LEFT(IMDB_Movies!$D2188,SEARCH("|",IMDB_Movies!$D2188)-1),IMDB_Movies!$D2188)</f>
        <v>Horror</v>
      </c>
      <c r="V2188" s="2"/>
      <c r="W2188" s="2"/>
    </row>
    <row r="2189" spans="1:23" ht="12.5" x14ac:dyDescent="0.25">
      <c r="A2189" s="2" t="s">
        <v>735</v>
      </c>
      <c r="B2189" s="2">
        <v>97</v>
      </c>
      <c r="C2189" s="2">
        <v>86049418</v>
      </c>
      <c r="D2189" s="2" t="s">
        <v>709</v>
      </c>
      <c r="E2189" s="2" t="s">
        <v>3777</v>
      </c>
      <c r="F2189" s="2" t="s">
        <v>14</v>
      </c>
      <c r="G2189" s="2" t="s">
        <v>15</v>
      </c>
      <c r="H2189" s="2">
        <v>17000000</v>
      </c>
      <c r="I2189" s="2">
        <v>7</v>
      </c>
      <c r="J2189" s="2">
        <f t="shared" si="16"/>
        <v>69049418</v>
      </c>
      <c r="K2189" s="2">
        <f t="shared" si="17"/>
        <v>-2.016528406502557E-2</v>
      </c>
      <c r="L2189" s="2" t="str">
        <f>IF(ISNUMBER(SEARCH("|",IMDB_Movies!$D2189)),LEFT(IMDB_Movies!$D2189,SEARCH("|",IMDB_Movies!$D2189)-1),IMDB_Movies!$D2189)</f>
        <v>Comedy</v>
      </c>
      <c r="V2189" s="2"/>
      <c r="W2189" s="2"/>
    </row>
    <row r="2190" spans="1:23" ht="12.5" x14ac:dyDescent="0.25">
      <c r="A2190" s="2" t="s">
        <v>3778</v>
      </c>
      <c r="B2190" s="2">
        <v>113</v>
      </c>
      <c r="C2190" s="2">
        <v>43601508</v>
      </c>
      <c r="D2190" s="2" t="s">
        <v>514</v>
      </c>
      <c r="E2190" s="2" t="s">
        <v>3779</v>
      </c>
      <c r="F2190" s="2" t="s">
        <v>14</v>
      </c>
      <c r="G2190" s="2" t="s">
        <v>15</v>
      </c>
      <c r="H2190" s="2">
        <v>18000000</v>
      </c>
      <c r="I2190" s="2">
        <v>6.7</v>
      </c>
      <c r="J2190" s="2">
        <f t="shared" si="16"/>
        <v>25601508</v>
      </c>
      <c r="K2190" s="2">
        <f t="shared" si="17"/>
        <v>-2.0165358385796254E-2</v>
      </c>
      <c r="L2190" s="2" t="str">
        <f>IF(ISNUMBER(SEARCH("|",IMDB_Movies!$D2190)),LEFT(IMDB_Movies!$D2190,SEARCH("|",IMDB_Movies!$D2190)-1),IMDB_Movies!$D2190)</f>
        <v>Comedy</v>
      </c>
      <c r="V2190" s="2"/>
      <c r="W2190" s="2"/>
    </row>
    <row r="2191" spans="1:23" ht="12.5" x14ac:dyDescent="0.25">
      <c r="A2191" s="2" t="s">
        <v>3743</v>
      </c>
      <c r="B2191" s="2">
        <v>131</v>
      </c>
      <c r="C2191" s="2">
        <v>41300105</v>
      </c>
      <c r="D2191" s="2" t="s">
        <v>2665</v>
      </c>
      <c r="E2191" s="2" t="s">
        <v>3780</v>
      </c>
      <c r="F2191" s="2" t="s">
        <v>14</v>
      </c>
      <c r="G2191" s="2" t="s">
        <v>22</v>
      </c>
      <c r="H2191" s="2">
        <v>19800000</v>
      </c>
      <c r="I2191" s="2">
        <v>7.3</v>
      </c>
      <c r="J2191" s="2">
        <f t="shared" si="16"/>
        <v>21500105</v>
      </c>
      <c r="K2191" s="2">
        <f t="shared" si="17"/>
        <v>-2.0161276348867056E-2</v>
      </c>
      <c r="L2191" s="2" t="str">
        <f>IF(ISNUMBER(SEARCH("|",IMDB_Movies!$D2191)),LEFT(IMDB_Movies!$D2191,SEARCH("|",IMDB_Movies!$D2191)-1),IMDB_Movies!$D2191)</f>
        <v>Drama</v>
      </c>
      <c r="V2191" s="2"/>
      <c r="W2191" s="2"/>
    </row>
    <row r="2192" spans="1:23" ht="12.5" x14ac:dyDescent="0.25">
      <c r="A2192" s="2" t="s">
        <v>1648</v>
      </c>
      <c r="B2192" s="2">
        <v>103</v>
      </c>
      <c r="C2192" s="2">
        <v>41382841</v>
      </c>
      <c r="D2192" s="2" t="s">
        <v>881</v>
      </c>
      <c r="E2192" s="2" t="s">
        <v>3781</v>
      </c>
      <c r="F2192" s="2" t="s">
        <v>14</v>
      </c>
      <c r="G2192" s="2" t="s">
        <v>15</v>
      </c>
      <c r="H2192" s="2">
        <v>18000000</v>
      </c>
      <c r="I2192" s="2">
        <v>6.3</v>
      </c>
      <c r="J2192" s="2">
        <f t="shared" si="16"/>
        <v>23382841</v>
      </c>
      <c r="K2192" s="2">
        <f t="shared" si="17"/>
        <v>-2.0159446060192463E-2</v>
      </c>
      <c r="L2192" s="2" t="str">
        <f>IF(ISNUMBER(SEARCH("|",IMDB_Movies!$D2192)),LEFT(IMDB_Movies!$D2192,SEARCH("|",IMDB_Movies!$D2192)-1),IMDB_Movies!$D2192)</f>
        <v>Comedy</v>
      </c>
      <c r="V2192" s="2"/>
      <c r="W2192" s="2"/>
    </row>
    <row r="2193" spans="1:23" ht="12.5" x14ac:dyDescent="0.25">
      <c r="A2193" s="2" t="s">
        <v>416</v>
      </c>
      <c r="B2193" s="2">
        <v>119</v>
      </c>
      <c r="C2193" s="2">
        <v>42335698</v>
      </c>
      <c r="D2193" s="2" t="s">
        <v>514</v>
      </c>
      <c r="E2193" s="2" t="s">
        <v>3782</v>
      </c>
      <c r="F2193" s="2" t="s">
        <v>14</v>
      </c>
      <c r="G2193" s="2" t="s">
        <v>15</v>
      </c>
      <c r="H2193" s="2">
        <v>18000000</v>
      </c>
      <c r="I2193" s="2">
        <v>7.8</v>
      </c>
      <c r="J2193" s="2">
        <f t="shared" si="16"/>
        <v>24335698</v>
      </c>
      <c r="K2193" s="2">
        <f t="shared" si="17"/>
        <v>-2.0155477909869088E-2</v>
      </c>
      <c r="L2193" s="2" t="str">
        <f>IF(ISNUMBER(SEARCH("|",IMDB_Movies!$D2193)),LEFT(IMDB_Movies!$D2193,SEARCH("|",IMDB_Movies!$D2193)-1),IMDB_Movies!$D2193)</f>
        <v>Comedy</v>
      </c>
      <c r="V2193" s="2"/>
      <c r="W2193" s="2"/>
    </row>
    <row r="2194" spans="1:23" ht="12.5" x14ac:dyDescent="0.25">
      <c r="A2194" s="2" t="s">
        <v>2732</v>
      </c>
      <c r="B2194" s="2">
        <v>98</v>
      </c>
      <c r="C2194" s="2">
        <v>33404871</v>
      </c>
      <c r="D2194" s="2" t="s">
        <v>1180</v>
      </c>
      <c r="E2194" s="2" t="s">
        <v>3783</v>
      </c>
      <c r="F2194" s="2" t="s">
        <v>14</v>
      </c>
      <c r="G2194" s="2" t="s">
        <v>15</v>
      </c>
      <c r="H2194" s="2">
        <v>18000000</v>
      </c>
      <c r="I2194" s="2">
        <v>7.3</v>
      </c>
      <c r="J2194" s="2">
        <f t="shared" si="16"/>
        <v>15404871</v>
      </c>
      <c r="K2194" s="2">
        <f t="shared" si="17"/>
        <v>-2.0151444406111097E-2</v>
      </c>
      <c r="L2194" s="2" t="str">
        <f>IF(ISNUMBER(SEARCH("|",IMDB_Movies!$D2194)),LEFT(IMDB_Movies!$D2194,SEARCH("|",IMDB_Movies!$D2194)-1),IMDB_Movies!$D2194)</f>
        <v>Drama</v>
      </c>
      <c r="V2194" s="2"/>
      <c r="W2194" s="2"/>
    </row>
    <row r="2195" spans="1:23" ht="12.5" x14ac:dyDescent="0.25">
      <c r="A2195" s="2" t="s">
        <v>424</v>
      </c>
      <c r="B2195" s="2">
        <v>111</v>
      </c>
      <c r="C2195" s="2">
        <v>31471430</v>
      </c>
      <c r="D2195" s="2" t="s">
        <v>983</v>
      </c>
      <c r="E2195" s="2" t="s">
        <v>3784</v>
      </c>
      <c r="F2195" s="2" t="s">
        <v>14</v>
      </c>
      <c r="G2195" s="2" t="s">
        <v>15</v>
      </c>
      <c r="H2195" s="2">
        <v>15000000</v>
      </c>
      <c r="I2195" s="2">
        <v>7.6</v>
      </c>
      <c r="J2195" s="2">
        <f t="shared" si="16"/>
        <v>16471430</v>
      </c>
      <c r="K2195" s="2">
        <f t="shared" si="17"/>
        <v>-2.014834774576333E-2</v>
      </c>
      <c r="L2195" s="2" t="str">
        <f>IF(ISNUMBER(SEARCH("|",IMDB_Movies!$D2195)),LEFT(IMDB_Movies!$D2195,SEARCH("|",IMDB_Movies!$D2195)-1),IMDB_Movies!$D2195)</f>
        <v>Drama</v>
      </c>
      <c r="V2195" s="2"/>
      <c r="W2195" s="2"/>
    </row>
    <row r="2196" spans="1:23" ht="12.5" x14ac:dyDescent="0.25">
      <c r="A2196" s="2" t="s">
        <v>3785</v>
      </c>
      <c r="B2196" s="2">
        <v>94</v>
      </c>
      <c r="C2196" s="2">
        <v>30222640</v>
      </c>
      <c r="D2196" s="2" t="s">
        <v>2586</v>
      </c>
      <c r="E2196" s="2" t="s">
        <v>3786</v>
      </c>
      <c r="F2196" s="2" t="s">
        <v>14</v>
      </c>
      <c r="G2196" s="2" t="s">
        <v>15</v>
      </c>
      <c r="H2196" s="2">
        <v>25000000</v>
      </c>
      <c r="I2196" s="2">
        <v>5.3</v>
      </c>
      <c r="J2196" s="2">
        <f t="shared" si="16"/>
        <v>5222640</v>
      </c>
      <c r="K2196" s="2">
        <f t="shared" si="17"/>
        <v>-2.0143630156490424E-2</v>
      </c>
      <c r="L2196" s="2" t="str">
        <f>IF(ISNUMBER(SEARCH("|",IMDB_Movies!$D2196)),LEFT(IMDB_Movies!$D2196,SEARCH("|",IMDB_Movies!$D2196)-1),IMDB_Movies!$D2196)</f>
        <v>Drama</v>
      </c>
      <c r="V2196" s="2"/>
      <c r="W2196" s="2"/>
    </row>
    <row r="2197" spans="1:23" ht="12.5" x14ac:dyDescent="0.25">
      <c r="A2197" s="2" t="s">
        <v>3787</v>
      </c>
      <c r="B2197" s="2">
        <v>81</v>
      </c>
      <c r="C2197" s="2">
        <v>26906039</v>
      </c>
      <c r="D2197" s="2" t="s">
        <v>768</v>
      </c>
      <c r="E2197" s="2" t="s">
        <v>3788</v>
      </c>
      <c r="F2197" s="2" t="s">
        <v>14</v>
      </c>
      <c r="G2197" s="2" t="s">
        <v>15</v>
      </c>
      <c r="H2197" s="2">
        <v>18000000</v>
      </c>
      <c r="I2197" s="2">
        <v>5.3</v>
      </c>
      <c r="J2197" s="2">
        <f t="shared" si="16"/>
        <v>8906039</v>
      </c>
      <c r="K2197" s="2">
        <f t="shared" si="17"/>
        <v>-2.0145106388687332E-2</v>
      </c>
      <c r="L2197" s="2" t="str">
        <f>IF(ISNUMBER(SEARCH("|",IMDB_Movies!$D2197)),LEFT(IMDB_Movies!$D2197,SEARCH("|",IMDB_Movies!$D2197)-1),IMDB_Movies!$D2197)</f>
        <v>Action</v>
      </c>
      <c r="V2197" s="2"/>
      <c r="W2197" s="2"/>
    </row>
    <row r="2198" spans="1:23" ht="12.5" x14ac:dyDescent="0.25">
      <c r="A2198" s="2" t="s">
        <v>1818</v>
      </c>
      <c r="B2198" s="2">
        <v>89</v>
      </c>
      <c r="C2198" s="2">
        <v>21378000</v>
      </c>
      <c r="D2198" s="2" t="s">
        <v>2465</v>
      </c>
      <c r="E2198" s="2" t="s">
        <v>3789</v>
      </c>
      <c r="F2198" s="2" t="s">
        <v>14</v>
      </c>
      <c r="G2198" s="2" t="s">
        <v>15</v>
      </c>
      <c r="H2198" s="2">
        <v>1000000</v>
      </c>
      <c r="I2198" s="2">
        <v>6.8</v>
      </c>
      <c r="J2198" s="2">
        <f t="shared" si="16"/>
        <v>20378000</v>
      </c>
      <c r="K2198" s="2">
        <f t="shared" si="17"/>
        <v>-2.014322563821673E-2</v>
      </c>
      <c r="L2198" s="2" t="str">
        <f>IF(ISNUMBER(SEARCH("|",IMDB_Movies!$D2198)),LEFT(IMDB_Movies!$D2198,SEARCH("|",IMDB_Movies!$D2198)-1),IMDB_Movies!$D2198)</f>
        <v>Fantasy</v>
      </c>
      <c r="V2198" s="2"/>
      <c r="W2198" s="2"/>
    </row>
    <row r="2199" spans="1:23" ht="12.5" x14ac:dyDescent="0.25">
      <c r="A2199" s="2" t="s">
        <v>3790</v>
      </c>
      <c r="B2199" s="2">
        <v>106</v>
      </c>
      <c r="C2199" s="2">
        <v>43853424</v>
      </c>
      <c r="D2199" s="2" t="s">
        <v>3791</v>
      </c>
      <c r="E2199" s="2" t="s">
        <v>3792</v>
      </c>
      <c r="F2199" s="2" t="s">
        <v>14</v>
      </c>
      <c r="G2199" s="2" t="s">
        <v>15</v>
      </c>
      <c r="H2199" s="2">
        <v>18000000</v>
      </c>
      <c r="I2199" s="2">
        <v>7.1</v>
      </c>
      <c r="J2199" s="2">
        <f t="shared" si="16"/>
        <v>25853424</v>
      </c>
      <c r="K2199" s="2">
        <f t="shared" si="17"/>
        <v>-2.0141218017124894E-2</v>
      </c>
      <c r="L2199" s="2" t="str">
        <f>IF(ISNUMBER(SEARCH("|",IMDB_Movies!$D2199)),LEFT(IMDB_Movies!$D2199,SEARCH("|",IMDB_Movies!$D2199)-1),IMDB_Movies!$D2199)</f>
        <v>Biography</v>
      </c>
      <c r="V2199" s="2"/>
      <c r="W2199" s="2"/>
    </row>
    <row r="2200" spans="1:23" ht="12.5" x14ac:dyDescent="0.25">
      <c r="A2200" s="2" t="s">
        <v>3793</v>
      </c>
      <c r="B2200" s="2">
        <v>86</v>
      </c>
      <c r="C2200" s="2">
        <v>23993605</v>
      </c>
      <c r="D2200" s="2" t="s">
        <v>3003</v>
      </c>
      <c r="E2200" s="2" t="s">
        <v>3794</v>
      </c>
      <c r="F2200" s="2" t="s">
        <v>14</v>
      </c>
      <c r="G2200" s="2" t="s">
        <v>15</v>
      </c>
      <c r="H2200" s="2">
        <v>18000000</v>
      </c>
      <c r="I2200" s="2">
        <v>5.8</v>
      </c>
      <c r="J2200" s="2">
        <f t="shared" si="16"/>
        <v>5993605</v>
      </c>
      <c r="K2200" s="2">
        <f t="shared" si="17"/>
        <v>-2.0137067138203645E-2</v>
      </c>
      <c r="L2200" s="2" t="str">
        <f>IF(ISNUMBER(SEARCH("|",IMDB_Movies!$D2200)),LEFT(IMDB_Movies!$D2200,SEARCH("|",IMDB_Movies!$D2200)-1),IMDB_Movies!$D2200)</f>
        <v>Comedy</v>
      </c>
      <c r="V2200" s="2"/>
      <c r="W2200" s="2"/>
    </row>
    <row r="2201" spans="1:23" ht="12.5" x14ac:dyDescent="0.25">
      <c r="A2201" s="2" t="s">
        <v>3145</v>
      </c>
      <c r="B2201" s="2">
        <v>103</v>
      </c>
      <c r="C2201" s="2">
        <v>26400000</v>
      </c>
      <c r="D2201" s="2" t="s">
        <v>17</v>
      </c>
      <c r="E2201" s="2" t="s">
        <v>3795</v>
      </c>
      <c r="F2201" s="2" t="s">
        <v>14</v>
      </c>
      <c r="G2201" s="2" t="s">
        <v>15</v>
      </c>
      <c r="H2201" s="2">
        <v>18000000</v>
      </c>
      <c r="I2201" s="2">
        <v>5.8</v>
      </c>
      <c r="J2201" s="2">
        <f t="shared" si="16"/>
        <v>8400000</v>
      </c>
      <c r="K2201" s="2">
        <f t="shared" si="17"/>
        <v>-2.0135872379937376E-2</v>
      </c>
      <c r="L2201" s="2" t="str">
        <f>IF(ISNUMBER(SEARCH("|",IMDB_Movies!$D2201)),LEFT(IMDB_Movies!$D2201,SEARCH("|",IMDB_Movies!$D2201)-1),IMDB_Movies!$D2201)</f>
        <v>Action</v>
      </c>
      <c r="V2201" s="2"/>
      <c r="W2201" s="2"/>
    </row>
    <row r="2202" spans="1:23" ht="12.5" x14ac:dyDescent="0.25">
      <c r="A2202" s="2" t="s">
        <v>191</v>
      </c>
      <c r="B2202" s="2">
        <v>121</v>
      </c>
      <c r="C2202" s="2">
        <v>45250</v>
      </c>
      <c r="D2202" s="2" t="s">
        <v>585</v>
      </c>
      <c r="E2202" s="2" t="s">
        <v>3796</v>
      </c>
      <c r="F2202" s="2" t="s">
        <v>14</v>
      </c>
      <c r="G2202" s="2" t="s">
        <v>15</v>
      </c>
      <c r="H2202" s="2">
        <v>18000000</v>
      </c>
      <c r="I2202" s="2">
        <v>8.3000000000000007</v>
      </c>
      <c r="J2202" s="2">
        <f t="shared" si="16"/>
        <v>-17954750</v>
      </c>
      <c r="K2202" s="2">
        <f t="shared" si="17"/>
        <v>-2.0134091337738188E-2</v>
      </c>
      <c r="L2202" s="2" t="str">
        <f>IF(ISNUMBER(SEARCH("|",IMDB_Movies!$D2202)),LEFT(IMDB_Movies!$D2202,SEARCH("|",IMDB_Movies!$D2202)-1),IMDB_Movies!$D2202)</f>
        <v>Biography</v>
      </c>
      <c r="V2202" s="2"/>
      <c r="W2202" s="2"/>
    </row>
    <row r="2203" spans="1:23" ht="12.5" x14ac:dyDescent="0.25">
      <c r="A2203" s="2" t="s">
        <v>3797</v>
      </c>
      <c r="B2203" s="2">
        <v>109</v>
      </c>
      <c r="C2203" s="2">
        <v>22927390</v>
      </c>
      <c r="D2203" s="2" t="s">
        <v>85</v>
      </c>
      <c r="E2203" s="2" t="s">
        <v>3798</v>
      </c>
      <c r="F2203" s="2" t="s">
        <v>14</v>
      </c>
      <c r="G2203" s="2" t="s">
        <v>15</v>
      </c>
      <c r="H2203" s="2">
        <v>18000000</v>
      </c>
      <c r="I2203" s="2">
        <v>5.6</v>
      </c>
      <c r="J2203" s="2">
        <f t="shared" si="16"/>
        <v>4927390</v>
      </c>
      <c r="K2203" s="2">
        <f t="shared" si="17"/>
        <v>-2.0142105166711888E-2</v>
      </c>
      <c r="L2203" s="2" t="str">
        <f>IF(ISNUMBER(SEARCH("|",IMDB_Movies!$D2203)),LEFT(IMDB_Movies!$D2203,SEARCH("|",IMDB_Movies!$D2203)-1),IMDB_Movies!$D2203)</f>
        <v>Drama</v>
      </c>
      <c r="V2203" s="2"/>
      <c r="W2203" s="2"/>
    </row>
    <row r="2204" spans="1:23" ht="12.5" x14ac:dyDescent="0.25">
      <c r="A2204" s="2" t="s">
        <v>1081</v>
      </c>
      <c r="B2204" s="2">
        <v>109</v>
      </c>
      <c r="C2204" s="2">
        <v>4250320</v>
      </c>
      <c r="D2204" s="2" t="s">
        <v>3799</v>
      </c>
      <c r="E2204" s="2" t="s">
        <v>3800</v>
      </c>
      <c r="F2204" s="2" t="s">
        <v>14</v>
      </c>
      <c r="G2204" s="2" t="s">
        <v>15</v>
      </c>
      <c r="H2204" s="2">
        <v>18000000</v>
      </c>
      <c r="I2204" s="2">
        <v>6.8</v>
      </c>
      <c r="J2204" s="2">
        <f t="shared" si="16"/>
        <v>-13749680</v>
      </c>
      <c r="K2204" s="2">
        <f t="shared" si="17"/>
        <v>-2.0141188739461049E-2</v>
      </c>
      <c r="L2204" s="2" t="str">
        <f>IF(ISNUMBER(SEARCH("|",IMDB_Movies!$D2204)),LEFT(IMDB_Movies!$D2204,SEARCH("|",IMDB_Movies!$D2204)-1),IMDB_Movies!$D2204)</f>
        <v>Adventure</v>
      </c>
      <c r="V2204" s="2"/>
      <c r="W2204" s="2"/>
    </row>
    <row r="2205" spans="1:23" ht="12.5" x14ac:dyDescent="0.25">
      <c r="A2205" s="2" t="s">
        <v>3801</v>
      </c>
      <c r="B2205" s="2">
        <v>123</v>
      </c>
      <c r="C2205" s="2">
        <v>22452209</v>
      </c>
      <c r="D2205" s="2" t="s">
        <v>1199</v>
      </c>
      <c r="E2205" s="2" t="s">
        <v>3802</v>
      </c>
      <c r="F2205" s="2" t="s">
        <v>14</v>
      </c>
      <c r="G2205" s="2" t="s">
        <v>15</v>
      </c>
      <c r="H2205" s="2">
        <v>18000000</v>
      </c>
      <c r="I2205" s="2">
        <v>5</v>
      </c>
      <c r="J2205" s="2">
        <f t="shared" si="16"/>
        <v>4452209</v>
      </c>
      <c r="K2205" s="2">
        <f t="shared" si="17"/>
        <v>-2.0147151009222819E-2</v>
      </c>
      <c r="L2205" s="2" t="str">
        <f>IF(ISNUMBER(SEARCH("|",IMDB_Movies!$D2205)),LEFT(IMDB_Movies!$D2205,SEARCH("|",IMDB_Movies!$D2205)-1),IMDB_Movies!$D2205)</f>
        <v>Comedy</v>
      </c>
      <c r="V2205" s="2"/>
      <c r="W2205" s="2"/>
    </row>
    <row r="2206" spans="1:23" ht="12.5" x14ac:dyDescent="0.25">
      <c r="A2206" s="2" t="s">
        <v>1796</v>
      </c>
      <c r="B2206" s="2">
        <v>94</v>
      </c>
      <c r="C2206" s="2">
        <v>18329466</v>
      </c>
      <c r="D2206" s="2" t="s">
        <v>2544</v>
      </c>
      <c r="E2206" s="2" t="s">
        <v>3803</v>
      </c>
      <c r="F2206" s="2" t="s">
        <v>14</v>
      </c>
      <c r="G2206" s="2" t="s">
        <v>15</v>
      </c>
      <c r="H2206" s="2">
        <v>18000000</v>
      </c>
      <c r="I2206" s="2">
        <v>7.6</v>
      </c>
      <c r="J2206" s="2">
        <f t="shared" si="16"/>
        <v>329466</v>
      </c>
      <c r="K2206" s="2">
        <f t="shared" si="17"/>
        <v>-2.0146364101829881E-2</v>
      </c>
      <c r="L2206" s="2" t="str">
        <f>IF(ISNUMBER(SEARCH("|",IMDB_Movies!$D2206)),LEFT(IMDB_Movies!$D2206,SEARCH("|",IMDB_Movies!$D2206)-1),IMDB_Movies!$D2206)</f>
        <v>Adventure</v>
      </c>
      <c r="V2206" s="2"/>
      <c r="W2206" s="2"/>
    </row>
    <row r="2207" spans="1:23" ht="12.5" x14ac:dyDescent="0.25">
      <c r="A2207" s="2" t="s">
        <v>2732</v>
      </c>
      <c r="B2207" s="2">
        <v>94</v>
      </c>
      <c r="C2207" s="2">
        <v>17071230</v>
      </c>
      <c r="D2207" s="2" t="s">
        <v>375</v>
      </c>
      <c r="E2207" s="2" t="s">
        <v>3804</v>
      </c>
      <c r="F2207" s="2" t="s">
        <v>14</v>
      </c>
      <c r="G2207" s="2" t="s">
        <v>15</v>
      </c>
      <c r="H2207" s="2">
        <v>18000000</v>
      </c>
      <c r="I2207" s="2">
        <v>6.7</v>
      </c>
      <c r="J2207" s="2">
        <f t="shared" si="16"/>
        <v>-928770</v>
      </c>
      <c r="K2207" s="2">
        <f t="shared" si="17"/>
        <v>-2.014679552091617E-2</v>
      </c>
      <c r="L2207" s="2" t="str">
        <f>IF(ISNUMBER(SEARCH("|",IMDB_Movies!$D2207)),LEFT(IMDB_Movies!$D2207,SEARCH("|",IMDB_Movies!$D2207)-1),IMDB_Movies!$D2207)</f>
        <v>Comedy</v>
      </c>
      <c r="V2207" s="2"/>
      <c r="W2207" s="2"/>
    </row>
    <row r="2208" spans="1:23" ht="12.5" x14ac:dyDescent="0.25">
      <c r="A2208" s="2" t="s">
        <v>3805</v>
      </c>
      <c r="B2208" s="2">
        <v>115</v>
      </c>
      <c r="C2208" s="2">
        <v>17174870</v>
      </c>
      <c r="D2208" s="2" t="s">
        <v>2586</v>
      </c>
      <c r="E2208" s="2" t="s">
        <v>3806</v>
      </c>
      <c r="F2208" s="2" t="s">
        <v>14</v>
      </c>
      <c r="G2208" s="2" t="s">
        <v>15</v>
      </c>
      <c r="H2208" s="2">
        <v>18000000</v>
      </c>
      <c r="I2208" s="2">
        <v>6.7</v>
      </c>
      <c r="J2208" s="2">
        <f t="shared" si="16"/>
        <v>-825130</v>
      </c>
      <c r="K2208" s="2">
        <f t="shared" si="17"/>
        <v>-2.0147636250777715E-2</v>
      </c>
      <c r="L2208" s="2" t="str">
        <f>IF(ISNUMBER(SEARCH("|",IMDB_Movies!$D2208)),LEFT(IMDB_Movies!$D2208,SEARCH("|",IMDB_Movies!$D2208)-1),IMDB_Movies!$D2208)</f>
        <v>Drama</v>
      </c>
      <c r="V2208" s="2"/>
      <c r="W2208" s="2"/>
    </row>
    <row r="2209" spans="1:23" ht="12.5" x14ac:dyDescent="0.25">
      <c r="A2209" s="2" t="s">
        <v>3357</v>
      </c>
      <c r="B2209" s="2">
        <v>107</v>
      </c>
      <c r="C2209" s="2">
        <v>26284475</v>
      </c>
      <c r="D2209" s="2" t="s">
        <v>709</v>
      </c>
      <c r="E2209" s="2" t="s">
        <v>3807</v>
      </c>
      <c r="F2209" s="2" t="s">
        <v>14</v>
      </c>
      <c r="G2209" s="2" t="s">
        <v>15</v>
      </c>
      <c r="H2209" s="2">
        <v>17000000</v>
      </c>
      <c r="I2209" s="2">
        <v>5.7</v>
      </c>
      <c r="J2209" s="2">
        <f t="shared" si="16"/>
        <v>9284475</v>
      </c>
      <c r="K2209" s="2">
        <f t="shared" si="17"/>
        <v>-2.0148443714262349E-2</v>
      </c>
      <c r="L2209" s="2" t="str">
        <f>IF(ISNUMBER(SEARCH("|",IMDB_Movies!$D2209)),LEFT(IMDB_Movies!$D2209,SEARCH("|",IMDB_Movies!$D2209)-1),IMDB_Movies!$D2209)</f>
        <v>Comedy</v>
      </c>
      <c r="V2209" s="2"/>
      <c r="W2209" s="2"/>
    </row>
    <row r="2210" spans="1:23" ht="12.5" x14ac:dyDescent="0.25">
      <c r="A2210" s="2" t="s">
        <v>3808</v>
      </c>
      <c r="B2210" s="2">
        <v>91</v>
      </c>
      <c r="C2210" s="2">
        <v>16702864</v>
      </c>
      <c r="D2210" s="2" t="s">
        <v>375</v>
      </c>
      <c r="E2210" s="2" t="s">
        <v>3809</v>
      </c>
      <c r="F2210" s="2" t="s">
        <v>14</v>
      </c>
      <c r="G2210" s="2" t="s">
        <v>15</v>
      </c>
      <c r="H2210" s="2">
        <v>18000000</v>
      </c>
      <c r="I2210" s="2">
        <v>5.2</v>
      </c>
      <c r="J2210" s="2">
        <f t="shared" si="16"/>
        <v>-1297136</v>
      </c>
      <c r="K2210" s="2">
        <f t="shared" si="17"/>
        <v>-2.0146322746330162E-2</v>
      </c>
      <c r="L2210" s="2" t="str">
        <f>IF(ISNUMBER(SEARCH("|",IMDB_Movies!$D2210)),LEFT(IMDB_Movies!$D2210,SEARCH("|",IMDB_Movies!$D2210)-1),IMDB_Movies!$D2210)</f>
        <v>Comedy</v>
      </c>
      <c r="V2210" s="2"/>
      <c r="W2210" s="2"/>
    </row>
    <row r="2211" spans="1:23" ht="12.5" x14ac:dyDescent="0.25">
      <c r="A2211" s="2" t="s">
        <v>2237</v>
      </c>
      <c r="B2211" s="2">
        <v>125</v>
      </c>
      <c r="C2211" s="2">
        <v>15561627</v>
      </c>
      <c r="D2211" s="2" t="s">
        <v>1180</v>
      </c>
      <c r="E2211" s="2" t="s">
        <v>3810</v>
      </c>
      <c r="F2211" s="2" t="s">
        <v>14</v>
      </c>
      <c r="G2211" s="2" t="s">
        <v>15</v>
      </c>
      <c r="H2211" s="2">
        <v>18000000</v>
      </c>
      <c r="I2211" s="2">
        <v>7.5</v>
      </c>
      <c r="J2211" s="2">
        <f t="shared" si="16"/>
        <v>-2438373</v>
      </c>
      <c r="K2211" s="2">
        <f t="shared" si="17"/>
        <v>-2.0147287935416151E-2</v>
      </c>
      <c r="L2211" s="2" t="str">
        <f>IF(ISNUMBER(SEARCH("|",IMDB_Movies!$D2211)),LEFT(IMDB_Movies!$D2211,SEARCH("|",IMDB_Movies!$D2211)-1),IMDB_Movies!$D2211)</f>
        <v>Drama</v>
      </c>
      <c r="V2211" s="2"/>
      <c r="W2211" s="2"/>
    </row>
    <row r="2212" spans="1:23" ht="12.5" x14ac:dyDescent="0.25">
      <c r="A2212" s="2" t="s">
        <v>1796</v>
      </c>
      <c r="B2212" s="2">
        <v>122</v>
      </c>
      <c r="C2212" s="2">
        <v>17750583</v>
      </c>
      <c r="D2212" s="2" t="s">
        <v>555</v>
      </c>
      <c r="E2212" s="2" t="s">
        <v>3811</v>
      </c>
      <c r="F2212" s="2" t="s">
        <v>14</v>
      </c>
      <c r="G2212" s="2" t="s">
        <v>22</v>
      </c>
      <c r="H2212" s="2">
        <v>30000000</v>
      </c>
      <c r="I2212" s="2">
        <v>7.2</v>
      </c>
      <c r="J2212" s="2">
        <f t="shared" si="16"/>
        <v>-12249417</v>
      </c>
      <c r="K2212" s="2">
        <f t="shared" si="17"/>
        <v>-2.0148645282907326E-2</v>
      </c>
      <c r="L2212" s="2" t="str">
        <f>IF(ISNUMBER(SEARCH("|",IMDB_Movies!$D2212)),LEFT(IMDB_Movies!$D2212,SEARCH("|",IMDB_Movies!$D2212)-1),IMDB_Movies!$D2212)</f>
        <v>Biography</v>
      </c>
      <c r="V2212" s="2"/>
      <c r="W2212" s="2"/>
    </row>
    <row r="2213" spans="1:23" ht="12.5" x14ac:dyDescent="0.25">
      <c r="A2213" s="2" t="s">
        <v>458</v>
      </c>
      <c r="B2213" s="2">
        <v>102</v>
      </c>
      <c r="C2213" s="2">
        <v>14793904</v>
      </c>
      <c r="D2213" s="2" t="s">
        <v>600</v>
      </c>
      <c r="E2213" s="2" t="s">
        <v>3812</v>
      </c>
      <c r="F2213" s="2" t="s">
        <v>14</v>
      </c>
      <c r="G2213" s="2" t="s">
        <v>104</v>
      </c>
      <c r="H2213" s="2">
        <v>18000000</v>
      </c>
      <c r="I2213" s="2">
        <v>5.3</v>
      </c>
      <c r="J2213" s="2">
        <f t="shared" si="16"/>
        <v>-3206096</v>
      </c>
      <c r="K2213" s="2">
        <f t="shared" si="17"/>
        <v>-2.0147967983458595E-2</v>
      </c>
      <c r="L2213" s="2" t="str">
        <f>IF(ISNUMBER(SEARCH("|",IMDB_Movies!$D2213)),LEFT(IMDB_Movies!$D2213,SEARCH("|",IMDB_Movies!$D2213)-1),IMDB_Movies!$D2213)</f>
        <v>Comedy</v>
      </c>
      <c r="V2213" s="2"/>
      <c r="W2213" s="2"/>
    </row>
    <row r="2214" spans="1:23" ht="12.5" x14ac:dyDescent="0.25">
      <c r="A2214" s="2" t="s">
        <v>2932</v>
      </c>
      <c r="B2214" s="2">
        <v>90</v>
      </c>
      <c r="C2214" s="2">
        <v>15281286</v>
      </c>
      <c r="D2214" s="2" t="s">
        <v>514</v>
      </c>
      <c r="E2214" s="2" t="s">
        <v>3813</v>
      </c>
      <c r="F2214" s="2" t="s">
        <v>14</v>
      </c>
      <c r="G2214" s="2" t="s">
        <v>15</v>
      </c>
      <c r="H2214" s="2">
        <v>18000000</v>
      </c>
      <c r="I2214" s="2">
        <v>6.5</v>
      </c>
      <c r="J2214" s="2">
        <f t="shared" si="16"/>
        <v>-2718714</v>
      </c>
      <c r="K2214" s="2">
        <f t="shared" si="17"/>
        <v>-2.0149597429006808E-2</v>
      </c>
      <c r="L2214" s="2" t="str">
        <f>IF(ISNUMBER(SEARCH("|",IMDB_Movies!$D2214)),LEFT(IMDB_Movies!$D2214,SEARCH("|",IMDB_Movies!$D2214)-1),IMDB_Movies!$D2214)</f>
        <v>Comedy</v>
      </c>
      <c r="V2214" s="2"/>
      <c r="W2214" s="2"/>
    </row>
    <row r="2215" spans="1:23" ht="12.5" x14ac:dyDescent="0.25">
      <c r="A2215" s="2" t="s">
        <v>3814</v>
      </c>
      <c r="B2215" s="2">
        <v>98</v>
      </c>
      <c r="C2215" s="2">
        <v>8000000</v>
      </c>
      <c r="D2215" s="2" t="s">
        <v>58</v>
      </c>
      <c r="E2215" s="2" t="s">
        <v>3815</v>
      </c>
      <c r="F2215" s="2" t="s">
        <v>14</v>
      </c>
      <c r="G2215" s="2" t="s">
        <v>15</v>
      </c>
      <c r="H2215" s="2">
        <v>18000000</v>
      </c>
      <c r="I2215" s="2">
        <v>5</v>
      </c>
      <c r="J2215" s="2">
        <f t="shared" si="16"/>
        <v>-10000000</v>
      </c>
      <c r="K2215" s="2">
        <f t="shared" si="17"/>
        <v>-2.0151056161583709E-2</v>
      </c>
      <c r="L2215" s="2" t="str">
        <f>IF(ISNUMBER(SEARCH("|",IMDB_Movies!$D2215)),LEFT(IMDB_Movies!$D2215,SEARCH("|",IMDB_Movies!$D2215)-1),IMDB_Movies!$D2215)</f>
        <v>Action</v>
      </c>
      <c r="V2215" s="2"/>
      <c r="W2215" s="2"/>
    </row>
    <row r="2216" spans="1:23" ht="12.5" x14ac:dyDescent="0.25">
      <c r="A2216" s="2" t="s">
        <v>3816</v>
      </c>
      <c r="B2216" s="2">
        <v>109</v>
      </c>
      <c r="C2216" s="2">
        <v>13491653</v>
      </c>
      <c r="D2216" s="2" t="s">
        <v>1400</v>
      </c>
      <c r="E2216" s="2" t="s">
        <v>3817</v>
      </c>
      <c r="F2216" s="2" t="s">
        <v>14</v>
      </c>
      <c r="G2216" s="2" t="s">
        <v>15</v>
      </c>
      <c r="H2216" s="2">
        <v>18000000</v>
      </c>
      <c r="I2216" s="2">
        <v>6.1</v>
      </c>
      <c r="J2216" s="2">
        <f t="shared" si="16"/>
        <v>-4508347</v>
      </c>
      <c r="K2216" s="2">
        <f t="shared" si="17"/>
        <v>-2.0155366101191043E-2</v>
      </c>
      <c r="L2216" s="2" t="str">
        <f>IF(ISNUMBER(SEARCH("|",IMDB_Movies!$D2216)),LEFT(IMDB_Movies!$D2216,SEARCH("|",IMDB_Movies!$D2216)-1),IMDB_Movies!$D2216)</f>
        <v>Drama</v>
      </c>
      <c r="V2216" s="2"/>
      <c r="W2216" s="2"/>
    </row>
    <row r="2217" spans="1:23" ht="12.5" x14ac:dyDescent="0.25">
      <c r="A2217" s="2" t="s">
        <v>3818</v>
      </c>
      <c r="B2217" s="2">
        <v>90</v>
      </c>
      <c r="C2217" s="2">
        <v>10494494</v>
      </c>
      <c r="D2217" s="2" t="s">
        <v>125</v>
      </c>
      <c r="E2217" s="2" t="s">
        <v>3819</v>
      </c>
      <c r="F2217" s="2" t="s">
        <v>14</v>
      </c>
      <c r="G2217" s="2" t="s">
        <v>15</v>
      </c>
      <c r="H2217" s="2">
        <v>18000000</v>
      </c>
      <c r="I2217" s="2">
        <v>4.4000000000000004</v>
      </c>
      <c r="J2217" s="2">
        <f t="shared" si="16"/>
        <v>-7505506</v>
      </c>
      <c r="K2217" s="2">
        <f t="shared" si="17"/>
        <v>-2.0157478294589345E-2</v>
      </c>
      <c r="L2217" s="2" t="str">
        <f>IF(ISNUMBER(SEARCH("|",IMDB_Movies!$D2217)),LEFT(IMDB_Movies!$D2217,SEARCH("|",IMDB_Movies!$D2217)-1),IMDB_Movies!$D2217)</f>
        <v>Action</v>
      </c>
      <c r="V2217" s="2"/>
      <c r="W2217" s="2"/>
    </row>
    <row r="2218" spans="1:23" ht="12.5" x14ac:dyDescent="0.25">
      <c r="A2218" s="2" t="s">
        <v>393</v>
      </c>
      <c r="B2218" s="2">
        <v>112</v>
      </c>
      <c r="C2218" s="2">
        <v>7837632</v>
      </c>
      <c r="D2218" s="2" t="s">
        <v>1180</v>
      </c>
      <c r="E2218" s="2" t="s">
        <v>3820</v>
      </c>
      <c r="F2218" s="2" t="s">
        <v>14</v>
      </c>
      <c r="G2218" s="2" t="s">
        <v>15</v>
      </c>
      <c r="H2218" s="2">
        <v>18000000</v>
      </c>
      <c r="I2218" s="2">
        <v>7.5</v>
      </c>
      <c r="J2218" s="2">
        <f t="shared" si="16"/>
        <v>-10162368</v>
      </c>
      <c r="K2218" s="2">
        <f t="shared" si="17"/>
        <v>-2.0160756394288347E-2</v>
      </c>
      <c r="L2218" s="2" t="str">
        <f>IF(ISNUMBER(SEARCH("|",IMDB_Movies!$D2218)),LEFT(IMDB_Movies!$D2218,SEARCH("|",IMDB_Movies!$D2218)-1),IMDB_Movies!$D2218)</f>
        <v>Drama</v>
      </c>
      <c r="V2218" s="2"/>
      <c r="W2218" s="2"/>
    </row>
    <row r="2219" spans="1:23" ht="12.5" x14ac:dyDescent="0.25">
      <c r="A2219" s="2" t="s">
        <v>1340</v>
      </c>
      <c r="B2219" s="2">
        <v>94</v>
      </c>
      <c r="C2219" s="2">
        <v>15155772</v>
      </c>
      <c r="D2219" s="2" t="s">
        <v>514</v>
      </c>
      <c r="E2219" s="2" t="s">
        <v>3821</v>
      </c>
      <c r="F2219" s="2" t="s">
        <v>14</v>
      </c>
      <c r="G2219" s="2" t="s">
        <v>15</v>
      </c>
      <c r="H2219" s="2">
        <v>18000000</v>
      </c>
      <c r="I2219" s="2">
        <v>5.7</v>
      </c>
      <c r="J2219" s="2">
        <f t="shared" si="16"/>
        <v>-2844228</v>
      </c>
      <c r="K2219" s="2">
        <f t="shared" si="17"/>
        <v>-2.0165151524732298E-2</v>
      </c>
      <c r="L2219" s="2" t="str">
        <f>IF(ISNUMBER(SEARCH("|",IMDB_Movies!$D2219)),LEFT(IMDB_Movies!$D2219,SEARCH("|",IMDB_Movies!$D2219)-1),IMDB_Movies!$D2219)</f>
        <v>Comedy</v>
      </c>
      <c r="V2219" s="2"/>
      <c r="W2219" s="2"/>
    </row>
    <row r="2220" spans="1:23" ht="12.5" x14ac:dyDescent="0.25">
      <c r="A2220" s="2" t="s">
        <v>3822</v>
      </c>
      <c r="B2220" s="2">
        <v>105</v>
      </c>
      <c r="C2220" s="2">
        <v>8508843</v>
      </c>
      <c r="D2220" s="2" t="s">
        <v>1450</v>
      </c>
      <c r="E2220" s="2" t="s">
        <v>3823</v>
      </c>
      <c r="F2220" s="2" t="s">
        <v>14</v>
      </c>
      <c r="G2220" s="2" t="s">
        <v>15</v>
      </c>
      <c r="H2220" s="2">
        <v>18000000</v>
      </c>
      <c r="I2220" s="2">
        <v>5.5</v>
      </c>
      <c r="J2220" s="2">
        <f t="shared" si="16"/>
        <v>-9491157</v>
      </c>
      <c r="K2220" s="2">
        <f t="shared" si="17"/>
        <v>-2.0166669057664802E-2</v>
      </c>
      <c r="L2220" s="2" t="str">
        <f>IF(ISNUMBER(SEARCH("|",IMDB_Movies!$D2220)),LEFT(IMDB_Movies!$D2220,SEARCH("|",IMDB_Movies!$D2220)-1),IMDB_Movies!$D2220)</f>
        <v>Adventure</v>
      </c>
      <c r="V2220" s="2"/>
      <c r="W2220" s="2"/>
    </row>
    <row r="2221" spans="1:23" ht="12.5" x14ac:dyDescent="0.25">
      <c r="A2221" s="2" t="s">
        <v>3824</v>
      </c>
      <c r="B2221" s="2">
        <v>104</v>
      </c>
      <c r="C2221" s="2">
        <v>7739049</v>
      </c>
      <c r="D2221" s="2" t="s">
        <v>514</v>
      </c>
      <c r="E2221" s="2" t="s">
        <v>3825</v>
      </c>
      <c r="F2221" s="2" t="s">
        <v>14</v>
      </c>
      <c r="G2221" s="2" t="s">
        <v>104</v>
      </c>
      <c r="H2221" s="2">
        <v>18000000</v>
      </c>
      <c r="I2221" s="2">
        <v>7.1</v>
      </c>
      <c r="J2221" s="2">
        <f t="shared" si="16"/>
        <v>-10260951</v>
      </c>
      <c r="K2221" s="2">
        <f t="shared" si="17"/>
        <v>-2.0170785183028814E-2</v>
      </c>
      <c r="L2221" s="2" t="str">
        <f>IF(ISNUMBER(SEARCH("|",IMDB_Movies!$D2221)),LEFT(IMDB_Movies!$D2221,SEARCH("|",IMDB_Movies!$D2221)-1),IMDB_Movies!$D2221)</f>
        <v>Comedy</v>
      </c>
      <c r="V2221" s="2"/>
      <c r="W2221" s="2"/>
    </row>
    <row r="2222" spans="1:23" ht="12.5" x14ac:dyDescent="0.25">
      <c r="A2222" s="2" t="s">
        <v>1758</v>
      </c>
      <c r="B2222" s="2">
        <v>112</v>
      </c>
      <c r="C2222" s="2">
        <v>6734844</v>
      </c>
      <c r="D2222" s="2" t="s">
        <v>85</v>
      </c>
      <c r="E2222" s="2" t="s">
        <v>3826</v>
      </c>
      <c r="F2222" s="2" t="s">
        <v>14</v>
      </c>
      <c r="G2222" s="2" t="s">
        <v>15</v>
      </c>
      <c r="H2222" s="2">
        <v>17000000</v>
      </c>
      <c r="I2222" s="2">
        <v>5.9</v>
      </c>
      <c r="J2222" s="2">
        <f t="shared" si="16"/>
        <v>-10265156</v>
      </c>
      <c r="K2222" s="2">
        <f t="shared" si="17"/>
        <v>-2.0175238569211679E-2</v>
      </c>
      <c r="L2222" s="2" t="str">
        <f>IF(ISNUMBER(SEARCH("|",IMDB_Movies!$D2222)),LEFT(IMDB_Movies!$D2222,SEARCH("|",IMDB_Movies!$D2222)-1),IMDB_Movies!$D2222)</f>
        <v>Drama</v>
      </c>
      <c r="V2222" s="2"/>
      <c r="W2222" s="2"/>
    </row>
    <row r="2223" spans="1:23" ht="12.5" x14ac:dyDescent="0.25">
      <c r="A2223" s="2" t="s">
        <v>3827</v>
      </c>
      <c r="B2223" s="2">
        <v>108</v>
      </c>
      <c r="C2223" s="2">
        <v>6000000</v>
      </c>
      <c r="D2223" s="2" t="s">
        <v>17</v>
      </c>
      <c r="E2223" s="2" t="s">
        <v>3828</v>
      </c>
      <c r="F2223" s="2" t="s">
        <v>14</v>
      </c>
      <c r="G2223" s="2" t="s">
        <v>15</v>
      </c>
      <c r="H2223" s="2">
        <v>18000000</v>
      </c>
      <c r="I2223" s="2">
        <v>6.7</v>
      </c>
      <c r="J2223" s="2">
        <f t="shared" si="16"/>
        <v>-12000000</v>
      </c>
      <c r="K2223" s="2">
        <f t="shared" si="17"/>
        <v>-2.0180858652201664E-2</v>
      </c>
      <c r="L2223" s="2" t="str">
        <f>IF(ISNUMBER(SEARCH("|",IMDB_Movies!$D2223)),LEFT(IMDB_Movies!$D2223,SEARCH("|",IMDB_Movies!$D2223)-1),IMDB_Movies!$D2223)</f>
        <v>Action</v>
      </c>
      <c r="V2223" s="2"/>
      <c r="W2223" s="2"/>
    </row>
    <row r="2224" spans="1:23" ht="12.5" x14ac:dyDescent="0.25">
      <c r="A2224" s="2" t="s">
        <v>3062</v>
      </c>
      <c r="B2224" s="2">
        <v>112</v>
      </c>
      <c r="C2224" s="2">
        <v>6615578</v>
      </c>
      <c r="D2224" s="2" t="s">
        <v>2124</v>
      </c>
      <c r="E2224" s="2" t="s">
        <v>3829</v>
      </c>
      <c r="F2224" s="2" t="s">
        <v>14</v>
      </c>
      <c r="G2224" s="2" t="s">
        <v>287</v>
      </c>
      <c r="H2224" s="2">
        <v>13000000</v>
      </c>
      <c r="I2224" s="2">
        <v>7</v>
      </c>
      <c r="J2224" s="2">
        <f t="shared" si="16"/>
        <v>-6384422</v>
      </c>
      <c r="K2224" s="2">
        <f t="shared" si="17"/>
        <v>-2.0186099066573121E-2</v>
      </c>
      <c r="L2224" s="2" t="str">
        <f>IF(ISNUMBER(SEARCH("|",IMDB_Movies!$D2224)),LEFT(IMDB_Movies!$D2224,SEARCH("|",IMDB_Movies!$D2224)-1),IMDB_Movies!$D2224)</f>
        <v>Biography</v>
      </c>
      <c r="V2224" s="2"/>
      <c r="W2224" s="2"/>
    </row>
    <row r="2225" spans="1:23" ht="12.5" x14ac:dyDescent="0.25">
      <c r="A2225" s="2" t="s">
        <v>99</v>
      </c>
      <c r="B2225" s="2">
        <v>127</v>
      </c>
      <c r="C2225" s="2">
        <v>5887457</v>
      </c>
      <c r="D2225" s="2" t="s">
        <v>1431</v>
      </c>
      <c r="E2225" s="2" t="s">
        <v>3830</v>
      </c>
      <c r="F2225" s="2" t="s">
        <v>14</v>
      </c>
      <c r="G2225" s="2" t="s">
        <v>15</v>
      </c>
      <c r="H2225" s="2">
        <v>18000000</v>
      </c>
      <c r="I2225" s="2">
        <v>7.9</v>
      </c>
      <c r="J2225" s="2">
        <f t="shared" si="16"/>
        <v>-12112543</v>
      </c>
      <c r="K2225" s="2">
        <f t="shared" si="17"/>
        <v>-2.0194697826894856E-2</v>
      </c>
      <c r="L2225" s="2" t="str">
        <f>IF(ISNUMBER(SEARCH("|",IMDB_Movies!$D2225)),LEFT(IMDB_Movies!$D2225,SEARCH("|",IMDB_Movies!$D2225)-1),IMDB_Movies!$D2225)</f>
        <v>Biography</v>
      </c>
      <c r="V2225" s="2"/>
      <c r="W2225" s="2"/>
    </row>
    <row r="2226" spans="1:23" ht="12.5" x14ac:dyDescent="0.25">
      <c r="A2226" s="2" t="s">
        <v>2709</v>
      </c>
      <c r="B2226" s="2">
        <v>111</v>
      </c>
      <c r="C2226" s="2">
        <v>13362308</v>
      </c>
      <c r="D2226" s="2" t="s">
        <v>1180</v>
      </c>
      <c r="E2226" s="2" t="s">
        <v>3831</v>
      </c>
      <c r="F2226" s="2" t="s">
        <v>14</v>
      </c>
      <c r="G2226" s="2" t="s">
        <v>15</v>
      </c>
      <c r="H2226" s="2">
        <v>18000000</v>
      </c>
      <c r="I2226" s="2">
        <v>6.9</v>
      </c>
      <c r="J2226" s="2">
        <f t="shared" si="16"/>
        <v>-4637692</v>
      </c>
      <c r="K2226" s="2">
        <f t="shared" si="17"/>
        <v>-2.0200006554381547E-2</v>
      </c>
      <c r="L2226" s="2" t="str">
        <f>IF(ISNUMBER(SEARCH("|",IMDB_Movies!$D2226)),LEFT(IMDB_Movies!$D2226,SEARCH("|",IMDB_Movies!$D2226)-1),IMDB_Movies!$D2226)</f>
        <v>Drama</v>
      </c>
      <c r="V2226" s="2"/>
      <c r="W2226" s="2"/>
    </row>
    <row r="2227" spans="1:23" ht="12.5" x14ac:dyDescent="0.25">
      <c r="A2227" s="2" t="s">
        <v>726</v>
      </c>
      <c r="B2227" s="2">
        <v>126</v>
      </c>
      <c r="C2227" s="2">
        <v>5701643</v>
      </c>
      <c r="D2227" s="2" t="s">
        <v>1188</v>
      </c>
      <c r="E2227" s="2" t="s">
        <v>3832</v>
      </c>
      <c r="F2227" s="2" t="s">
        <v>3833</v>
      </c>
      <c r="G2227" s="2" t="s">
        <v>3648</v>
      </c>
      <c r="H2227" s="2">
        <v>20000000</v>
      </c>
      <c r="I2227" s="2">
        <v>7.3</v>
      </c>
      <c r="J2227" s="2">
        <f t="shared" si="16"/>
        <v>-14298357</v>
      </c>
      <c r="K2227" s="2">
        <f t="shared" si="17"/>
        <v>-2.0202208231682797E-2</v>
      </c>
      <c r="L2227" s="2" t="str">
        <f>IF(ISNUMBER(SEARCH("|",IMDB_Movies!$D2227)),LEFT(IMDB_Movies!$D2227,SEARCH("|",IMDB_Movies!$D2227)-1),IMDB_Movies!$D2227)</f>
        <v>Adventure</v>
      </c>
      <c r="V2227" s="2"/>
      <c r="W2227" s="2"/>
    </row>
    <row r="2228" spans="1:23" ht="12.5" x14ac:dyDescent="0.25">
      <c r="A2228" s="2" t="s">
        <v>471</v>
      </c>
      <c r="B2228" s="2">
        <v>114</v>
      </c>
      <c r="C2228" s="2">
        <v>5694401</v>
      </c>
      <c r="D2228" s="2" t="s">
        <v>125</v>
      </c>
      <c r="E2228" s="2" t="s">
        <v>3834</v>
      </c>
      <c r="F2228" s="2" t="s">
        <v>14</v>
      </c>
      <c r="G2228" s="2" t="s">
        <v>22</v>
      </c>
      <c r="H2228" s="2">
        <v>18000000</v>
      </c>
      <c r="I2228" s="2">
        <v>7.3</v>
      </c>
      <c r="J2228" s="2">
        <f t="shared" si="16"/>
        <v>-12305599</v>
      </c>
      <c r="K2228" s="2">
        <f t="shared" si="17"/>
        <v>-2.0206060364928974E-2</v>
      </c>
      <c r="L2228" s="2" t="str">
        <f>IF(ISNUMBER(SEARCH("|",IMDB_Movies!$D2228)),LEFT(IMDB_Movies!$D2228,SEARCH("|",IMDB_Movies!$D2228)-1),IMDB_Movies!$D2228)</f>
        <v>Action</v>
      </c>
      <c r="V2228" s="2"/>
      <c r="W2228" s="2"/>
    </row>
    <row r="2229" spans="1:23" ht="12.5" x14ac:dyDescent="0.25">
      <c r="A2229" s="2" t="s">
        <v>3835</v>
      </c>
      <c r="B2229" s="2">
        <v>99</v>
      </c>
      <c r="C2229" s="2">
        <v>5333658</v>
      </c>
      <c r="D2229" s="2" t="s">
        <v>246</v>
      </c>
      <c r="E2229" s="2" t="s">
        <v>3836</v>
      </c>
      <c r="F2229" s="2" t="s">
        <v>14</v>
      </c>
      <c r="G2229" s="2" t="s">
        <v>15</v>
      </c>
      <c r="H2229" s="2">
        <v>20000000</v>
      </c>
      <c r="I2229" s="2">
        <v>3.5</v>
      </c>
      <c r="J2229" s="2">
        <f t="shared" si="16"/>
        <v>-14666342</v>
      </c>
      <c r="K2229" s="2">
        <f t="shared" si="17"/>
        <v>-2.0211476277842703E-2</v>
      </c>
      <c r="L2229" s="2" t="str">
        <f>IF(ISNUMBER(SEARCH("|",IMDB_Movies!$D2229)),LEFT(IMDB_Movies!$D2229,SEARCH("|",IMDB_Movies!$D2229)-1),IMDB_Movies!$D2229)</f>
        <v>Action</v>
      </c>
      <c r="V2229" s="2"/>
      <c r="W2229" s="2"/>
    </row>
    <row r="2230" spans="1:23" ht="12.5" x14ac:dyDescent="0.25">
      <c r="A2230" s="2" t="s">
        <v>317</v>
      </c>
      <c r="B2230" s="2">
        <v>150</v>
      </c>
      <c r="C2230" s="2">
        <v>4414535</v>
      </c>
      <c r="D2230" s="2" t="s">
        <v>1180</v>
      </c>
      <c r="E2230" s="2" t="s">
        <v>3837</v>
      </c>
      <c r="F2230" s="2" t="s">
        <v>14</v>
      </c>
      <c r="G2230" s="2" t="s">
        <v>22</v>
      </c>
      <c r="H2230" s="2">
        <v>18000000</v>
      </c>
      <c r="I2230" s="2">
        <v>7.8</v>
      </c>
      <c r="J2230" s="2">
        <f t="shared" si="16"/>
        <v>-13585465</v>
      </c>
      <c r="K2230" s="2">
        <f t="shared" si="17"/>
        <v>-2.0215469775958672E-2</v>
      </c>
      <c r="L2230" s="2" t="str">
        <f>IF(ISNUMBER(SEARCH("|",IMDB_Movies!$D2230)),LEFT(IMDB_Movies!$D2230,SEARCH("|",IMDB_Movies!$D2230)-1),IMDB_Movies!$D2230)</f>
        <v>Drama</v>
      </c>
      <c r="V2230" s="2"/>
      <c r="W2230" s="2"/>
    </row>
    <row r="2231" spans="1:23" ht="12.5" x14ac:dyDescent="0.25">
      <c r="A2231" s="2" t="s">
        <v>3838</v>
      </c>
      <c r="B2231" s="2">
        <v>112</v>
      </c>
      <c r="C2231" s="2">
        <v>3707794</v>
      </c>
      <c r="D2231" s="2" t="s">
        <v>534</v>
      </c>
      <c r="E2231" s="2" t="s">
        <v>3839</v>
      </c>
      <c r="F2231" s="2" t="s">
        <v>14</v>
      </c>
      <c r="G2231" s="2" t="s">
        <v>3840</v>
      </c>
      <c r="H2231" s="2">
        <v>18000000</v>
      </c>
      <c r="I2231" s="2">
        <v>6.7</v>
      </c>
      <c r="J2231" s="2">
        <f t="shared" si="16"/>
        <v>-14292206</v>
      </c>
      <c r="K2231" s="2">
        <f t="shared" si="17"/>
        <v>-2.0221497892148586E-2</v>
      </c>
      <c r="L2231" s="2" t="str">
        <f>IF(ISNUMBER(SEARCH("|",IMDB_Movies!$D2231)),LEFT(IMDB_Movies!$D2231,SEARCH("|",IMDB_Movies!$D2231)-1),IMDB_Movies!$D2231)</f>
        <v>Adventure</v>
      </c>
      <c r="V2231" s="2"/>
      <c r="W2231" s="2"/>
    </row>
    <row r="2232" spans="1:23" ht="12.5" x14ac:dyDescent="0.25">
      <c r="A2232" s="2" t="s">
        <v>2732</v>
      </c>
      <c r="B2232" s="2">
        <v>108</v>
      </c>
      <c r="C2232" s="2">
        <v>3203044</v>
      </c>
      <c r="D2232" s="2" t="s">
        <v>600</v>
      </c>
      <c r="E2232" s="2" t="s">
        <v>3841</v>
      </c>
      <c r="F2232" s="2" t="s">
        <v>14</v>
      </c>
      <c r="G2232" s="2" t="s">
        <v>15</v>
      </c>
      <c r="H2232" s="2">
        <v>18000000</v>
      </c>
      <c r="I2232" s="2">
        <v>6.4</v>
      </c>
      <c r="J2232" s="2">
        <f t="shared" si="16"/>
        <v>-14796956</v>
      </c>
      <c r="K2232" s="2">
        <f t="shared" si="17"/>
        <v>-2.0227872669469651E-2</v>
      </c>
      <c r="L2232" s="2" t="str">
        <f>IF(ISNUMBER(SEARCH("|",IMDB_Movies!$D2232)),LEFT(IMDB_Movies!$D2232,SEARCH("|",IMDB_Movies!$D2232)-1),IMDB_Movies!$D2232)</f>
        <v>Comedy</v>
      </c>
      <c r="V2232" s="2"/>
      <c r="W2232" s="2"/>
    </row>
    <row r="2233" spans="1:23" ht="12.5" x14ac:dyDescent="0.25">
      <c r="A2233" s="2" t="s">
        <v>3842</v>
      </c>
      <c r="B2233" s="2">
        <v>116</v>
      </c>
      <c r="C2233" s="2">
        <v>4435083</v>
      </c>
      <c r="D2233" s="2" t="s">
        <v>3843</v>
      </c>
      <c r="E2233" s="2" t="s">
        <v>3844</v>
      </c>
      <c r="F2233" s="2" t="s">
        <v>14</v>
      </c>
      <c r="G2233" s="2" t="s">
        <v>135</v>
      </c>
      <c r="H2233" s="2">
        <v>18000000</v>
      </c>
      <c r="I2233" s="2">
        <v>7.1</v>
      </c>
      <c r="J2233" s="2">
        <f t="shared" si="16"/>
        <v>-13564917</v>
      </c>
      <c r="K2233" s="2">
        <f t="shared" si="17"/>
        <v>-2.0234501590658992E-2</v>
      </c>
      <c r="L2233" s="2" t="str">
        <f>IF(ISNUMBER(SEARCH("|",IMDB_Movies!$D2233)),LEFT(IMDB_Movies!$D2233,SEARCH("|",IMDB_Movies!$D2233)-1),IMDB_Movies!$D2233)</f>
        <v>Biography</v>
      </c>
      <c r="V2233" s="2"/>
      <c r="W2233" s="2"/>
    </row>
    <row r="2234" spans="1:23" ht="12.5" x14ac:dyDescent="0.25">
      <c r="A2234" s="2" t="s">
        <v>3845</v>
      </c>
      <c r="B2234" s="2">
        <v>144</v>
      </c>
      <c r="C2234" s="2">
        <v>2222647</v>
      </c>
      <c r="D2234" s="2" t="s">
        <v>2665</v>
      </c>
      <c r="E2234" s="2" t="s">
        <v>3846</v>
      </c>
      <c r="F2234" s="2" t="s">
        <v>3713</v>
      </c>
      <c r="G2234" s="2" t="s">
        <v>287</v>
      </c>
      <c r="H2234" s="2">
        <v>12000000</v>
      </c>
      <c r="I2234" s="2">
        <v>7.8</v>
      </c>
      <c r="J2234" s="2">
        <f t="shared" si="16"/>
        <v>-9777353</v>
      </c>
      <c r="K2234" s="2">
        <f t="shared" si="17"/>
        <v>-2.0240546555821578E-2</v>
      </c>
      <c r="L2234" s="2" t="str">
        <f>IF(ISNUMBER(SEARCH("|",IMDB_Movies!$D2234)),LEFT(IMDB_Movies!$D2234,SEARCH("|",IMDB_Movies!$D2234)-1),IMDB_Movies!$D2234)</f>
        <v>Drama</v>
      </c>
      <c r="V2234" s="2"/>
      <c r="W2234" s="2"/>
    </row>
    <row r="2235" spans="1:23" ht="12.5" x14ac:dyDescent="0.25">
      <c r="A2235" s="2" t="s">
        <v>3847</v>
      </c>
      <c r="B2235" s="2">
        <v>93</v>
      </c>
      <c r="C2235" s="2">
        <v>3500000</v>
      </c>
      <c r="D2235" s="2" t="s">
        <v>3848</v>
      </c>
      <c r="E2235" s="2" t="s">
        <v>3849</v>
      </c>
      <c r="F2235" s="2" t="s">
        <v>14</v>
      </c>
      <c r="G2235" s="2" t="s">
        <v>15</v>
      </c>
      <c r="H2235" s="2">
        <v>2700000</v>
      </c>
      <c r="I2235" s="2">
        <v>5.9</v>
      </c>
      <c r="J2235" s="2">
        <f t="shared" si="16"/>
        <v>800000</v>
      </c>
      <c r="K2235" s="2">
        <f t="shared" si="17"/>
        <v>-2.0253517763619645E-2</v>
      </c>
      <c r="L2235" s="2" t="str">
        <f>IF(ISNUMBER(SEARCH("|",IMDB_Movies!$D2235)),LEFT(IMDB_Movies!$D2235,SEARCH("|",IMDB_Movies!$D2235)-1),IMDB_Movies!$D2235)</f>
        <v>Action</v>
      </c>
      <c r="V2235" s="2"/>
      <c r="W2235" s="2"/>
    </row>
    <row r="2236" spans="1:23" ht="12.5" x14ac:dyDescent="0.25">
      <c r="A2236" s="2" t="s">
        <v>924</v>
      </c>
      <c r="B2236" s="2">
        <v>103</v>
      </c>
      <c r="C2236" s="2">
        <v>676698</v>
      </c>
      <c r="D2236" s="2" t="s">
        <v>770</v>
      </c>
      <c r="E2236" s="2" t="s">
        <v>3850</v>
      </c>
      <c r="F2236" s="2" t="s">
        <v>14</v>
      </c>
      <c r="G2236" s="2" t="s">
        <v>15</v>
      </c>
      <c r="H2236" s="2">
        <v>18000000</v>
      </c>
      <c r="I2236" s="2">
        <v>7.2</v>
      </c>
      <c r="J2236" s="2">
        <f t="shared" si="16"/>
        <v>-17323302</v>
      </c>
      <c r="K2236" s="2">
        <f t="shared" si="17"/>
        <v>-2.0273866625568498E-2</v>
      </c>
      <c r="L2236" s="2" t="str">
        <f>IF(ISNUMBER(SEARCH("|",IMDB_Movies!$D2236)),LEFT(IMDB_Movies!$D2236,SEARCH("|",IMDB_Movies!$D2236)-1),IMDB_Movies!$D2236)</f>
        <v>Crime</v>
      </c>
      <c r="V2236" s="2"/>
      <c r="W2236" s="2"/>
    </row>
    <row r="2237" spans="1:23" ht="12.5" x14ac:dyDescent="0.25">
      <c r="A2237" s="2" t="s">
        <v>3851</v>
      </c>
      <c r="B2237" s="2">
        <v>121</v>
      </c>
      <c r="C2237" s="2">
        <v>229311</v>
      </c>
      <c r="D2237" s="2" t="s">
        <v>3852</v>
      </c>
      <c r="E2237" s="2" t="s">
        <v>3853</v>
      </c>
      <c r="F2237" s="2" t="s">
        <v>14</v>
      </c>
      <c r="G2237" s="2" t="s">
        <v>1239</v>
      </c>
      <c r="H2237" s="2">
        <v>11350000</v>
      </c>
      <c r="I2237" s="2">
        <v>6.2</v>
      </c>
      <c r="J2237" s="2">
        <f t="shared" si="16"/>
        <v>-11120689</v>
      </c>
      <c r="K2237" s="2">
        <f t="shared" si="17"/>
        <v>-2.0281822256490525E-2</v>
      </c>
      <c r="L2237" s="2" t="str">
        <f>IF(ISNUMBER(SEARCH("|",IMDB_Movies!$D2237)),LEFT(IMDB_Movies!$D2237,SEARCH("|",IMDB_Movies!$D2237)-1),IMDB_Movies!$D2237)</f>
        <v>Action</v>
      </c>
      <c r="V2237" s="2"/>
      <c r="W2237" s="2"/>
    </row>
    <row r="2238" spans="1:23" ht="12.5" x14ac:dyDescent="0.25">
      <c r="A2238" s="2" t="s">
        <v>3854</v>
      </c>
      <c r="B2238" s="2">
        <v>105</v>
      </c>
      <c r="C2238" s="2">
        <v>63260</v>
      </c>
      <c r="D2238" s="2" t="s">
        <v>3855</v>
      </c>
      <c r="E2238" s="2" t="s">
        <v>3856</v>
      </c>
      <c r="F2238" s="2" t="s">
        <v>14</v>
      </c>
      <c r="G2238" s="2" t="s">
        <v>686</v>
      </c>
      <c r="H2238" s="2">
        <v>14000000</v>
      </c>
      <c r="I2238" s="2">
        <v>6.7</v>
      </c>
      <c r="J2238" s="2">
        <f t="shared" si="16"/>
        <v>-13936740</v>
      </c>
      <c r="K2238" s="2">
        <f t="shared" si="17"/>
        <v>-2.0297239519901044E-2</v>
      </c>
      <c r="L2238" s="2" t="str">
        <f>IF(ISNUMBER(SEARCH("|",IMDB_Movies!$D2238)),LEFT(IMDB_Movies!$D2238,SEARCH("|",IMDB_Movies!$D2238)-1),IMDB_Movies!$D2238)</f>
        <v>Action</v>
      </c>
      <c r="V2238" s="2"/>
      <c r="W2238" s="2"/>
    </row>
    <row r="2239" spans="1:23" ht="12.5" x14ac:dyDescent="0.25">
      <c r="A2239" s="2" t="s">
        <v>2190</v>
      </c>
      <c r="B2239" s="2">
        <v>119</v>
      </c>
      <c r="C2239" s="2">
        <v>121463226</v>
      </c>
      <c r="D2239" s="2" t="s">
        <v>709</v>
      </c>
      <c r="E2239" s="2" t="s">
        <v>3857</v>
      </c>
      <c r="F2239" s="2" t="s">
        <v>14</v>
      </c>
      <c r="G2239" s="2" t="s">
        <v>15</v>
      </c>
      <c r="H2239" s="2">
        <v>20000000</v>
      </c>
      <c r="I2239" s="2">
        <v>7.6</v>
      </c>
      <c r="J2239" s="2">
        <f t="shared" si="16"/>
        <v>101463226</v>
      </c>
      <c r="K2239" s="2">
        <f t="shared" si="17"/>
        <v>-2.03099253986442E-2</v>
      </c>
      <c r="L2239" s="2" t="str">
        <f>IF(ISNUMBER(SEARCH("|",IMDB_Movies!$D2239)),LEFT(IMDB_Movies!$D2239,SEARCH("|",IMDB_Movies!$D2239)-1),IMDB_Movies!$D2239)</f>
        <v>Comedy</v>
      </c>
      <c r="V2239" s="2"/>
      <c r="W2239" s="2"/>
    </row>
    <row r="2240" spans="1:23" ht="12.5" x14ac:dyDescent="0.25">
      <c r="A2240" s="2" t="s">
        <v>395</v>
      </c>
      <c r="B2240" s="2">
        <v>98</v>
      </c>
      <c r="C2240" s="2">
        <v>58006147</v>
      </c>
      <c r="D2240" s="2" t="s">
        <v>1641</v>
      </c>
      <c r="E2240" s="2" t="s">
        <v>3858</v>
      </c>
      <c r="F2240" s="2" t="s">
        <v>14</v>
      </c>
      <c r="G2240" s="2" t="s">
        <v>15</v>
      </c>
      <c r="H2240" s="2">
        <v>23000000</v>
      </c>
      <c r="I2240" s="2">
        <v>6.2</v>
      </c>
      <c r="J2240" s="2">
        <f t="shared" si="16"/>
        <v>35006147</v>
      </c>
      <c r="K2240" s="2">
        <f t="shared" si="17"/>
        <v>-2.0345727114870853E-2</v>
      </c>
      <c r="L2240" s="2" t="str">
        <f>IF(ISNUMBER(SEARCH("|",IMDB_Movies!$D2240)),LEFT(IMDB_Movies!$D2240,SEARCH("|",IMDB_Movies!$D2240)-1),IMDB_Movies!$D2240)</f>
        <v>Drama</v>
      </c>
      <c r="V2240" s="2"/>
      <c r="W2240" s="2"/>
    </row>
    <row r="2241" spans="1:23" ht="12.5" x14ac:dyDescent="0.25">
      <c r="A2241" s="2" t="s">
        <v>3859</v>
      </c>
      <c r="B2241" s="2">
        <v>80</v>
      </c>
      <c r="C2241" s="2">
        <v>51053787</v>
      </c>
      <c r="D2241" s="2" t="s">
        <v>3860</v>
      </c>
      <c r="E2241" s="2" t="s">
        <v>3861</v>
      </c>
      <c r="F2241" s="2" t="s">
        <v>14</v>
      </c>
      <c r="G2241" s="2" t="s">
        <v>15</v>
      </c>
      <c r="H2241" s="2">
        <v>17500000</v>
      </c>
      <c r="I2241" s="2">
        <v>6.5</v>
      </c>
      <c r="J2241" s="2">
        <f t="shared" si="16"/>
        <v>33553787</v>
      </c>
      <c r="K2241" s="2">
        <f t="shared" si="17"/>
        <v>-2.0352335583456425E-2</v>
      </c>
      <c r="L2241" s="2" t="str">
        <f>IF(ISNUMBER(SEARCH("|",IMDB_Movies!$D2241)),LEFT(IMDB_Movies!$D2241,SEARCH("|",IMDB_Movies!$D2241)-1),IMDB_Movies!$D2241)</f>
        <v>Action</v>
      </c>
      <c r="V2241" s="2"/>
      <c r="W2241" s="2"/>
    </row>
    <row r="2242" spans="1:23" ht="12.5" x14ac:dyDescent="0.25">
      <c r="A2242" s="2" t="s">
        <v>3862</v>
      </c>
      <c r="B2242" s="2">
        <v>121</v>
      </c>
      <c r="C2242" s="2">
        <v>23472900</v>
      </c>
      <c r="D2242" s="2" t="s">
        <v>706</v>
      </c>
      <c r="E2242" s="2" t="s">
        <v>3863</v>
      </c>
      <c r="F2242" s="2" t="s">
        <v>14</v>
      </c>
      <c r="G2242" s="2" t="s">
        <v>22</v>
      </c>
      <c r="H2242" s="2">
        <v>17500000</v>
      </c>
      <c r="I2242" s="2">
        <v>8.1</v>
      </c>
      <c r="J2242" s="2">
        <f t="shared" si="16"/>
        <v>5972900</v>
      </c>
      <c r="K2242" s="2">
        <f t="shared" si="17"/>
        <v>-2.0347076402616831E-2</v>
      </c>
      <c r="L2242" s="2" t="str">
        <f>IF(ISNUMBER(SEARCH("|",IMDB_Movies!$D2242)),LEFT(IMDB_Movies!$D2242,SEARCH("|",IMDB_Movies!$D2242)-1),IMDB_Movies!$D2242)</f>
        <v>Drama</v>
      </c>
      <c r="V2242" s="2"/>
      <c r="W2242" s="2"/>
    </row>
    <row r="2243" spans="1:23" ht="12.5" x14ac:dyDescent="0.25">
      <c r="A2243" s="2" t="s">
        <v>3864</v>
      </c>
      <c r="B2243" s="2">
        <v>94</v>
      </c>
      <c r="C2243" s="2">
        <v>39687528</v>
      </c>
      <c r="D2243" s="2" t="s">
        <v>177</v>
      </c>
      <c r="E2243" s="2" t="s">
        <v>3865</v>
      </c>
      <c r="F2243" s="2" t="s">
        <v>14</v>
      </c>
      <c r="G2243" s="2" t="s">
        <v>686</v>
      </c>
      <c r="H2243" s="2">
        <v>24000000</v>
      </c>
      <c r="I2243" s="2">
        <v>6.3</v>
      </c>
      <c r="J2243" s="2">
        <f t="shared" si="16"/>
        <v>15687528</v>
      </c>
      <c r="K2243" s="2">
        <f t="shared" si="17"/>
        <v>-2.0345911675893606E-2</v>
      </c>
      <c r="L2243" s="2" t="str">
        <f>IF(ISNUMBER(SEARCH("|",IMDB_Movies!$D2243)),LEFT(IMDB_Movies!$D2243,SEARCH("|",IMDB_Movies!$D2243)-1),IMDB_Movies!$D2243)</f>
        <v>Action</v>
      </c>
      <c r="V2243" s="2"/>
      <c r="W2243" s="2"/>
    </row>
    <row r="2244" spans="1:23" ht="12.5" x14ac:dyDescent="0.25">
      <c r="A2244" s="2" t="s">
        <v>3866</v>
      </c>
      <c r="B2244" s="2">
        <v>93</v>
      </c>
      <c r="C2244" s="2">
        <v>7017178</v>
      </c>
      <c r="D2244" s="2" t="s">
        <v>3867</v>
      </c>
      <c r="E2244" s="2" t="s">
        <v>3868</v>
      </c>
      <c r="F2244" s="2" t="s">
        <v>14</v>
      </c>
      <c r="G2244" s="2" t="s">
        <v>15</v>
      </c>
      <c r="H2244" s="2">
        <v>17500000</v>
      </c>
      <c r="I2244" s="2">
        <v>4.4000000000000004</v>
      </c>
      <c r="J2244" s="2">
        <f t="shared" si="16"/>
        <v>-10482822</v>
      </c>
      <c r="K2244" s="2">
        <f t="shared" si="17"/>
        <v>-2.0348457960490847E-2</v>
      </c>
      <c r="L2244" s="2" t="str">
        <f>IF(ISNUMBER(SEARCH("|",IMDB_Movies!$D2244)),LEFT(IMDB_Movies!$D2244,SEARCH("|",IMDB_Movies!$D2244)-1),IMDB_Movies!$D2244)</f>
        <v>Drama</v>
      </c>
      <c r="V2244" s="2"/>
      <c r="W2244" s="2"/>
    </row>
    <row r="2245" spans="1:23" ht="12.5" x14ac:dyDescent="0.25">
      <c r="A2245" s="2" t="s">
        <v>3869</v>
      </c>
      <c r="B2245" s="2">
        <v>116</v>
      </c>
      <c r="C2245" s="2">
        <v>325491</v>
      </c>
      <c r="D2245" s="2" t="s">
        <v>763</v>
      </c>
      <c r="E2245" s="2" t="s">
        <v>3870</v>
      </c>
      <c r="F2245" s="2" t="s">
        <v>14</v>
      </c>
      <c r="G2245" s="2" t="s">
        <v>15</v>
      </c>
      <c r="H2245" s="2">
        <v>17500000</v>
      </c>
      <c r="I2245" s="2">
        <v>6</v>
      </c>
      <c r="J2245" s="2">
        <f t="shared" si="16"/>
        <v>-17174509</v>
      </c>
      <c r="K2245" s="2">
        <f t="shared" si="17"/>
        <v>-2.0353706872557994E-2</v>
      </c>
      <c r="L2245" s="2" t="str">
        <f>IF(ISNUMBER(SEARCH("|",IMDB_Movies!$D2245)),LEFT(IMDB_Movies!$D2245,SEARCH("|",IMDB_Movies!$D2245)-1),IMDB_Movies!$D2245)</f>
        <v>Crime</v>
      </c>
      <c r="V2245" s="2"/>
      <c r="W2245" s="2"/>
    </row>
    <row r="2246" spans="1:23" ht="12.5" x14ac:dyDescent="0.25">
      <c r="A2246" s="2" t="s">
        <v>1236</v>
      </c>
      <c r="B2246" s="2">
        <v>101</v>
      </c>
      <c r="C2246" s="2">
        <v>96471845</v>
      </c>
      <c r="D2246" s="2" t="s">
        <v>3172</v>
      </c>
      <c r="E2246" s="2" t="s">
        <v>3871</v>
      </c>
      <c r="F2246" s="2" t="s">
        <v>14</v>
      </c>
      <c r="G2246" s="2" t="s">
        <v>15</v>
      </c>
      <c r="H2246" s="2">
        <v>17000000</v>
      </c>
      <c r="I2246" s="2">
        <v>7.6</v>
      </c>
      <c r="J2246" s="2">
        <f t="shared" si="16"/>
        <v>79471845</v>
      </c>
      <c r="K2246" s="2">
        <f t="shared" si="17"/>
        <v>-2.0362425459288375E-2</v>
      </c>
      <c r="L2246" s="2" t="str">
        <f>IF(ISNUMBER(SEARCH("|",IMDB_Movies!$D2246)),LEFT(IMDB_Movies!$D2246,SEARCH("|",IMDB_Movies!$D2246)-1),IMDB_Movies!$D2246)</f>
        <v>Fantasy</v>
      </c>
      <c r="V2246" s="2"/>
      <c r="W2246" s="2"/>
    </row>
    <row r="2247" spans="1:23" ht="12.5" x14ac:dyDescent="0.25">
      <c r="A2247" s="2" t="s">
        <v>11</v>
      </c>
      <c r="B2247" s="2">
        <v>154</v>
      </c>
      <c r="C2247" s="2">
        <v>85200000</v>
      </c>
      <c r="D2247" s="2" t="s">
        <v>28</v>
      </c>
      <c r="E2247" s="2" t="s">
        <v>3872</v>
      </c>
      <c r="F2247" s="2" t="s">
        <v>14</v>
      </c>
      <c r="G2247" s="2" t="s">
        <v>15</v>
      </c>
      <c r="H2247" s="2">
        <v>18500000</v>
      </c>
      <c r="I2247" s="2">
        <v>8.4</v>
      </c>
      <c r="J2247" s="2">
        <f t="shared" si="16"/>
        <v>66700000</v>
      </c>
      <c r="K2247" s="2">
        <f t="shared" si="17"/>
        <v>-2.036646217628919E-2</v>
      </c>
      <c r="L2247" s="2" t="str">
        <f>IF(ISNUMBER(SEARCH("|",IMDB_Movies!$D2247)),LEFT(IMDB_Movies!$D2247,SEARCH("|",IMDB_Movies!$D2247)-1),IMDB_Movies!$D2247)</f>
        <v>Action</v>
      </c>
      <c r="V2247" s="2"/>
      <c r="W2247" s="2"/>
    </row>
    <row r="2248" spans="1:23" ht="12.5" x14ac:dyDescent="0.25">
      <c r="A2248" s="2" t="s">
        <v>3873</v>
      </c>
      <c r="B2248" s="2">
        <v>170</v>
      </c>
      <c r="C2248" s="2">
        <v>72000000</v>
      </c>
      <c r="D2248" s="2" t="s">
        <v>3874</v>
      </c>
      <c r="E2248" s="2" t="s">
        <v>3875</v>
      </c>
      <c r="F2248" s="2" t="s">
        <v>14</v>
      </c>
      <c r="G2248" s="2" t="s">
        <v>15</v>
      </c>
      <c r="H2248" s="2">
        <v>17000000</v>
      </c>
      <c r="I2248" s="2">
        <v>7.9</v>
      </c>
      <c r="J2248" s="2">
        <f t="shared" si="16"/>
        <v>55000000</v>
      </c>
      <c r="K2248" s="2">
        <f t="shared" si="17"/>
        <v>-2.0371332561359708E-2</v>
      </c>
      <c r="L2248" s="2" t="str">
        <f>IF(ISNUMBER(SEARCH("|",IMDB_Movies!$D2248)),LEFT(IMDB_Movies!$D2248,SEARCH("|",IMDB_Movies!$D2248)-1),IMDB_Movies!$D2248)</f>
        <v>Drama</v>
      </c>
      <c r="V2248" s="2"/>
      <c r="W2248" s="2"/>
    </row>
    <row r="2249" spans="1:23" ht="12.5" x14ac:dyDescent="0.25">
      <c r="A2249" s="2" t="s">
        <v>3876</v>
      </c>
      <c r="B2249" s="2">
        <v>99</v>
      </c>
      <c r="C2249" s="2">
        <v>72219395</v>
      </c>
      <c r="D2249" s="2" t="s">
        <v>1050</v>
      </c>
      <c r="E2249" s="2" t="s">
        <v>3877</v>
      </c>
      <c r="F2249" s="2" t="s">
        <v>14</v>
      </c>
      <c r="G2249" s="2" t="s">
        <v>15</v>
      </c>
      <c r="H2249" s="2">
        <v>17000000</v>
      </c>
      <c r="I2249" s="2">
        <v>5.6</v>
      </c>
      <c r="J2249" s="2">
        <f t="shared" si="16"/>
        <v>55219395</v>
      </c>
      <c r="K2249" s="2">
        <f t="shared" si="17"/>
        <v>-2.0367091548296624E-2</v>
      </c>
      <c r="L2249" s="2" t="str">
        <f>IF(ISNUMBER(SEARCH("|",IMDB_Movies!$D2249)),LEFT(IMDB_Movies!$D2249,SEARCH("|",IMDB_Movies!$D2249)-1),IMDB_Movies!$D2249)</f>
        <v>Horror</v>
      </c>
      <c r="V2249" s="2"/>
      <c r="W2249" s="2"/>
    </row>
    <row r="2250" spans="1:23" ht="12.5" x14ac:dyDescent="0.25">
      <c r="A2250" s="2" t="s">
        <v>2472</v>
      </c>
      <c r="B2250" s="2">
        <v>104</v>
      </c>
      <c r="C2250" s="2">
        <v>82389560</v>
      </c>
      <c r="D2250" s="2" t="s">
        <v>709</v>
      </c>
      <c r="E2250" s="2" t="s">
        <v>3878</v>
      </c>
      <c r="F2250" s="2" t="s">
        <v>14</v>
      </c>
      <c r="G2250" s="2" t="s">
        <v>15</v>
      </c>
      <c r="H2250" s="2">
        <v>17000000</v>
      </c>
      <c r="I2250" s="2">
        <v>6.5</v>
      </c>
      <c r="J2250" s="2">
        <f t="shared" si="16"/>
        <v>65389560</v>
      </c>
      <c r="K2250" s="2">
        <f t="shared" si="17"/>
        <v>-2.0362895868731648E-2</v>
      </c>
      <c r="L2250" s="2" t="str">
        <f>IF(ISNUMBER(SEARCH("|",IMDB_Movies!$D2250)),LEFT(IMDB_Movies!$D2250,SEARCH("|",IMDB_Movies!$D2250)-1),IMDB_Movies!$D2250)</f>
        <v>Comedy</v>
      </c>
      <c r="V2250" s="2"/>
      <c r="W2250" s="2"/>
    </row>
    <row r="2251" spans="1:23" ht="12.5" x14ac:dyDescent="0.25">
      <c r="A2251" s="2" t="s">
        <v>2711</v>
      </c>
      <c r="B2251" s="2">
        <v>126</v>
      </c>
      <c r="C2251" s="2">
        <v>71502303</v>
      </c>
      <c r="D2251" s="2" t="s">
        <v>3674</v>
      </c>
      <c r="E2251" s="2" t="s">
        <v>3879</v>
      </c>
      <c r="F2251" s="2" t="s">
        <v>14</v>
      </c>
      <c r="G2251" s="2" t="s">
        <v>15</v>
      </c>
      <c r="H2251" s="2">
        <v>12000000</v>
      </c>
      <c r="I2251" s="2">
        <v>7.5</v>
      </c>
      <c r="J2251" s="2">
        <f t="shared" si="16"/>
        <v>59502303</v>
      </c>
      <c r="K2251" s="2">
        <f t="shared" si="17"/>
        <v>-2.0361423070808574E-2</v>
      </c>
      <c r="L2251" s="2" t="str">
        <f>IF(ISNUMBER(SEARCH("|",IMDB_Movies!$D2251)),LEFT(IMDB_Movies!$D2251,SEARCH("|",IMDB_Movies!$D2251)-1),IMDB_Movies!$D2251)</f>
        <v>Adventure</v>
      </c>
      <c r="V2251" s="2"/>
      <c r="W2251" s="2"/>
    </row>
    <row r="2252" spans="1:23" ht="12.5" x14ac:dyDescent="0.25">
      <c r="A2252" s="2" t="s">
        <v>1681</v>
      </c>
      <c r="B2252" s="2">
        <v>110</v>
      </c>
      <c r="C2252" s="2">
        <v>19179969</v>
      </c>
      <c r="D2252" s="2" t="s">
        <v>709</v>
      </c>
      <c r="E2252" s="2" t="s">
        <v>3880</v>
      </c>
      <c r="F2252" s="2" t="s">
        <v>14</v>
      </c>
      <c r="G2252" s="2" t="s">
        <v>15</v>
      </c>
      <c r="H2252" s="2">
        <v>17500000</v>
      </c>
      <c r="I2252" s="2">
        <v>6.3</v>
      </c>
      <c r="J2252" s="2">
        <f t="shared" si="16"/>
        <v>1679969</v>
      </c>
      <c r="K2252" s="2">
        <f t="shared" si="17"/>
        <v>-2.0342660194688625E-2</v>
      </c>
      <c r="L2252" s="2" t="str">
        <f>IF(ISNUMBER(SEARCH("|",IMDB_Movies!$D2252)),LEFT(IMDB_Movies!$D2252,SEARCH("|",IMDB_Movies!$D2252)-1),IMDB_Movies!$D2252)</f>
        <v>Comedy</v>
      </c>
      <c r="V2252" s="2"/>
      <c r="W2252" s="2"/>
    </row>
    <row r="2253" spans="1:23" ht="12.5" x14ac:dyDescent="0.25">
      <c r="A2253" s="2" t="s">
        <v>1818</v>
      </c>
      <c r="B2253" s="2">
        <v>101</v>
      </c>
      <c r="C2253" s="2">
        <v>47000000</v>
      </c>
      <c r="D2253" s="2" t="s">
        <v>2228</v>
      </c>
      <c r="E2253" s="2" t="s">
        <v>3881</v>
      </c>
      <c r="F2253" s="2" t="s">
        <v>14</v>
      </c>
      <c r="G2253" s="2" t="s">
        <v>15</v>
      </c>
      <c r="H2253" s="2">
        <v>300000</v>
      </c>
      <c r="I2253" s="2">
        <v>7.9</v>
      </c>
      <c r="J2253" s="2">
        <f t="shared" si="16"/>
        <v>46700000</v>
      </c>
      <c r="K2253" s="2">
        <f t="shared" si="17"/>
        <v>-2.0342806197105916E-2</v>
      </c>
      <c r="L2253" s="2" t="str">
        <f>IF(ISNUMBER(SEARCH("|",IMDB_Movies!$D2253)),LEFT(IMDB_Movies!$D2253,SEARCH("|",IMDB_Movies!$D2253)-1),IMDB_Movies!$D2253)</f>
        <v>Horror</v>
      </c>
      <c r="V2253" s="2"/>
      <c r="W2253" s="2"/>
    </row>
    <row r="2254" spans="1:23" ht="12.5" x14ac:dyDescent="0.25">
      <c r="A2254" s="2" t="s">
        <v>3882</v>
      </c>
      <c r="B2254" s="2">
        <v>87</v>
      </c>
      <c r="C2254" s="2">
        <v>37566230</v>
      </c>
      <c r="D2254" s="2" t="s">
        <v>3883</v>
      </c>
      <c r="E2254" s="2" t="s">
        <v>3884</v>
      </c>
      <c r="F2254" s="2" t="s">
        <v>14</v>
      </c>
      <c r="G2254" s="2" t="s">
        <v>15</v>
      </c>
      <c r="H2254" s="2">
        <v>17000000</v>
      </c>
      <c r="I2254" s="2">
        <v>5.0999999999999996</v>
      </c>
      <c r="J2254" s="2">
        <f t="shared" si="16"/>
        <v>20566230</v>
      </c>
      <c r="K2254" s="2">
        <f t="shared" si="17"/>
        <v>-2.0311335559829558E-2</v>
      </c>
      <c r="L2254" s="2" t="str">
        <f>IF(ISNUMBER(SEARCH("|",IMDB_Movies!$D2254)),LEFT(IMDB_Movies!$D2254,SEARCH("|",IMDB_Movies!$D2254)-1),IMDB_Movies!$D2254)</f>
        <v>Comedy</v>
      </c>
      <c r="V2254" s="2"/>
      <c r="W2254" s="2"/>
    </row>
    <row r="2255" spans="1:23" ht="12.5" x14ac:dyDescent="0.25">
      <c r="A2255" s="2" t="s">
        <v>2965</v>
      </c>
      <c r="B2255" s="2">
        <v>123</v>
      </c>
      <c r="C2255" s="2">
        <v>70492685</v>
      </c>
      <c r="D2255" s="2" t="s">
        <v>891</v>
      </c>
      <c r="E2255" s="2" t="s">
        <v>3885</v>
      </c>
      <c r="F2255" s="2" t="s">
        <v>14</v>
      </c>
      <c r="G2255" s="2" t="s">
        <v>15</v>
      </c>
      <c r="H2255" s="2">
        <v>17000000</v>
      </c>
      <c r="I2255" s="2">
        <v>6.7</v>
      </c>
      <c r="J2255" s="2">
        <f t="shared" si="16"/>
        <v>53492685</v>
      </c>
      <c r="K2255" s="2">
        <f t="shared" si="17"/>
        <v>-2.0306418265766575E-2</v>
      </c>
      <c r="L2255" s="2" t="str">
        <f>IF(ISNUMBER(SEARCH("|",IMDB_Movies!$D2255)),LEFT(IMDB_Movies!$D2255,SEARCH("|",IMDB_Movies!$D2255)-1),IMDB_Movies!$D2255)</f>
        <v>Comedy</v>
      </c>
      <c r="V2255" s="2"/>
      <c r="W2255" s="2"/>
    </row>
    <row r="2256" spans="1:23" ht="12.5" x14ac:dyDescent="0.25">
      <c r="A2256" s="2" t="s">
        <v>3097</v>
      </c>
      <c r="B2256" s="2">
        <v>109</v>
      </c>
      <c r="C2256" s="2">
        <v>35635046</v>
      </c>
      <c r="D2256" s="2" t="s">
        <v>177</v>
      </c>
      <c r="E2256" s="2" t="s">
        <v>3886</v>
      </c>
      <c r="F2256" s="2" t="s">
        <v>14</v>
      </c>
      <c r="G2256" s="2" t="s">
        <v>22</v>
      </c>
      <c r="H2256" s="2">
        <v>17000000</v>
      </c>
      <c r="I2256" s="2">
        <v>6.7</v>
      </c>
      <c r="J2256" s="2">
        <f t="shared" si="16"/>
        <v>18635046</v>
      </c>
      <c r="K2256" s="2">
        <f t="shared" si="17"/>
        <v>-2.0301773815951336E-2</v>
      </c>
      <c r="L2256" s="2" t="str">
        <f>IF(ISNUMBER(SEARCH("|",IMDB_Movies!$D2256)),LEFT(IMDB_Movies!$D2256,SEARCH("|",IMDB_Movies!$D2256)-1),IMDB_Movies!$D2256)</f>
        <v>Action</v>
      </c>
      <c r="V2256" s="2"/>
      <c r="W2256" s="2"/>
    </row>
    <row r="2257" spans="1:23" ht="12.5" x14ac:dyDescent="0.25">
      <c r="A2257" s="2" t="s">
        <v>3887</v>
      </c>
      <c r="B2257" s="2">
        <v>90</v>
      </c>
      <c r="C2257" s="2">
        <v>45670855</v>
      </c>
      <c r="D2257" s="2" t="s">
        <v>2116</v>
      </c>
      <c r="E2257" s="2" t="s">
        <v>3888</v>
      </c>
      <c r="F2257" s="2" t="s">
        <v>14</v>
      </c>
      <c r="G2257" s="2" t="s">
        <v>104</v>
      </c>
      <c r="H2257" s="2">
        <v>20000000</v>
      </c>
      <c r="I2257" s="2">
        <v>5.6</v>
      </c>
      <c r="J2257" s="2">
        <f t="shared" si="16"/>
        <v>25670855</v>
      </c>
      <c r="K2257" s="2">
        <f t="shared" si="17"/>
        <v>-2.0297193137877624E-2</v>
      </c>
      <c r="L2257" s="2" t="str">
        <f>IF(ISNUMBER(SEARCH("|",IMDB_Movies!$D2257)),LEFT(IMDB_Movies!$D2257,SEARCH("|",IMDB_Movies!$D2257)-1),IMDB_Movies!$D2257)</f>
        <v>Horror</v>
      </c>
      <c r="V2257" s="2"/>
      <c r="W2257" s="2"/>
    </row>
    <row r="2258" spans="1:23" ht="12.5" x14ac:dyDescent="0.25">
      <c r="A2258" s="2" t="s">
        <v>1309</v>
      </c>
      <c r="B2258" s="2">
        <v>96</v>
      </c>
      <c r="C2258" s="2">
        <v>37939782</v>
      </c>
      <c r="D2258" s="2" t="s">
        <v>600</v>
      </c>
      <c r="E2258" s="2" t="s">
        <v>3889</v>
      </c>
      <c r="F2258" s="2" t="s">
        <v>14</v>
      </c>
      <c r="G2258" s="2" t="s">
        <v>15</v>
      </c>
      <c r="H2258" s="2">
        <v>17000000</v>
      </c>
      <c r="I2258" s="2">
        <v>5.6</v>
      </c>
      <c r="J2258" s="2">
        <f t="shared" si="16"/>
        <v>20939782</v>
      </c>
      <c r="K2258" s="2">
        <f t="shared" si="17"/>
        <v>-2.0295570346844836E-2</v>
      </c>
      <c r="L2258" s="2" t="str">
        <f>IF(ISNUMBER(SEARCH("|",IMDB_Movies!$D2258)),LEFT(IMDB_Movies!$D2258,SEARCH("|",IMDB_Movies!$D2258)-1),IMDB_Movies!$D2258)</f>
        <v>Comedy</v>
      </c>
      <c r="V2258" s="2"/>
      <c r="W2258" s="2"/>
    </row>
    <row r="2259" spans="1:23" ht="12.5" x14ac:dyDescent="0.25">
      <c r="A2259" s="2" t="s">
        <v>3890</v>
      </c>
      <c r="B2259" s="2">
        <v>82</v>
      </c>
      <c r="C2259" s="2">
        <v>30324946</v>
      </c>
      <c r="D2259" s="2" t="s">
        <v>3891</v>
      </c>
      <c r="E2259" s="2" t="s">
        <v>3892</v>
      </c>
      <c r="F2259" s="2" t="s">
        <v>14</v>
      </c>
      <c r="G2259" s="2" t="s">
        <v>15</v>
      </c>
      <c r="H2259" s="2">
        <v>17000000</v>
      </c>
      <c r="I2259" s="2">
        <v>6.2</v>
      </c>
      <c r="J2259" s="2">
        <f t="shared" si="16"/>
        <v>13324946</v>
      </c>
      <c r="K2259" s="2">
        <f t="shared" si="17"/>
        <v>-2.0290555851283424E-2</v>
      </c>
      <c r="L2259" s="2" t="str">
        <f>IF(ISNUMBER(SEARCH("|",IMDB_Movies!$D2259)),LEFT(IMDB_Movies!$D2259,SEARCH("|",IMDB_Movies!$D2259)-1),IMDB_Movies!$D2259)</f>
        <v>Comedy</v>
      </c>
      <c r="V2259" s="2"/>
      <c r="W2259" s="2"/>
    </row>
    <row r="2260" spans="1:23" ht="12.5" x14ac:dyDescent="0.25">
      <c r="A2260" s="2" t="s">
        <v>3893</v>
      </c>
      <c r="B2260" s="2">
        <v>86</v>
      </c>
      <c r="C2260" s="2">
        <v>27854896</v>
      </c>
      <c r="D2260" s="2" t="s">
        <v>256</v>
      </c>
      <c r="E2260" s="2" t="s">
        <v>3894</v>
      </c>
      <c r="F2260" s="2" t="s">
        <v>14</v>
      </c>
      <c r="G2260" s="2" t="s">
        <v>15</v>
      </c>
      <c r="H2260" s="2">
        <v>17000000</v>
      </c>
      <c r="I2260" s="2">
        <v>5.6</v>
      </c>
      <c r="J2260" s="2">
        <f t="shared" si="16"/>
        <v>10854896</v>
      </c>
      <c r="K2260" s="2">
        <f t="shared" si="17"/>
        <v>-2.0287150635688572E-2</v>
      </c>
      <c r="L2260" s="2" t="str">
        <f>IF(ISNUMBER(SEARCH("|",IMDB_Movies!$D2260)),LEFT(IMDB_Movies!$D2260,SEARCH("|",IMDB_Movies!$D2260)-1),IMDB_Movies!$D2260)</f>
        <v>Drama</v>
      </c>
      <c r="V2260" s="2"/>
      <c r="W2260" s="2"/>
    </row>
    <row r="2261" spans="1:23" ht="12.5" x14ac:dyDescent="0.25">
      <c r="A2261" s="2" t="s">
        <v>2483</v>
      </c>
      <c r="B2261" s="2">
        <v>108</v>
      </c>
      <c r="C2261" s="2">
        <v>41777564</v>
      </c>
      <c r="D2261" s="2" t="s">
        <v>2148</v>
      </c>
      <c r="E2261" s="2" t="s">
        <v>3895</v>
      </c>
      <c r="F2261" s="2" t="s">
        <v>14</v>
      </c>
      <c r="G2261" s="2" t="s">
        <v>15</v>
      </c>
      <c r="H2261" s="2">
        <v>15000000</v>
      </c>
      <c r="I2261" s="2">
        <v>6.4</v>
      </c>
      <c r="J2261" s="2">
        <f t="shared" si="16"/>
        <v>26777564</v>
      </c>
      <c r="K2261" s="2">
        <f t="shared" si="17"/>
        <v>-2.0284403757621645E-2</v>
      </c>
      <c r="L2261" s="2" t="str">
        <f>IF(ISNUMBER(SEARCH("|",IMDB_Movies!$D2261)),LEFT(IMDB_Movies!$D2261,SEARCH("|",IMDB_Movies!$D2261)-1),IMDB_Movies!$D2261)</f>
        <v>Horror</v>
      </c>
      <c r="V2261" s="2"/>
      <c r="W2261" s="2"/>
    </row>
    <row r="2262" spans="1:23" ht="12.5" x14ac:dyDescent="0.25">
      <c r="A2262" s="2" t="s">
        <v>1570</v>
      </c>
      <c r="B2262" s="2">
        <v>98</v>
      </c>
      <c r="C2262" s="2">
        <v>22734486</v>
      </c>
      <c r="D2262" s="2" t="s">
        <v>709</v>
      </c>
      <c r="E2262" s="2" t="s">
        <v>3896</v>
      </c>
      <c r="F2262" s="2" t="s">
        <v>14</v>
      </c>
      <c r="G2262" s="2" t="s">
        <v>15</v>
      </c>
      <c r="H2262" s="2">
        <v>17000000</v>
      </c>
      <c r="I2262" s="2">
        <v>5.6</v>
      </c>
      <c r="J2262" s="2">
        <f t="shared" si="16"/>
        <v>5734486</v>
      </c>
      <c r="K2262" s="2">
        <f t="shared" si="17"/>
        <v>-2.0276314400422542E-2</v>
      </c>
      <c r="L2262" s="2" t="str">
        <f>IF(ISNUMBER(SEARCH("|",IMDB_Movies!$D2262)),LEFT(IMDB_Movies!$D2262,SEARCH("|",IMDB_Movies!$D2262)-1),IMDB_Movies!$D2262)</f>
        <v>Comedy</v>
      </c>
      <c r="V2262" s="2"/>
      <c r="W2262" s="2"/>
    </row>
    <row r="2263" spans="1:23" ht="12.5" x14ac:dyDescent="0.25">
      <c r="A2263" s="2" t="s">
        <v>2825</v>
      </c>
      <c r="B2263" s="2">
        <v>129</v>
      </c>
      <c r="C2263" s="2">
        <v>44469602</v>
      </c>
      <c r="D2263" s="2" t="s">
        <v>585</v>
      </c>
      <c r="E2263" s="2" t="s">
        <v>3897</v>
      </c>
      <c r="F2263" s="2" t="s">
        <v>14</v>
      </c>
      <c r="G2263" s="2" t="s">
        <v>15</v>
      </c>
      <c r="H2263" s="2">
        <v>17000000</v>
      </c>
      <c r="I2263" s="2">
        <v>7.4</v>
      </c>
      <c r="J2263" s="2">
        <f t="shared" si="16"/>
        <v>27469602</v>
      </c>
      <c r="K2263" s="2">
        <f t="shared" si="17"/>
        <v>-2.0275148586690193E-2</v>
      </c>
      <c r="L2263" s="2" t="str">
        <f>IF(ISNUMBER(SEARCH("|",IMDB_Movies!$D2263)),LEFT(IMDB_Movies!$D2263,SEARCH("|",IMDB_Movies!$D2263)-1),IMDB_Movies!$D2263)</f>
        <v>Biography</v>
      </c>
      <c r="V2263" s="2"/>
      <c r="W2263" s="2"/>
    </row>
    <row r="2264" spans="1:23" ht="12.5" x14ac:dyDescent="0.25">
      <c r="A2264" s="2" t="s">
        <v>3898</v>
      </c>
      <c r="B2264" s="2">
        <v>112</v>
      </c>
      <c r="C2264" s="2">
        <v>64998368</v>
      </c>
      <c r="D2264" s="2" t="s">
        <v>3891</v>
      </c>
      <c r="E2264" s="2" t="s">
        <v>3899</v>
      </c>
      <c r="F2264" s="2" t="s">
        <v>14</v>
      </c>
      <c r="G2264" s="2" t="s">
        <v>15</v>
      </c>
      <c r="H2264" s="2">
        <v>17000000</v>
      </c>
      <c r="I2264" s="2">
        <v>7.2</v>
      </c>
      <c r="J2264" s="2">
        <f t="shared" si="16"/>
        <v>47998368</v>
      </c>
      <c r="K2264" s="2">
        <f t="shared" si="17"/>
        <v>-2.0269220412709205E-2</v>
      </c>
      <c r="L2264" s="2" t="str">
        <f>IF(ISNUMBER(SEARCH("|",IMDB_Movies!$D2264)),LEFT(IMDB_Movies!$D2264,SEARCH("|",IMDB_Movies!$D2264)-1),IMDB_Movies!$D2264)</f>
        <v>Comedy</v>
      </c>
      <c r="V2264" s="2"/>
      <c r="W2264" s="2"/>
    </row>
    <row r="2265" spans="1:23" ht="12.5" x14ac:dyDescent="0.25">
      <c r="A2265" s="2" t="s">
        <v>2446</v>
      </c>
      <c r="B2265" s="2">
        <v>108</v>
      </c>
      <c r="C2265" s="2">
        <v>19693891</v>
      </c>
      <c r="D2265" s="2" t="s">
        <v>1537</v>
      </c>
      <c r="E2265" s="2" t="s">
        <v>3900</v>
      </c>
      <c r="F2265" s="2" t="s">
        <v>14</v>
      </c>
      <c r="G2265" s="2" t="s">
        <v>15</v>
      </c>
      <c r="H2265" s="2">
        <v>34000000</v>
      </c>
      <c r="I2265" s="2">
        <v>4.9000000000000004</v>
      </c>
      <c r="J2265" s="2">
        <f t="shared" si="16"/>
        <v>-14306109</v>
      </c>
      <c r="K2265" s="2">
        <f t="shared" si="17"/>
        <v>-2.026359685281149E-2</v>
      </c>
      <c r="L2265" s="2" t="str">
        <f>IF(ISNUMBER(SEARCH("|",IMDB_Movies!$D2265)),LEFT(IMDB_Movies!$D2265,SEARCH("|",IMDB_Movies!$D2265)-1),IMDB_Movies!$D2265)</f>
        <v>Comedy</v>
      </c>
      <c r="V2265" s="2"/>
      <c r="W2265" s="2"/>
    </row>
    <row r="2266" spans="1:23" ht="12.5" x14ac:dyDescent="0.25">
      <c r="A2266" s="2" t="s">
        <v>39</v>
      </c>
      <c r="B2266" s="2">
        <v>121</v>
      </c>
      <c r="C2266" s="2">
        <v>16311763</v>
      </c>
      <c r="D2266" s="2" t="s">
        <v>763</v>
      </c>
      <c r="E2266" s="2" t="s">
        <v>3901</v>
      </c>
      <c r="F2266" s="2" t="s">
        <v>14</v>
      </c>
      <c r="G2266" s="2" t="s">
        <v>22</v>
      </c>
      <c r="H2266" s="2">
        <v>17000000</v>
      </c>
      <c r="I2266" s="2">
        <v>7.5</v>
      </c>
      <c r="J2266" s="2">
        <f t="shared" si="16"/>
        <v>-688237</v>
      </c>
      <c r="K2266" s="2">
        <f t="shared" si="17"/>
        <v>-2.0263761459382992E-2</v>
      </c>
      <c r="L2266" s="2" t="str">
        <f>IF(ISNUMBER(SEARCH("|",IMDB_Movies!$D2266)),LEFT(IMDB_Movies!$D2266,SEARCH("|",IMDB_Movies!$D2266)-1),IMDB_Movies!$D2266)</f>
        <v>Crime</v>
      </c>
      <c r="V2266" s="2"/>
      <c r="W2266" s="2"/>
    </row>
    <row r="2267" spans="1:23" ht="12.5" x14ac:dyDescent="0.25">
      <c r="A2267" s="2" t="s">
        <v>3902</v>
      </c>
      <c r="B2267" s="2">
        <v>89</v>
      </c>
      <c r="C2267" s="2">
        <v>12693621</v>
      </c>
      <c r="D2267" s="2" t="s">
        <v>1050</v>
      </c>
      <c r="E2267" s="2" t="s">
        <v>3903</v>
      </c>
      <c r="F2267" s="2" t="s">
        <v>14</v>
      </c>
      <c r="G2267" s="2" t="s">
        <v>15</v>
      </c>
      <c r="H2267" s="2">
        <v>17000000</v>
      </c>
      <c r="I2267" s="2">
        <v>4.8</v>
      </c>
      <c r="J2267" s="2">
        <f t="shared" si="16"/>
        <v>-4306379</v>
      </c>
      <c r="K2267" s="2">
        <f t="shared" si="17"/>
        <v>-2.0264985780705271E-2</v>
      </c>
      <c r="L2267" s="2" t="str">
        <f>IF(ISNUMBER(SEARCH("|",IMDB_Movies!$D2267)),LEFT(IMDB_Movies!$D2267,SEARCH("|",IMDB_Movies!$D2267)-1),IMDB_Movies!$D2267)</f>
        <v>Horror</v>
      </c>
      <c r="V2267" s="2"/>
      <c r="W2267" s="2"/>
    </row>
    <row r="2268" spans="1:23" ht="12.5" x14ac:dyDescent="0.25">
      <c r="A2268" s="2" t="s">
        <v>3904</v>
      </c>
      <c r="B2268" s="2">
        <v>89</v>
      </c>
      <c r="C2268" s="2">
        <v>15655665</v>
      </c>
      <c r="D2268" s="2" t="s">
        <v>600</v>
      </c>
      <c r="E2268" s="2" t="s">
        <v>3905</v>
      </c>
      <c r="F2268" s="2" t="s">
        <v>14</v>
      </c>
      <c r="G2268" s="2" t="s">
        <v>15</v>
      </c>
      <c r="H2268" s="2">
        <v>4000000</v>
      </c>
      <c r="I2268" s="2">
        <v>3.1</v>
      </c>
      <c r="J2268" s="2">
        <f t="shared" si="16"/>
        <v>11655665</v>
      </c>
      <c r="K2268" s="2">
        <f t="shared" si="17"/>
        <v>-2.0267771292417094E-2</v>
      </c>
      <c r="L2268" s="2" t="str">
        <f>IF(ISNUMBER(SEARCH("|",IMDB_Movies!$D2268)),LEFT(IMDB_Movies!$D2268,SEARCH("|",IMDB_Movies!$D2268)-1),IMDB_Movies!$D2268)</f>
        <v>Comedy</v>
      </c>
      <c r="V2268" s="2"/>
      <c r="W2268" s="2"/>
    </row>
    <row r="2269" spans="1:23" ht="12.5" x14ac:dyDescent="0.25">
      <c r="A2269" s="2" t="s">
        <v>3906</v>
      </c>
      <c r="B2269" s="2">
        <v>73</v>
      </c>
      <c r="C2269" s="2">
        <v>11634458</v>
      </c>
      <c r="D2269" s="2" t="s">
        <v>3907</v>
      </c>
      <c r="E2269" s="2" t="s">
        <v>3908</v>
      </c>
      <c r="F2269" s="2" t="s">
        <v>14</v>
      </c>
      <c r="G2269" s="2" t="s">
        <v>15</v>
      </c>
      <c r="H2269" s="2">
        <v>17000000</v>
      </c>
      <c r="I2269" s="2">
        <v>5.8</v>
      </c>
      <c r="J2269" s="2">
        <f t="shared" si="16"/>
        <v>-5365542</v>
      </c>
      <c r="K2269" s="2">
        <f t="shared" si="17"/>
        <v>-2.0272023161823562E-2</v>
      </c>
      <c r="L2269" s="2" t="str">
        <f>IF(ISNUMBER(SEARCH("|",IMDB_Movies!$D2269)),LEFT(IMDB_Movies!$D2269,SEARCH("|",IMDB_Movies!$D2269)-1),IMDB_Movies!$D2269)</f>
        <v>Adventure</v>
      </c>
      <c r="V2269" s="2"/>
      <c r="W2269" s="2"/>
    </row>
    <row r="2270" spans="1:23" ht="12.5" x14ac:dyDescent="0.25">
      <c r="A2270" s="2" t="s">
        <v>1071</v>
      </c>
      <c r="B2270" s="2">
        <v>132</v>
      </c>
      <c r="C2270" s="2">
        <v>27154426</v>
      </c>
      <c r="D2270" s="2" t="s">
        <v>763</v>
      </c>
      <c r="E2270" s="2" t="s">
        <v>3909</v>
      </c>
      <c r="F2270" s="2" t="s">
        <v>14</v>
      </c>
      <c r="G2270" s="2" t="s">
        <v>15</v>
      </c>
      <c r="H2270" s="2">
        <v>17000000</v>
      </c>
      <c r="I2270" s="2">
        <v>6.7</v>
      </c>
      <c r="J2270" s="2">
        <f t="shared" si="16"/>
        <v>10154426</v>
      </c>
      <c r="K2270" s="2">
        <f t="shared" si="17"/>
        <v>-2.0275303701140873E-2</v>
      </c>
      <c r="L2270" s="2" t="str">
        <f>IF(ISNUMBER(SEARCH("|",IMDB_Movies!$D2270)),LEFT(IMDB_Movies!$D2270,SEARCH("|",IMDB_Movies!$D2270)-1),IMDB_Movies!$D2270)</f>
        <v>Crime</v>
      </c>
      <c r="V2270" s="2"/>
      <c r="W2270" s="2"/>
    </row>
    <row r="2271" spans="1:23" ht="12.5" x14ac:dyDescent="0.25">
      <c r="A2271" s="2" t="s">
        <v>3910</v>
      </c>
      <c r="B2271" s="2">
        <v>96</v>
      </c>
      <c r="C2271" s="2">
        <v>54239856</v>
      </c>
      <c r="D2271" s="2" t="s">
        <v>2148</v>
      </c>
      <c r="E2271" s="2" t="s">
        <v>3911</v>
      </c>
      <c r="F2271" s="2" t="s">
        <v>14</v>
      </c>
      <c r="G2271" s="2" t="s">
        <v>15</v>
      </c>
      <c r="H2271" s="2">
        <v>17000000</v>
      </c>
      <c r="I2271" s="2">
        <v>6.5</v>
      </c>
      <c r="J2271" s="2">
        <f t="shared" si="16"/>
        <v>37239856</v>
      </c>
      <c r="K2271" s="2">
        <f t="shared" si="17"/>
        <v>-2.0272720535256084E-2</v>
      </c>
      <c r="L2271" s="2" t="str">
        <f>IF(ISNUMBER(SEARCH("|",IMDB_Movies!$D2271)),LEFT(IMDB_Movies!$D2271,SEARCH("|",IMDB_Movies!$D2271)-1),IMDB_Movies!$D2271)</f>
        <v>Horror</v>
      </c>
      <c r="V2271" s="2"/>
      <c r="W2271" s="2"/>
    </row>
    <row r="2272" spans="1:23" ht="12.5" x14ac:dyDescent="0.25">
      <c r="A2272" s="2" t="s">
        <v>1456</v>
      </c>
      <c r="B2272" s="2">
        <v>98</v>
      </c>
      <c r="C2272" s="2">
        <v>8662318</v>
      </c>
      <c r="D2272" s="2" t="s">
        <v>600</v>
      </c>
      <c r="E2272" s="2" t="s">
        <v>3912</v>
      </c>
      <c r="F2272" s="2" t="s">
        <v>14</v>
      </c>
      <c r="G2272" s="2" t="s">
        <v>15</v>
      </c>
      <c r="H2272" s="2">
        <v>17000000</v>
      </c>
      <c r="I2272" s="2">
        <v>5.9</v>
      </c>
      <c r="J2272" s="2">
        <f t="shared" si="16"/>
        <v>-8337682</v>
      </c>
      <c r="K2272" s="2">
        <f t="shared" si="17"/>
        <v>-2.0266295142182179E-2</v>
      </c>
      <c r="L2272" s="2" t="str">
        <f>IF(ISNUMBER(SEARCH("|",IMDB_Movies!$D2272)),LEFT(IMDB_Movies!$D2272,SEARCH("|",IMDB_Movies!$D2272)-1),IMDB_Movies!$D2272)</f>
        <v>Comedy</v>
      </c>
      <c r="V2272" s="2"/>
      <c r="W2272" s="2"/>
    </row>
    <row r="2273" spans="1:23" ht="12.5" x14ac:dyDescent="0.25">
      <c r="A2273" s="2" t="s">
        <v>620</v>
      </c>
      <c r="B2273" s="2">
        <v>107</v>
      </c>
      <c r="C2273" s="2">
        <v>7156725</v>
      </c>
      <c r="D2273" s="2" t="s">
        <v>2525</v>
      </c>
      <c r="E2273" s="2" t="s">
        <v>3913</v>
      </c>
      <c r="F2273" s="2" t="s">
        <v>14</v>
      </c>
      <c r="G2273" s="2" t="s">
        <v>15</v>
      </c>
      <c r="H2273" s="2">
        <v>19000000</v>
      </c>
      <c r="I2273" s="2">
        <v>5.5</v>
      </c>
      <c r="J2273" s="2">
        <f t="shared" si="16"/>
        <v>-11843275</v>
      </c>
      <c r="K2273" s="2">
        <f t="shared" si="17"/>
        <v>-2.0271002221877745E-2</v>
      </c>
      <c r="L2273" s="2" t="str">
        <f>IF(ISNUMBER(SEARCH("|",IMDB_Movies!$D2273)),LEFT(IMDB_Movies!$D2273,SEARCH("|",IMDB_Movies!$D2273)-1),IMDB_Movies!$D2273)</f>
        <v>Comedy</v>
      </c>
      <c r="V2273" s="2"/>
      <c r="W2273" s="2"/>
    </row>
    <row r="2274" spans="1:23" ht="12.5" x14ac:dyDescent="0.25">
      <c r="A2274" s="2" t="s">
        <v>3914</v>
      </c>
      <c r="B2274" s="2">
        <v>134</v>
      </c>
      <c r="C2274" s="2">
        <v>15681020</v>
      </c>
      <c r="D2274" s="2" t="s">
        <v>2542</v>
      </c>
      <c r="E2274" s="2" t="s">
        <v>3915</v>
      </c>
      <c r="F2274" s="2" t="s">
        <v>14</v>
      </c>
      <c r="G2274" s="2" t="s">
        <v>22</v>
      </c>
      <c r="H2274" s="2">
        <v>17000000</v>
      </c>
      <c r="I2274" s="2">
        <v>3.6</v>
      </c>
      <c r="J2274" s="2">
        <f t="shared" si="16"/>
        <v>-1318980</v>
      </c>
      <c r="K2274" s="2">
        <f t="shared" si="17"/>
        <v>-2.027510986868453E-2</v>
      </c>
      <c r="L2274" s="2" t="str">
        <f>IF(ISNUMBER(SEARCH("|",IMDB_Movies!$D2274)),LEFT(IMDB_Movies!$D2274,SEARCH("|",IMDB_Movies!$D2274)-1),IMDB_Movies!$D2274)</f>
        <v>Action</v>
      </c>
      <c r="V2274" s="2"/>
      <c r="W2274" s="2"/>
    </row>
    <row r="2275" spans="1:23" ht="12.5" x14ac:dyDescent="0.25">
      <c r="A2275" s="2" t="s">
        <v>3916</v>
      </c>
      <c r="B2275" s="2">
        <v>122</v>
      </c>
      <c r="C2275" s="2">
        <v>6855137</v>
      </c>
      <c r="D2275" s="2" t="s">
        <v>177</v>
      </c>
      <c r="E2275" s="2" t="s">
        <v>3917</v>
      </c>
      <c r="F2275" s="2" t="s">
        <v>14</v>
      </c>
      <c r="G2275" s="2" t="s">
        <v>287</v>
      </c>
      <c r="H2275" s="2">
        <v>17000000</v>
      </c>
      <c r="I2275" s="2">
        <v>7.4</v>
      </c>
      <c r="J2275" s="2">
        <f t="shared" si="16"/>
        <v>-10144863</v>
      </c>
      <c r="K2275" s="2">
        <f t="shared" si="17"/>
        <v>-2.0276605682582736E-2</v>
      </c>
      <c r="L2275" s="2" t="str">
        <f>IF(ISNUMBER(SEARCH("|",IMDB_Movies!$D2275)),LEFT(IMDB_Movies!$D2275,SEARCH("|",IMDB_Movies!$D2275)-1),IMDB_Movies!$D2275)</f>
        <v>Action</v>
      </c>
      <c r="V2275" s="2"/>
      <c r="W2275" s="2"/>
    </row>
    <row r="2276" spans="1:23" ht="12.5" x14ac:dyDescent="0.25">
      <c r="A2276" s="2" t="s">
        <v>3918</v>
      </c>
      <c r="B2276" s="2">
        <v>97</v>
      </c>
      <c r="C2276" s="2">
        <v>2315683</v>
      </c>
      <c r="D2276" s="2" t="s">
        <v>3919</v>
      </c>
      <c r="E2276" s="2" t="s">
        <v>3920</v>
      </c>
      <c r="F2276" s="2" t="s">
        <v>14</v>
      </c>
      <c r="G2276" s="2" t="s">
        <v>22</v>
      </c>
      <c r="H2276" s="2">
        <v>17000000</v>
      </c>
      <c r="I2276" s="2">
        <v>3</v>
      </c>
      <c r="J2276" s="2">
        <f t="shared" si="16"/>
        <v>-14684317</v>
      </c>
      <c r="K2276" s="2">
        <f t="shared" si="17"/>
        <v>-2.0282248970872753E-2</v>
      </c>
      <c r="L2276" s="2" t="str">
        <f>IF(ISNUMBER(SEARCH("|",IMDB_Movies!$D2276)),LEFT(IMDB_Movies!$D2276,SEARCH("|",IMDB_Movies!$D2276)-1),IMDB_Movies!$D2276)</f>
        <v>Adventure</v>
      </c>
      <c r="V2276" s="2"/>
      <c r="W2276" s="2"/>
    </row>
    <row r="2277" spans="1:23" ht="12.5" x14ac:dyDescent="0.25">
      <c r="A2277" s="2" t="s">
        <v>851</v>
      </c>
      <c r="B2277" s="2">
        <v>110</v>
      </c>
      <c r="C2277" s="2">
        <v>39825798</v>
      </c>
      <c r="D2277" s="2" t="s">
        <v>1137</v>
      </c>
      <c r="E2277" s="2" t="s">
        <v>3921</v>
      </c>
      <c r="F2277" s="2" t="s">
        <v>14</v>
      </c>
      <c r="G2277" s="2" t="s">
        <v>15</v>
      </c>
      <c r="H2277" s="2">
        <v>16000000</v>
      </c>
      <c r="I2277" s="2">
        <v>7.6</v>
      </c>
      <c r="J2277" s="2">
        <f t="shared" si="16"/>
        <v>23825798</v>
      </c>
      <c r="K2277" s="2">
        <f t="shared" si="17"/>
        <v>-2.0290371922218876E-2</v>
      </c>
      <c r="L2277" s="2" t="str">
        <f>IF(ISNUMBER(SEARCH("|",IMDB_Movies!$D2277)),LEFT(IMDB_Movies!$D2277,SEARCH("|",IMDB_Movies!$D2277)-1),IMDB_Movies!$D2277)</f>
        <v>Drama</v>
      </c>
      <c r="V2277" s="2"/>
      <c r="W2277" s="2"/>
    </row>
    <row r="2278" spans="1:23" ht="12.5" x14ac:dyDescent="0.25">
      <c r="A2278" s="2" t="s">
        <v>3922</v>
      </c>
      <c r="B2278" s="2">
        <v>102</v>
      </c>
      <c r="C2278" s="2">
        <v>2000000</v>
      </c>
      <c r="D2278" s="2" t="s">
        <v>2835</v>
      </c>
      <c r="E2278" s="2" t="s">
        <v>3923</v>
      </c>
      <c r="F2278" s="2" t="s">
        <v>14</v>
      </c>
      <c r="G2278" s="2" t="s">
        <v>15</v>
      </c>
      <c r="H2278" s="2">
        <v>17000000</v>
      </c>
      <c r="I2278" s="2">
        <v>6.4</v>
      </c>
      <c r="J2278" s="2">
        <f t="shared" si="16"/>
        <v>-15000000</v>
      </c>
      <c r="K2278" s="2">
        <f t="shared" si="17"/>
        <v>-2.0283811845253848E-2</v>
      </c>
      <c r="L2278" s="2" t="str">
        <f>IF(ISNUMBER(SEARCH("|",IMDB_Movies!$D2278)),LEFT(IMDB_Movies!$D2278,SEARCH("|",IMDB_Movies!$D2278)-1),IMDB_Movies!$D2278)</f>
        <v>Adventure</v>
      </c>
      <c r="V2278" s="2"/>
      <c r="W2278" s="2"/>
    </row>
    <row r="2279" spans="1:23" ht="12.5" x14ac:dyDescent="0.25">
      <c r="A2279" s="2" t="s">
        <v>482</v>
      </c>
      <c r="B2279" s="2">
        <v>98</v>
      </c>
      <c r="C2279" s="2">
        <v>1569918</v>
      </c>
      <c r="D2279" s="2" t="s">
        <v>1914</v>
      </c>
      <c r="E2279" s="2" t="s">
        <v>3924</v>
      </c>
      <c r="F2279" s="2" t="s">
        <v>14</v>
      </c>
      <c r="G2279" s="2" t="s">
        <v>2637</v>
      </c>
      <c r="H2279" s="2">
        <v>17000000</v>
      </c>
      <c r="I2279" s="2">
        <v>6.9</v>
      </c>
      <c r="J2279" s="2">
        <f t="shared" si="16"/>
        <v>-15430082</v>
      </c>
      <c r="K2279" s="2">
        <f t="shared" si="17"/>
        <v>-2.0292125460297548E-2</v>
      </c>
      <c r="L2279" s="2" t="str">
        <f>IF(ISNUMBER(SEARCH("|",IMDB_Movies!$D2279)),LEFT(IMDB_Movies!$D2279,SEARCH("|",IMDB_Movies!$D2279)-1),IMDB_Movies!$D2279)</f>
        <v>Biography</v>
      </c>
      <c r="V2279" s="2"/>
      <c r="W2279" s="2"/>
    </row>
    <row r="2280" spans="1:23" ht="12.5" x14ac:dyDescent="0.25">
      <c r="A2280" s="2" t="s">
        <v>3925</v>
      </c>
      <c r="B2280" s="2">
        <v>120</v>
      </c>
      <c r="C2280" s="2">
        <v>106869</v>
      </c>
      <c r="D2280" s="2" t="s">
        <v>1791</v>
      </c>
      <c r="E2280" s="2" t="s">
        <v>3926</v>
      </c>
      <c r="F2280" s="2" t="s">
        <v>14</v>
      </c>
      <c r="G2280" s="2" t="s">
        <v>686</v>
      </c>
      <c r="H2280" s="2">
        <v>17000000</v>
      </c>
      <c r="I2280" s="2">
        <v>6.6</v>
      </c>
      <c r="J2280" s="2">
        <f t="shared" si="16"/>
        <v>-16893131</v>
      </c>
      <c r="K2280" s="2">
        <f t="shared" si="17"/>
        <v>-2.0300699740798744E-2</v>
      </c>
      <c r="L2280" s="2" t="str">
        <f>IF(ISNUMBER(SEARCH("|",IMDB_Movies!$D2280)),LEFT(IMDB_Movies!$D2280,SEARCH("|",IMDB_Movies!$D2280)-1),IMDB_Movies!$D2280)</f>
        <v>Crime</v>
      </c>
      <c r="V2280" s="2"/>
      <c r="W2280" s="2"/>
    </row>
    <row r="2281" spans="1:23" ht="12.5" x14ac:dyDescent="0.25">
      <c r="A2281" s="2" t="s">
        <v>3190</v>
      </c>
      <c r="B2281" s="2">
        <v>160</v>
      </c>
      <c r="C2281" s="2">
        <v>273420</v>
      </c>
      <c r="D2281" s="2" t="s">
        <v>3927</v>
      </c>
      <c r="E2281" s="2" t="s">
        <v>3928</v>
      </c>
      <c r="F2281" s="2" t="s">
        <v>14</v>
      </c>
      <c r="G2281" s="2" t="s">
        <v>686</v>
      </c>
      <c r="H2281" s="2">
        <v>17000000</v>
      </c>
      <c r="I2281" s="2">
        <v>5.5</v>
      </c>
      <c r="J2281" s="2">
        <f t="shared" si="16"/>
        <v>-16726580</v>
      </c>
      <c r="K2281" s="2">
        <f t="shared" si="17"/>
        <v>-2.0310147316900496E-2</v>
      </c>
      <c r="L2281" s="2" t="str">
        <f>IF(ISNUMBER(SEARCH("|",IMDB_Movies!$D2281)),LEFT(IMDB_Movies!$D2281,SEARCH("|",IMDB_Movies!$D2281)-1),IMDB_Movies!$D2281)</f>
        <v>Comedy</v>
      </c>
      <c r="V2281" s="2"/>
      <c r="W2281" s="2"/>
    </row>
    <row r="2282" spans="1:23" ht="12.5" x14ac:dyDescent="0.25">
      <c r="A2282" s="2" t="s">
        <v>3929</v>
      </c>
      <c r="B2282" s="2">
        <v>83</v>
      </c>
      <c r="C2282" s="2">
        <v>4930798</v>
      </c>
      <c r="D2282" s="2" t="s">
        <v>2228</v>
      </c>
      <c r="E2282" s="2" t="s">
        <v>3930</v>
      </c>
      <c r="F2282" s="2" t="s">
        <v>14</v>
      </c>
      <c r="G2282" s="2" t="s">
        <v>15</v>
      </c>
      <c r="H2282" s="2">
        <v>17000000</v>
      </c>
      <c r="I2282" s="2">
        <v>4.0999999999999996</v>
      </c>
      <c r="J2282" s="2">
        <f t="shared" si="16"/>
        <v>-12069202</v>
      </c>
      <c r="K2282" s="2">
        <f t="shared" si="17"/>
        <v>-2.0319510369114269E-2</v>
      </c>
      <c r="L2282" s="2" t="str">
        <f>IF(ISNUMBER(SEARCH("|",IMDB_Movies!$D2282)),LEFT(IMDB_Movies!$D2282,SEARCH("|",IMDB_Movies!$D2282)-1),IMDB_Movies!$D2282)</f>
        <v>Horror</v>
      </c>
      <c r="V2282" s="2"/>
      <c r="W2282" s="2"/>
    </row>
    <row r="2283" spans="1:23" ht="12.5" x14ac:dyDescent="0.25">
      <c r="A2283" s="2" t="s">
        <v>3931</v>
      </c>
      <c r="B2283" s="2">
        <v>102</v>
      </c>
      <c r="C2283" s="2">
        <v>59847242</v>
      </c>
      <c r="D2283" s="2" t="s">
        <v>3056</v>
      </c>
      <c r="E2283" s="2" t="s">
        <v>3932</v>
      </c>
      <c r="F2283" s="2" t="s">
        <v>14</v>
      </c>
      <c r="G2283" s="2" t="s">
        <v>15</v>
      </c>
      <c r="H2283" s="2">
        <v>16500000</v>
      </c>
      <c r="I2283" s="2">
        <v>6.8</v>
      </c>
      <c r="J2283" s="2">
        <f t="shared" si="16"/>
        <v>43347242</v>
      </c>
      <c r="K2283" s="2">
        <f t="shared" si="17"/>
        <v>-2.0326235945614359E-2</v>
      </c>
      <c r="L2283" s="2" t="str">
        <f>IF(ISNUMBER(SEARCH("|",IMDB_Movies!$D2283)),LEFT(IMDB_Movies!$D2283,SEARCH("|",IMDB_Movies!$D2283)-1),IMDB_Movies!$D2283)</f>
        <v>Comedy</v>
      </c>
      <c r="V2283" s="2"/>
      <c r="W2283" s="2"/>
    </row>
    <row r="2284" spans="1:23" ht="12.5" x14ac:dyDescent="0.25">
      <c r="A2284" s="2" t="s">
        <v>3933</v>
      </c>
      <c r="B2284" s="2">
        <v>122</v>
      </c>
      <c r="C2284" s="2">
        <v>220914</v>
      </c>
      <c r="D2284" s="2" t="s">
        <v>2124</v>
      </c>
      <c r="E2284" s="2" t="s">
        <v>3934</v>
      </c>
      <c r="F2284" s="2" t="s">
        <v>14</v>
      </c>
      <c r="G2284" s="2" t="s">
        <v>15</v>
      </c>
      <c r="H2284" s="2">
        <v>16800000</v>
      </c>
      <c r="I2284" s="2">
        <v>6.5</v>
      </c>
      <c r="J2284" s="2">
        <f t="shared" si="16"/>
        <v>-16579086</v>
      </c>
      <c r="K2284" s="2">
        <f t="shared" si="17"/>
        <v>-2.0318810158892895E-2</v>
      </c>
      <c r="L2284" s="2" t="str">
        <f>IF(ISNUMBER(SEARCH("|",IMDB_Movies!$D2284)),LEFT(IMDB_Movies!$D2284,SEARCH("|",IMDB_Movies!$D2284)-1),IMDB_Movies!$D2284)</f>
        <v>Biography</v>
      </c>
      <c r="V2284" s="2"/>
      <c r="W2284" s="2"/>
    </row>
    <row r="2285" spans="1:23" ht="12.5" x14ac:dyDescent="0.25">
      <c r="A2285" s="2" t="s">
        <v>284</v>
      </c>
      <c r="B2285" s="2">
        <v>126</v>
      </c>
      <c r="C2285" s="2">
        <v>43848100</v>
      </c>
      <c r="D2285" s="2" t="s">
        <v>694</v>
      </c>
      <c r="E2285" s="2" t="s">
        <v>3935</v>
      </c>
      <c r="F2285" s="2" t="s">
        <v>14</v>
      </c>
      <c r="G2285" s="2" t="s">
        <v>15</v>
      </c>
      <c r="H2285" s="2">
        <v>15000000</v>
      </c>
      <c r="I2285" s="2">
        <v>7.4</v>
      </c>
      <c r="J2285" s="2">
        <f t="shared" si="16"/>
        <v>28848100</v>
      </c>
      <c r="K2285" s="2">
        <f t="shared" si="17"/>
        <v>-2.0328439727584996E-2</v>
      </c>
      <c r="L2285" s="2" t="str">
        <f>IF(ISNUMBER(SEARCH("|",IMDB_Movies!$D2285)),LEFT(IMDB_Movies!$D2285,SEARCH("|",IMDB_Movies!$D2285)-1),IMDB_Movies!$D2285)</f>
        <v>Crime</v>
      </c>
      <c r="V2285" s="2"/>
      <c r="W2285" s="2"/>
    </row>
    <row r="2286" spans="1:23" ht="12.5" x14ac:dyDescent="0.25">
      <c r="A2286" s="2" t="s">
        <v>393</v>
      </c>
      <c r="B2286" s="2">
        <v>136</v>
      </c>
      <c r="C2286" s="2">
        <v>42700000</v>
      </c>
      <c r="D2286" s="2" t="s">
        <v>85</v>
      </c>
      <c r="E2286" s="2" t="s">
        <v>3936</v>
      </c>
      <c r="F2286" s="2" t="s">
        <v>14</v>
      </c>
      <c r="G2286" s="2" t="s">
        <v>15</v>
      </c>
      <c r="H2286" s="2">
        <v>16500000</v>
      </c>
      <c r="I2286" s="2">
        <v>7.7</v>
      </c>
      <c r="J2286" s="2">
        <f t="shared" si="16"/>
        <v>26200000</v>
      </c>
      <c r="K2286" s="2">
        <f t="shared" si="17"/>
        <v>-2.0319725904345269E-2</v>
      </c>
      <c r="L2286" s="2" t="str">
        <f>IF(ISNUMBER(SEARCH("|",IMDB_Movies!$D2286)),LEFT(IMDB_Movies!$D2286,SEARCH("|",IMDB_Movies!$D2286)-1),IMDB_Movies!$D2286)</f>
        <v>Drama</v>
      </c>
      <c r="V2286" s="2"/>
      <c r="W2286" s="2"/>
    </row>
    <row r="2287" spans="1:23" ht="12.5" x14ac:dyDescent="0.25">
      <c r="A2287" s="2" t="s">
        <v>3937</v>
      </c>
      <c r="B2287" s="2">
        <v>120</v>
      </c>
      <c r="C2287" s="2">
        <v>18663911</v>
      </c>
      <c r="D2287" s="2" t="s">
        <v>2124</v>
      </c>
      <c r="E2287" s="2" t="s">
        <v>3938</v>
      </c>
      <c r="F2287" s="2" t="s">
        <v>14</v>
      </c>
      <c r="G2287" s="2" t="s">
        <v>22</v>
      </c>
      <c r="H2287" s="2">
        <v>16500000</v>
      </c>
      <c r="I2287" s="2">
        <v>7.1</v>
      </c>
      <c r="J2287" s="2">
        <f t="shared" si="16"/>
        <v>2163911</v>
      </c>
      <c r="K2287" s="2">
        <f t="shared" si="17"/>
        <v>-2.0313206888614897E-2</v>
      </c>
      <c r="L2287" s="2" t="str">
        <f>IF(ISNUMBER(SEARCH("|",IMDB_Movies!$D2287)),LEFT(IMDB_Movies!$D2287,SEARCH("|",IMDB_Movies!$D2287)-1),IMDB_Movies!$D2287)</f>
        <v>Biography</v>
      </c>
      <c r="V2287" s="2"/>
      <c r="W2287" s="2"/>
    </row>
    <row r="2288" spans="1:23" ht="12.5" x14ac:dyDescent="0.25">
      <c r="A2288" s="2" t="s">
        <v>3939</v>
      </c>
      <c r="B2288" s="2">
        <v>108</v>
      </c>
      <c r="C2288" s="2">
        <v>11702090</v>
      </c>
      <c r="D2288" s="2" t="s">
        <v>600</v>
      </c>
      <c r="E2288" s="2" t="s">
        <v>3940</v>
      </c>
      <c r="F2288" s="2" t="s">
        <v>14</v>
      </c>
      <c r="G2288" s="2" t="s">
        <v>15</v>
      </c>
      <c r="H2288" s="2">
        <v>16500000</v>
      </c>
      <c r="I2288" s="2">
        <v>6.3</v>
      </c>
      <c r="J2288" s="2">
        <f t="shared" si="16"/>
        <v>-4797910</v>
      </c>
      <c r="K2288" s="2">
        <f t="shared" si="17"/>
        <v>-2.0313531980525889E-2</v>
      </c>
      <c r="L2288" s="2" t="str">
        <f>IF(ISNUMBER(SEARCH("|",IMDB_Movies!$D2288)),LEFT(IMDB_Movies!$D2288,SEARCH("|",IMDB_Movies!$D2288)-1),IMDB_Movies!$D2288)</f>
        <v>Comedy</v>
      </c>
      <c r="V2288" s="2"/>
      <c r="W2288" s="2"/>
    </row>
    <row r="2289" spans="1:23" ht="12.5" x14ac:dyDescent="0.25">
      <c r="A2289" s="2" t="s">
        <v>3941</v>
      </c>
      <c r="B2289" s="2">
        <v>126</v>
      </c>
      <c r="C2289" s="2">
        <v>13005485</v>
      </c>
      <c r="D2289" s="2" t="s">
        <v>1180</v>
      </c>
      <c r="E2289" s="2" t="s">
        <v>3942</v>
      </c>
      <c r="F2289" s="2" t="s">
        <v>14</v>
      </c>
      <c r="G2289" s="2" t="s">
        <v>15</v>
      </c>
      <c r="H2289" s="2">
        <v>15000000</v>
      </c>
      <c r="I2289" s="2">
        <v>7.6</v>
      </c>
      <c r="J2289" s="2">
        <f t="shared" si="16"/>
        <v>-1994515</v>
      </c>
      <c r="K2289" s="2">
        <f t="shared" si="17"/>
        <v>-2.0317050087857301E-2</v>
      </c>
      <c r="L2289" s="2" t="str">
        <f>IF(ISNUMBER(SEARCH("|",IMDB_Movies!$D2289)),LEFT(IMDB_Movies!$D2289,SEARCH("|",IMDB_Movies!$D2289)-1),IMDB_Movies!$D2289)</f>
        <v>Drama</v>
      </c>
      <c r="V2289" s="2"/>
      <c r="W2289" s="2"/>
    </row>
    <row r="2290" spans="1:23" ht="12.5" x14ac:dyDescent="0.25">
      <c r="A2290" s="2" t="s">
        <v>405</v>
      </c>
      <c r="B2290" s="2">
        <v>128</v>
      </c>
      <c r="C2290" s="2">
        <v>95860116</v>
      </c>
      <c r="D2290" s="2" t="s">
        <v>891</v>
      </c>
      <c r="E2290" s="2" t="s">
        <v>3943</v>
      </c>
      <c r="F2290" s="2" t="s">
        <v>14</v>
      </c>
      <c r="G2290" s="2" t="s">
        <v>15</v>
      </c>
      <c r="H2290" s="2">
        <v>16400000</v>
      </c>
      <c r="I2290" s="2">
        <v>8</v>
      </c>
      <c r="J2290" s="2">
        <f t="shared" si="16"/>
        <v>79460116</v>
      </c>
      <c r="K2290" s="2">
        <f t="shared" si="17"/>
        <v>-2.0320474759824098E-2</v>
      </c>
      <c r="L2290" s="2" t="str">
        <f>IF(ISNUMBER(SEARCH("|",IMDB_Movies!$D2290)),LEFT(IMDB_Movies!$D2290,SEARCH("|",IMDB_Movies!$D2290)-1),IMDB_Movies!$D2290)</f>
        <v>Comedy</v>
      </c>
      <c r="V2290" s="2"/>
      <c r="W2290" s="2"/>
    </row>
    <row r="2291" spans="1:23" ht="12.5" x14ac:dyDescent="0.25">
      <c r="A2291" s="2" t="s">
        <v>3944</v>
      </c>
      <c r="B2291" s="2">
        <v>113</v>
      </c>
      <c r="C2291" s="2">
        <v>127175354</v>
      </c>
      <c r="D2291" s="2" t="s">
        <v>709</v>
      </c>
      <c r="E2291" s="2" t="s">
        <v>3945</v>
      </c>
      <c r="F2291" s="2" t="s">
        <v>14</v>
      </c>
      <c r="G2291" s="2" t="s">
        <v>15</v>
      </c>
      <c r="H2291" s="2">
        <v>16000000</v>
      </c>
      <c r="I2291" s="2">
        <v>7.3</v>
      </c>
      <c r="J2291" s="2">
        <f t="shared" si="16"/>
        <v>111175354</v>
      </c>
      <c r="K2291" s="2">
        <f t="shared" si="17"/>
        <v>-2.0321254386309176E-2</v>
      </c>
      <c r="L2291" s="2" t="str">
        <f>IF(ISNUMBER(SEARCH("|",IMDB_Movies!$D2291)),LEFT(IMDB_Movies!$D2291,SEARCH("|",IMDB_Movies!$D2291)-1),IMDB_Movies!$D2291)</f>
        <v>Comedy</v>
      </c>
      <c r="V2291" s="2"/>
      <c r="W2291" s="2"/>
    </row>
    <row r="2292" spans="1:23" ht="12.5" x14ac:dyDescent="0.25">
      <c r="A2292" s="2" t="s">
        <v>1340</v>
      </c>
      <c r="B2292" s="2">
        <v>89</v>
      </c>
      <c r="C2292" s="2">
        <v>92823600</v>
      </c>
      <c r="D2292" s="2" t="s">
        <v>514</v>
      </c>
      <c r="E2292" s="2" t="s">
        <v>3946</v>
      </c>
      <c r="F2292" s="2" t="s">
        <v>14</v>
      </c>
      <c r="G2292" s="2" t="s">
        <v>15</v>
      </c>
      <c r="H2292" s="2">
        <v>16000000</v>
      </c>
      <c r="I2292" s="2">
        <v>7.6</v>
      </c>
      <c r="J2292" s="2">
        <f t="shared" si="16"/>
        <v>76823600</v>
      </c>
      <c r="K2292" s="2">
        <f t="shared" si="17"/>
        <v>-2.0339064820772124E-2</v>
      </c>
      <c r="L2292" s="2" t="str">
        <f>IF(ISNUMBER(SEARCH("|",IMDB_Movies!$D2292)),LEFT(IMDB_Movies!$D2292,SEARCH("|",IMDB_Movies!$D2292)-1),IMDB_Movies!$D2292)</f>
        <v>Comedy</v>
      </c>
      <c r="V2292" s="2"/>
      <c r="W2292" s="2"/>
    </row>
    <row r="2293" spans="1:23" ht="12.5" x14ac:dyDescent="0.25">
      <c r="A2293" s="2" t="s">
        <v>3288</v>
      </c>
      <c r="B2293" s="2">
        <v>129</v>
      </c>
      <c r="C2293" s="2">
        <v>54000000</v>
      </c>
      <c r="D2293" s="2" t="s">
        <v>1180</v>
      </c>
      <c r="E2293" s="2" t="s">
        <v>3947</v>
      </c>
      <c r="F2293" s="2" t="s">
        <v>14</v>
      </c>
      <c r="G2293" s="2" t="s">
        <v>15</v>
      </c>
      <c r="H2293" s="2">
        <v>16000000</v>
      </c>
      <c r="I2293" s="2">
        <v>7.8</v>
      </c>
      <c r="J2293" s="2">
        <f t="shared" si="16"/>
        <v>38000000</v>
      </c>
      <c r="K2293" s="2">
        <f t="shared" si="17"/>
        <v>-2.0337091408907101E-2</v>
      </c>
      <c r="L2293" s="2" t="str">
        <f>IF(ISNUMBER(SEARCH("|",IMDB_Movies!$D2293)),LEFT(IMDB_Movies!$D2293,SEARCH("|",IMDB_Movies!$D2293)-1),IMDB_Movies!$D2293)</f>
        <v>Drama</v>
      </c>
      <c r="V2293" s="2"/>
      <c r="W2293" s="2"/>
    </row>
    <row r="2294" spans="1:23" ht="12.5" x14ac:dyDescent="0.25">
      <c r="A2294" s="2" t="s">
        <v>897</v>
      </c>
      <c r="B2294" s="2">
        <v>94</v>
      </c>
      <c r="C2294" s="2">
        <v>68525609</v>
      </c>
      <c r="D2294" s="2" t="s">
        <v>709</v>
      </c>
      <c r="E2294" s="2" t="s">
        <v>3948</v>
      </c>
      <c r="F2294" s="2" t="s">
        <v>14</v>
      </c>
      <c r="G2294" s="2" t="s">
        <v>15</v>
      </c>
      <c r="H2294" s="2">
        <v>15600000</v>
      </c>
      <c r="I2294" s="2">
        <v>6.5</v>
      </c>
      <c r="J2294" s="2">
        <f t="shared" si="16"/>
        <v>52925609</v>
      </c>
      <c r="K2294" s="2">
        <f t="shared" si="17"/>
        <v>-2.0328532345497054E-2</v>
      </c>
      <c r="L2294" s="2" t="str">
        <f>IF(ISNUMBER(SEARCH("|",IMDB_Movies!$D2294)),LEFT(IMDB_Movies!$D2294,SEARCH("|",IMDB_Movies!$D2294)-1),IMDB_Movies!$D2294)</f>
        <v>Comedy</v>
      </c>
      <c r="V2294" s="2"/>
      <c r="W2294" s="2"/>
    </row>
    <row r="2295" spans="1:23" ht="12.5" x14ac:dyDescent="0.25">
      <c r="A2295" s="2" t="s">
        <v>1408</v>
      </c>
      <c r="B2295" s="2">
        <v>106</v>
      </c>
      <c r="C2295" s="2">
        <v>52885587</v>
      </c>
      <c r="D2295" s="2" t="s">
        <v>1537</v>
      </c>
      <c r="E2295" s="2" t="s">
        <v>3949</v>
      </c>
      <c r="F2295" s="2" t="s">
        <v>14</v>
      </c>
      <c r="G2295" s="2" t="s">
        <v>15</v>
      </c>
      <c r="H2295" s="2">
        <v>16000000</v>
      </c>
      <c r="I2295" s="2">
        <v>6.4</v>
      </c>
      <c r="J2295" s="2">
        <f t="shared" si="16"/>
        <v>36885587</v>
      </c>
      <c r="K2295" s="2">
        <f t="shared" si="17"/>
        <v>-2.0319320058236206E-2</v>
      </c>
      <c r="L2295" s="2" t="str">
        <f>IF(ISNUMBER(SEARCH("|",IMDB_Movies!$D2295)),LEFT(IMDB_Movies!$D2295,SEARCH("|",IMDB_Movies!$D2295)-1),IMDB_Movies!$D2295)</f>
        <v>Comedy</v>
      </c>
      <c r="V2295" s="2"/>
      <c r="W2295" s="2"/>
    </row>
    <row r="2296" spans="1:23" ht="12.5" x14ac:dyDescent="0.25">
      <c r="A2296" s="2" t="s">
        <v>3950</v>
      </c>
      <c r="B2296" s="2">
        <v>100</v>
      </c>
      <c r="C2296" s="2">
        <v>44667095</v>
      </c>
      <c r="D2296" s="2" t="s">
        <v>514</v>
      </c>
      <c r="E2296" s="2" t="s">
        <v>3951</v>
      </c>
      <c r="F2296" s="2" t="s">
        <v>14</v>
      </c>
      <c r="G2296" s="2" t="s">
        <v>686</v>
      </c>
      <c r="H2296" s="2">
        <v>15000000</v>
      </c>
      <c r="I2296" s="2">
        <v>8</v>
      </c>
      <c r="J2296" s="2">
        <f t="shared" si="16"/>
        <v>29667095</v>
      </c>
      <c r="K2296" s="2">
        <f t="shared" si="17"/>
        <v>-2.0310791911029625E-2</v>
      </c>
      <c r="L2296" s="2" t="str">
        <f>IF(ISNUMBER(SEARCH("|",IMDB_Movies!$D2296)),LEFT(IMDB_Movies!$D2296,SEARCH("|",IMDB_Movies!$D2296)-1),IMDB_Movies!$D2296)</f>
        <v>Comedy</v>
      </c>
      <c r="V2296" s="2"/>
      <c r="W2296" s="2"/>
    </row>
    <row r="2297" spans="1:23" ht="12.5" x14ac:dyDescent="0.25">
      <c r="A2297" s="2" t="s">
        <v>1296</v>
      </c>
      <c r="B2297" s="2">
        <v>89</v>
      </c>
      <c r="C2297" s="2">
        <v>42638165</v>
      </c>
      <c r="D2297" s="2" t="s">
        <v>752</v>
      </c>
      <c r="E2297" s="2" t="s">
        <v>3952</v>
      </c>
      <c r="F2297" s="2" t="s">
        <v>14</v>
      </c>
      <c r="G2297" s="2" t="s">
        <v>15</v>
      </c>
      <c r="H2297" s="2">
        <v>16000000</v>
      </c>
      <c r="I2297" s="2">
        <v>4.8</v>
      </c>
      <c r="J2297" s="2">
        <f t="shared" ref="J2297:J2551" si="18">(C2297-H2297)</f>
        <v>26638165</v>
      </c>
      <c r="K2297" s="2">
        <f t="shared" si="17"/>
        <v>-2.0301713732088573E-2</v>
      </c>
      <c r="L2297" s="2" t="str">
        <f>IF(ISNUMBER(SEARCH("|",IMDB_Movies!$D2297)),LEFT(IMDB_Movies!$D2297,SEARCH("|",IMDB_Movies!$D2297)-1),IMDB_Movies!$D2297)</f>
        <v>Drama</v>
      </c>
      <c r="V2297" s="2"/>
      <c r="W2297" s="2"/>
    </row>
    <row r="2298" spans="1:23" ht="12.5" x14ac:dyDescent="0.25">
      <c r="A2298" s="2" t="s">
        <v>1821</v>
      </c>
      <c r="B2298" s="2">
        <v>94</v>
      </c>
      <c r="C2298" s="2">
        <v>45507053</v>
      </c>
      <c r="D2298" s="2" t="s">
        <v>3674</v>
      </c>
      <c r="E2298" s="2" t="s">
        <v>3953</v>
      </c>
      <c r="F2298" s="2" t="s">
        <v>14</v>
      </c>
      <c r="G2298" s="2" t="s">
        <v>15</v>
      </c>
      <c r="H2298" s="2">
        <v>16000000</v>
      </c>
      <c r="I2298" s="2">
        <v>7.8</v>
      </c>
      <c r="J2298" s="2">
        <f t="shared" si="18"/>
        <v>29507053</v>
      </c>
      <c r="K2298" s="2">
        <f t="shared" ref="K2298:K2552" si="19">CORREL(H2298:H6083,C2298:C6083)</f>
        <v>-2.0294395393096895E-2</v>
      </c>
      <c r="L2298" s="2" t="str">
        <f>IF(ISNUMBER(SEARCH("|",IMDB_Movies!$D2298)),LEFT(IMDB_Movies!$D2298,SEARCH("|",IMDB_Movies!$D2298)-1),IMDB_Movies!$D2298)</f>
        <v>Adventure</v>
      </c>
      <c r="V2298" s="2"/>
      <c r="W2298" s="2"/>
    </row>
    <row r="2299" spans="1:23" ht="12.5" x14ac:dyDescent="0.25">
      <c r="A2299" s="2" t="s">
        <v>325</v>
      </c>
      <c r="B2299" s="2">
        <v>83</v>
      </c>
      <c r="C2299" s="2">
        <v>39511038</v>
      </c>
      <c r="D2299" s="2" t="s">
        <v>2148</v>
      </c>
      <c r="E2299" s="2" t="s">
        <v>3954</v>
      </c>
      <c r="F2299" s="2" t="s">
        <v>14</v>
      </c>
      <c r="G2299" s="2" t="s">
        <v>15</v>
      </c>
      <c r="H2299" s="2">
        <v>16000000</v>
      </c>
      <c r="I2299" s="2">
        <v>5.9</v>
      </c>
      <c r="J2299" s="2">
        <f t="shared" si="18"/>
        <v>23511038</v>
      </c>
      <c r="K2299" s="2">
        <f t="shared" si="19"/>
        <v>-2.0286597554938116E-2</v>
      </c>
      <c r="L2299" s="2" t="str">
        <f>IF(ISNUMBER(SEARCH("|",IMDB_Movies!$D2299)),LEFT(IMDB_Movies!$D2299,SEARCH("|",IMDB_Movies!$D2299)-1),IMDB_Movies!$D2299)</f>
        <v>Horror</v>
      </c>
      <c r="V2299" s="2"/>
      <c r="W2299" s="2"/>
    </row>
    <row r="2300" spans="1:23" ht="12.5" x14ac:dyDescent="0.25">
      <c r="A2300" s="2" t="s">
        <v>3955</v>
      </c>
      <c r="B2300" s="2">
        <v>111</v>
      </c>
      <c r="C2300" s="2">
        <v>6462576</v>
      </c>
      <c r="D2300" s="2" t="s">
        <v>1180</v>
      </c>
      <c r="E2300" s="2" t="s">
        <v>3956</v>
      </c>
      <c r="F2300" s="2" t="s">
        <v>14</v>
      </c>
      <c r="G2300" s="2" t="s">
        <v>15</v>
      </c>
      <c r="H2300" s="2">
        <v>18500000</v>
      </c>
      <c r="I2300" s="2">
        <v>5.4</v>
      </c>
      <c r="J2300" s="2">
        <f t="shared" si="18"/>
        <v>-12037424</v>
      </c>
      <c r="K2300" s="2">
        <f t="shared" si="19"/>
        <v>-2.0279872289601004E-2</v>
      </c>
      <c r="L2300" s="2" t="str">
        <f>IF(ISNUMBER(SEARCH("|",IMDB_Movies!$D2300)),LEFT(IMDB_Movies!$D2300,SEARCH("|",IMDB_Movies!$D2300)-1),IMDB_Movies!$D2300)</f>
        <v>Drama</v>
      </c>
      <c r="V2300" s="2"/>
      <c r="W2300" s="2"/>
    </row>
    <row r="2301" spans="1:23" ht="12.5" x14ac:dyDescent="0.25">
      <c r="A2301" s="2" t="s">
        <v>3957</v>
      </c>
      <c r="B2301" s="2">
        <v>80</v>
      </c>
      <c r="C2301" s="2">
        <v>40363530</v>
      </c>
      <c r="D2301" s="2" t="s">
        <v>1058</v>
      </c>
      <c r="E2301" s="2" t="s">
        <v>3958</v>
      </c>
      <c r="F2301" s="2" t="s">
        <v>14</v>
      </c>
      <c r="G2301" s="2" t="s">
        <v>15</v>
      </c>
      <c r="H2301" s="2">
        <v>16000000</v>
      </c>
      <c r="I2301" s="2">
        <v>3.3</v>
      </c>
      <c r="J2301" s="2">
        <f t="shared" si="18"/>
        <v>24363530</v>
      </c>
      <c r="K2301" s="2">
        <f t="shared" si="19"/>
        <v>-2.0284654704983158E-2</v>
      </c>
      <c r="L2301" s="2" t="str">
        <f>IF(ISNUMBER(SEARCH("|",IMDB_Movies!$D2301)),LEFT(IMDB_Movies!$D2301,SEARCH("|",IMDB_Movies!$D2301)-1),IMDB_Movies!$D2301)</f>
        <v>Comedy</v>
      </c>
      <c r="V2301" s="2"/>
      <c r="W2301" s="2"/>
    </row>
    <row r="2302" spans="1:23" ht="12.5" x14ac:dyDescent="0.25">
      <c r="A2302" s="2" t="s">
        <v>138</v>
      </c>
      <c r="B2302" s="2">
        <v>112</v>
      </c>
      <c r="C2302" s="2">
        <v>37623143</v>
      </c>
      <c r="D2302" s="2" t="s">
        <v>3959</v>
      </c>
      <c r="E2302" s="2" t="s">
        <v>3960</v>
      </c>
      <c r="F2302" s="2" t="s">
        <v>971</v>
      </c>
      <c r="G2302" s="2" t="s">
        <v>1239</v>
      </c>
      <c r="H2302" s="2">
        <v>13500000</v>
      </c>
      <c r="I2302" s="2">
        <v>8.1999999999999993</v>
      </c>
      <c r="J2302" s="2">
        <f t="shared" si="18"/>
        <v>24123143</v>
      </c>
      <c r="K2302" s="2">
        <f t="shared" si="19"/>
        <v>-2.0277737543493893E-2</v>
      </c>
      <c r="L2302" s="2" t="str">
        <f>IF(ISNUMBER(SEARCH("|",IMDB_Movies!$D2302)),LEFT(IMDB_Movies!$D2302,SEARCH("|",IMDB_Movies!$D2302)-1),IMDB_Movies!$D2302)</f>
        <v>Drama</v>
      </c>
      <c r="V2302" s="2"/>
      <c r="W2302" s="2"/>
    </row>
    <row r="2303" spans="1:23" ht="12.5" x14ac:dyDescent="0.25">
      <c r="A2303" s="2" t="s">
        <v>2140</v>
      </c>
      <c r="B2303" s="2">
        <v>94</v>
      </c>
      <c r="C2303" s="2">
        <v>33357476</v>
      </c>
      <c r="D2303" s="2" t="s">
        <v>3961</v>
      </c>
      <c r="E2303" s="2" t="s">
        <v>3962</v>
      </c>
      <c r="F2303" s="2" t="s">
        <v>14</v>
      </c>
      <c r="G2303" s="2" t="s">
        <v>15</v>
      </c>
      <c r="H2303" s="2">
        <v>35000000</v>
      </c>
      <c r="I2303" s="2">
        <v>5.4</v>
      </c>
      <c r="J2303" s="2">
        <f t="shared" si="18"/>
        <v>-1642524</v>
      </c>
      <c r="K2303" s="2">
        <f t="shared" si="19"/>
        <v>-2.0268813736465524E-2</v>
      </c>
      <c r="L2303" s="2" t="str">
        <f>IF(ISNUMBER(SEARCH("|",IMDB_Movies!$D2303)),LEFT(IMDB_Movies!$D2303,SEARCH("|",IMDB_Movies!$D2303)-1),IMDB_Movies!$D2303)</f>
        <v>Action</v>
      </c>
      <c r="V2303" s="2"/>
      <c r="W2303" s="2"/>
    </row>
    <row r="2304" spans="1:23" ht="12.5" x14ac:dyDescent="0.25">
      <c r="A2304" s="2" t="s">
        <v>1020</v>
      </c>
      <c r="B2304" s="2">
        <v>130</v>
      </c>
      <c r="C2304" s="2">
        <v>28734552</v>
      </c>
      <c r="D2304" s="2" t="s">
        <v>1791</v>
      </c>
      <c r="E2304" s="2" t="s">
        <v>3963</v>
      </c>
      <c r="F2304" s="2" t="s">
        <v>14</v>
      </c>
      <c r="G2304" s="2" t="s">
        <v>15</v>
      </c>
      <c r="H2304" s="2">
        <v>16000000</v>
      </c>
      <c r="I2304" s="2">
        <v>6.4</v>
      </c>
      <c r="J2304" s="2">
        <f t="shared" si="18"/>
        <v>12734552</v>
      </c>
      <c r="K2304" s="2">
        <f t="shared" si="19"/>
        <v>-2.0278850863270696E-2</v>
      </c>
      <c r="L2304" s="2" t="str">
        <f>IF(ISNUMBER(SEARCH("|",IMDB_Movies!$D2304)),LEFT(IMDB_Movies!$D2304,SEARCH("|",IMDB_Movies!$D2304)-1),IMDB_Movies!$D2304)</f>
        <v>Crime</v>
      </c>
      <c r="V2304" s="2"/>
      <c r="W2304" s="2"/>
    </row>
    <row r="2305" spans="1:23" ht="12.5" x14ac:dyDescent="0.25">
      <c r="A2305" s="2" t="s">
        <v>3964</v>
      </c>
      <c r="B2305" s="2">
        <v>91</v>
      </c>
      <c r="C2305" s="2">
        <v>37300107</v>
      </c>
      <c r="D2305" s="2" t="s">
        <v>1507</v>
      </c>
      <c r="E2305" s="2" t="s">
        <v>3965</v>
      </c>
      <c r="F2305" s="2" t="s">
        <v>14</v>
      </c>
      <c r="G2305" s="2" t="s">
        <v>15</v>
      </c>
      <c r="H2305" s="2">
        <v>16000000</v>
      </c>
      <c r="I2305" s="2">
        <v>4.8</v>
      </c>
      <c r="J2305" s="2">
        <f t="shared" si="18"/>
        <v>21300107</v>
      </c>
      <c r="K2305" s="2">
        <f t="shared" si="19"/>
        <v>-2.0275077833650488E-2</v>
      </c>
      <c r="L2305" s="2" t="str">
        <f>IF(ISNUMBER(SEARCH("|",IMDB_Movies!$D2305)),LEFT(IMDB_Movies!$D2305,SEARCH("|",IMDB_Movies!$D2305)-1),IMDB_Movies!$D2305)</f>
        <v>Drama</v>
      </c>
      <c r="V2305" s="2"/>
      <c r="W2305" s="2"/>
    </row>
    <row r="2306" spans="1:23" ht="12.5" x14ac:dyDescent="0.25">
      <c r="A2306" s="2" t="s">
        <v>2259</v>
      </c>
      <c r="B2306" s="2">
        <v>91</v>
      </c>
      <c r="C2306" s="2">
        <v>27087695</v>
      </c>
      <c r="D2306" s="2" t="s">
        <v>1822</v>
      </c>
      <c r="E2306" s="2" t="s">
        <v>3966</v>
      </c>
      <c r="F2306" s="2" t="s">
        <v>14</v>
      </c>
      <c r="G2306" s="2" t="s">
        <v>15</v>
      </c>
      <c r="H2306" s="2">
        <v>17700000</v>
      </c>
      <c r="I2306" s="2">
        <v>5.9</v>
      </c>
      <c r="J2306" s="2">
        <f t="shared" si="18"/>
        <v>9387695</v>
      </c>
      <c r="K2306" s="2">
        <f t="shared" si="19"/>
        <v>-2.0268821320031546E-2</v>
      </c>
      <c r="L2306" s="2" t="str">
        <f>IF(ISNUMBER(SEARCH("|",IMDB_Movies!$D2306)),LEFT(IMDB_Movies!$D2306,SEARCH("|",IMDB_Movies!$D2306)-1),IMDB_Movies!$D2306)</f>
        <v>Adventure</v>
      </c>
      <c r="V2306" s="2"/>
      <c r="W2306" s="2"/>
    </row>
    <row r="2307" spans="1:23" ht="12.5" x14ac:dyDescent="0.25">
      <c r="A2307" s="2" t="s">
        <v>3967</v>
      </c>
      <c r="B2307" s="2">
        <v>110</v>
      </c>
      <c r="C2307" s="2">
        <v>30102717</v>
      </c>
      <c r="D2307" s="2" t="s">
        <v>1558</v>
      </c>
      <c r="E2307" s="2" t="s">
        <v>3968</v>
      </c>
      <c r="F2307" s="2" t="s">
        <v>14</v>
      </c>
      <c r="G2307" s="2" t="s">
        <v>15</v>
      </c>
      <c r="H2307" s="2">
        <v>15000000</v>
      </c>
      <c r="I2307" s="2">
        <v>5.5</v>
      </c>
      <c r="J2307" s="2">
        <f t="shared" si="18"/>
        <v>15102717</v>
      </c>
      <c r="K2307" s="2">
        <f t="shared" si="19"/>
        <v>-2.0266372895500758E-2</v>
      </c>
      <c r="L2307" s="2" t="str">
        <f>IF(ISNUMBER(SEARCH("|",IMDB_Movies!$D2307)),LEFT(IMDB_Movies!$D2307,SEARCH("|",IMDB_Movies!$D2307)-1),IMDB_Movies!$D2307)</f>
        <v>Action</v>
      </c>
      <c r="V2307" s="2"/>
      <c r="W2307" s="2"/>
    </row>
    <row r="2308" spans="1:23" ht="12.5" x14ac:dyDescent="0.25">
      <c r="A2308" s="2" t="s">
        <v>869</v>
      </c>
      <c r="B2308" s="2">
        <v>121</v>
      </c>
      <c r="C2308" s="2">
        <v>23618786</v>
      </c>
      <c r="D2308" s="2" t="s">
        <v>3969</v>
      </c>
      <c r="E2308" s="2" t="s">
        <v>3970</v>
      </c>
      <c r="F2308" s="2" t="s">
        <v>14</v>
      </c>
      <c r="G2308" s="2" t="s">
        <v>22</v>
      </c>
      <c r="H2308" s="2">
        <v>8000000</v>
      </c>
      <c r="I2308" s="2">
        <v>7.9</v>
      </c>
      <c r="J2308" s="2">
        <f t="shared" si="18"/>
        <v>15618786</v>
      </c>
      <c r="K2308" s="2">
        <f t="shared" si="19"/>
        <v>-2.0261510342464244E-2</v>
      </c>
      <c r="L2308" s="2" t="str">
        <f>IF(ISNUMBER(SEARCH("|",IMDB_Movies!$D2308)),LEFT(IMDB_Movies!$D2308,SEARCH("|",IMDB_Movies!$D2308)-1),IMDB_Movies!$D2308)</f>
        <v>Action</v>
      </c>
      <c r="V2308" s="2"/>
      <c r="W2308" s="2"/>
    </row>
    <row r="2309" spans="1:23" ht="12.5" x14ac:dyDescent="0.25">
      <c r="A2309" s="2" t="s">
        <v>3971</v>
      </c>
      <c r="B2309" s="2">
        <v>114</v>
      </c>
      <c r="C2309" s="2">
        <v>26896744</v>
      </c>
      <c r="D2309" s="2" t="s">
        <v>891</v>
      </c>
      <c r="E2309" s="2" t="s">
        <v>3972</v>
      </c>
      <c r="F2309" s="2" t="s">
        <v>14</v>
      </c>
      <c r="G2309" s="2" t="s">
        <v>15</v>
      </c>
      <c r="H2309" s="2">
        <v>16500000</v>
      </c>
      <c r="I2309" s="2">
        <v>4.9000000000000004</v>
      </c>
      <c r="J2309" s="2">
        <f t="shared" si="18"/>
        <v>10396744</v>
      </c>
      <c r="K2309" s="2">
        <f t="shared" si="19"/>
        <v>-2.0257556700457934E-2</v>
      </c>
      <c r="L2309" s="2" t="str">
        <f>IF(ISNUMBER(SEARCH("|",IMDB_Movies!$D2309)),LEFT(IMDB_Movies!$D2309,SEARCH("|",IMDB_Movies!$D2309)-1),IMDB_Movies!$D2309)</f>
        <v>Comedy</v>
      </c>
      <c r="V2309" s="2"/>
      <c r="W2309" s="2"/>
    </row>
    <row r="2310" spans="1:23" ht="12.5" x14ac:dyDescent="0.25">
      <c r="A2310" s="2" t="s">
        <v>2732</v>
      </c>
      <c r="B2310" s="2">
        <v>96</v>
      </c>
      <c r="C2310" s="2">
        <v>23213577</v>
      </c>
      <c r="D2310" s="2" t="s">
        <v>85</v>
      </c>
      <c r="E2310" s="2" t="s">
        <v>3973</v>
      </c>
      <c r="F2310" s="2" t="s">
        <v>14</v>
      </c>
      <c r="G2310" s="2" t="s">
        <v>1239</v>
      </c>
      <c r="H2310" s="2">
        <v>15500000</v>
      </c>
      <c r="I2310" s="2">
        <v>7.2</v>
      </c>
      <c r="J2310" s="2">
        <f t="shared" si="18"/>
        <v>7713577</v>
      </c>
      <c r="K2310" s="2">
        <f t="shared" si="19"/>
        <v>-2.0254616176594596E-2</v>
      </c>
      <c r="L2310" s="2" t="str">
        <f>IF(ISNUMBER(SEARCH("|",IMDB_Movies!$D2310)),LEFT(IMDB_Movies!$D2310,SEARCH("|",IMDB_Movies!$D2310)-1),IMDB_Movies!$D2310)</f>
        <v>Drama</v>
      </c>
      <c r="V2310" s="2"/>
      <c r="W2310" s="2"/>
    </row>
    <row r="2311" spans="1:23" ht="12.5" x14ac:dyDescent="0.25">
      <c r="A2311" s="2" t="s">
        <v>3974</v>
      </c>
      <c r="B2311" s="2">
        <v>94</v>
      </c>
      <c r="C2311" s="2">
        <v>20627372</v>
      </c>
      <c r="D2311" s="2" t="s">
        <v>514</v>
      </c>
      <c r="E2311" s="2" t="s">
        <v>3975</v>
      </c>
      <c r="F2311" s="2" t="s">
        <v>14</v>
      </c>
      <c r="G2311" s="2" t="s">
        <v>15</v>
      </c>
      <c r="H2311" s="2">
        <v>16000000</v>
      </c>
      <c r="I2311" s="2">
        <v>5.3</v>
      </c>
      <c r="J2311" s="2">
        <f t="shared" si="18"/>
        <v>4627372</v>
      </c>
      <c r="K2311" s="2">
        <f t="shared" si="19"/>
        <v>-2.0252738729412009E-2</v>
      </c>
      <c r="L2311" s="2" t="str">
        <f>IF(ISNUMBER(SEARCH("|",IMDB_Movies!$D2311)),LEFT(IMDB_Movies!$D2311,SEARCH("|",IMDB_Movies!$D2311)-1),IMDB_Movies!$D2311)</f>
        <v>Comedy</v>
      </c>
      <c r="V2311" s="2"/>
      <c r="W2311" s="2"/>
    </row>
    <row r="2312" spans="1:23" ht="12.5" x14ac:dyDescent="0.25">
      <c r="A2312" s="2" t="s">
        <v>3976</v>
      </c>
      <c r="B2312" s="2">
        <v>109</v>
      </c>
      <c r="C2312" s="2">
        <v>16346122</v>
      </c>
      <c r="D2312" s="2" t="s">
        <v>1180</v>
      </c>
      <c r="E2312" s="2" t="s">
        <v>3977</v>
      </c>
      <c r="F2312" s="2" t="s">
        <v>14</v>
      </c>
      <c r="G2312" s="2" t="s">
        <v>15</v>
      </c>
      <c r="H2312" s="2">
        <v>16000000</v>
      </c>
      <c r="I2312" s="2">
        <v>7.2</v>
      </c>
      <c r="J2312" s="2">
        <f t="shared" si="18"/>
        <v>346122</v>
      </c>
      <c r="K2312" s="2">
        <f t="shared" si="19"/>
        <v>-2.0252053602594397E-2</v>
      </c>
      <c r="L2312" s="2" t="str">
        <f>IF(ISNUMBER(SEARCH("|",IMDB_Movies!$D2312)),LEFT(IMDB_Movies!$D2312,SEARCH("|",IMDB_Movies!$D2312)-1),IMDB_Movies!$D2312)</f>
        <v>Drama</v>
      </c>
      <c r="V2312" s="2"/>
      <c r="W2312" s="2"/>
    </row>
    <row r="2313" spans="1:23" ht="12.5" x14ac:dyDescent="0.25">
      <c r="A2313" s="2" t="s">
        <v>1628</v>
      </c>
      <c r="B2313" s="2">
        <v>107</v>
      </c>
      <c r="C2313" s="2">
        <v>16204793</v>
      </c>
      <c r="D2313" s="2" t="s">
        <v>327</v>
      </c>
      <c r="E2313" s="2" t="s">
        <v>3978</v>
      </c>
      <c r="F2313" s="2" t="s">
        <v>14</v>
      </c>
      <c r="G2313" s="2" t="s">
        <v>15</v>
      </c>
      <c r="H2313" s="2">
        <v>16000000</v>
      </c>
      <c r="I2313" s="2">
        <v>5.0999999999999996</v>
      </c>
      <c r="J2313" s="2">
        <f t="shared" si="18"/>
        <v>204793</v>
      </c>
      <c r="K2313" s="2">
        <f t="shared" si="19"/>
        <v>-2.025332065274723E-2</v>
      </c>
      <c r="L2313" s="2" t="str">
        <f>IF(ISNUMBER(SEARCH("|",IMDB_Movies!$D2313)),LEFT(IMDB_Movies!$D2313,SEARCH("|",IMDB_Movies!$D2313)-1),IMDB_Movies!$D2313)</f>
        <v>Comedy</v>
      </c>
      <c r="V2313" s="2"/>
      <c r="W2313" s="2"/>
    </row>
    <row r="2314" spans="1:23" ht="12.5" x14ac:dyDescent="0.25">
      <c r="A2314" s="2" t="s">
        <v>3979</v>
      </c>
      <c r="B2314" s="2">
        <v>96</v>
      </c>
      <c r="C2314" s="2">
        <v>15427192</v>
      </c>
      <c r="D2314" s="2" t="s">
        <v>3980</v>
      </c>
      <c r="E2314" s="2" t="s">
        <v>3981</v>
      </c>
      <c r="F2314" s="2" t="s">
        <v>14</v>
      </c>
      <c r="G2314" s="2" t="s">
        <v>15</v>
      </c>
      <c r="H2314" s="2">
        <v>16000000</v>
      </c>
      <c r="I2314" s="2">
        <v>5.6</v>
      </c>
      <c r="J2314" s="2">
        <f t="shared" si="18"/>
        <v>-572808</v>
      </c>
      <c r="K2314" s="2">
        <f t="shared" si="19"/>
        <v>-2.0254657492300765E-2</v>
      </c>
      <c r="L2314" s="2" t="str">
        <f>IF(ISNUMBER(SEARCH("|",IMDB_Movies!$D2314)),LEFT(IMDB_Movies!$D2314,SEARCH("|",IMDB_Movies!$D2314)-1),IMDB_Movies!$D2314)</f>
        <v>Comedy</v>
      </c>
      <c r="V2314" s="2"/>
      <c r="W2314" s="2"/>
    </row>
    <row r="2315" spans="1:23" ht="12.5" x14ac:dyDescent="0.25">
      <c r="A2315" s="2" t="s">
        <v>2732</v>
      </c>
      <c r="B2315" s="2">
        <v>88</v>
      </c>
      <c r="C2315" s="2">
        <v>14792779</v>
      </c>
      <c r="D2315" s="2" t="s">
        <v>709</v>
      </c>
      <c r="E2315" s="2" t="s">
        <v>3982</v>
      </c>
      <c r="F2315" s="2" t="s">
        <v>14</v>
      </c>
      <c r="G2315" s="2" t="s">
        <v>15</v>
      </c>
      <c r="H2315" s="2">
        <v>16000000</v>
      </c>
      <c r="I2315" s="2">
        <v>7.6</v>
      </c>
      <c r="J2315" s="2">
        <f t="shared" si="18"/>
        <v>-1207221</v>
      </c>
      <c r="K2315" s="2">
        <f t="shared" si="19"/>
        <v>-2.0256374957910762E-2</v>
      </c>
      <c r="L2315" s="2" t="str">
        <f>IF(ISNUMBER(SEARCH("|",IMDB_Movies!$D2315)),LEFT(IMDB_Movies!$D2315,SEARCH("|",IMDB_Movies!$D2315)-1),IMDB_Movies!$D2315)</f>
        <v>Comedy</v>
      </c>
      <c r="V2315" s="2"/>
      <c r="W2315" s="2"/>
    </row>
    <row r="2316" spans="1:23" ht="12.5" x14ac:dyDescent="0.25">
      <c r="A2316" s="2" t="s">
        <v>3983</v>
      </c>
      <c r="B2316" s="2">
        <v>113</v>
      </c>
      <c r="C2316" s="2">
        <v>19057024</v>
      </c>
      <c r="D2316" s="2" t="s">
        <v>85</v>
      </c>
      <c r="E2316" s="2" t="s">
        <v>3984</v>
      </c>
      <c r="F2316" s="2" t="s">
        <v>14</v>
      </c>
      <c r="G2316" s="2" t="s">
        <v>15</v>
      </c>
      <c r="H2316" s="2">
        <v>16000000</v>
      </c>
      <c r="I2316" s="2">
        <v>7.2</v>
      </c>
      <c r="J2316" s="2">
        <f t="shared" si="18"/>
        <v>3057024</v>
      </c>
      <c r="K2316" s="2">
        <f t="shared" si="19"/>
        <v>-2.0258409117460397E-2</v>
      </c>
      <c r="L2316" s="2" t="str">
        <f>IF(ISNUMBER(SEARCH("|",IMDB_Movies!$D2316)),LEFT(IMDB_Movies!$D2316,SEARCH("|",IMDB_Movies!$D2316)-1),IMDB_Movies!$D2316)</f>
        <v>Drama</v>
      </c>
      <c r="V2316" s="2"/>
      <c r="W2316" s="2"/>
    </row>
    <row r="2317" spans="1:23" ht="12.5" x14ac:dyDescent="0.25">
      <c r="A2317" s="2" t="s">
        <v>3985</v>
      </c>
      <c r="B2317" s="2">
        <v>101</v>
      </c>
      <c r="C2317" s="2">
        <v>14108518</v>
      </c>
      <c r="D2317" s="2" t="s">
        <v>514</v>
      </c>
      <c r="E2317" s="2" t="s">
        <v>3986</v>
      </c>
      <c r="F2317" s="2" t="s">
        <v>14</v>
      </c>
      <c r="G2317" s="2" t="s">
        <v>15</v>
      </c>
      <c r="H2317" s="2">
        <v>16000000</v>
      </c>
      <c r="I2317" s="2">
        <v>5.7</v>
      </c>
      <c r="J2317" s="2">
        <f t="shared" si="18"/>
        <v>-1891482</v>
      </c>
      <c r="K2317" s="2">
        <f t="shared" si="19"/>
        <v>-2.0258419478415422E-2</v>
      </c>
      <c r="L2317" s="2" t="str">
        <f>IF(ISNUMBER(SEARCH("|",IMDB_Movies!$D2317)),LEFT(IMDB_Movies!$D2317,SEARCH("|",IMDB_Movies!$D2317)-1),IMDB_Movies!$D2317)</f>
        <v>Comedy</v>
      </c>
      <c r="V2317" s="2"/>
      <c r="W2317" s="2"/>
    </row>
    <row r="2318" spans="1:23" ht="12.5" x14ac:dyDescent="0.25">
      <c r="A2318" s="2" t="s">
        <v>3225</v>
      </c>
      <c r="B2318" s="2">
        <v>105</v>
      </c>
      <c r="C2318" s="2">
        <v>13854000</v>
      </c>
      <c r="D2318" s="2" t="s">
        <v>875</v>
      </c>
      <c r="E2318" s="2" t="s">
        <v>3987</v>
      </c>
      <c r="F2318" s="2" t="s">
        <v>14</v>
      </c>
      <c r="G2318" s="2" t="s">
        <v>15</v>
      </c>
      <c r="H2318" s="2">
        <v>20000000</v>
      </c>
      <c r="I2318" s="2">
        <v>5.2</v>
      </c>
      <c r="J2318" s="2">
        <f t="shared" si="18"/>
        <v>-6146000</v>
      </c>
      <c r="K2318" s="2">
        <f t="shared" si="19"/>
        <v>-2.0260802360701189E-2</v>
      </c>
      <c r="L2318" s="2" t="str">
        <f>IF(ISNUMBER(SEARCH("|",IMDB_Movies!$D2318)),LEFT(IMDB_Movies!$D2318,SEARCH("|",IMDB_Movies!$D2318)-1),IMDB_Movies!$D2318)</f>
        <v>Comedy</v>
      </c>
      <c r="V2318" s="2"/>
      <c r="W2318" s="2"/>
    </row>
    <row r="2319" spans="1:23" ht="12.5" x14ac:dyDescent="0.25">
      <c r="A2319" s="2" t="s">
        <v>960</v>
      </c>
      <c r="B2319" s="2">
        <v>125</v>
      </c>
      <c r="C2319" s="2">
        <v>77324422</v>
      </c>
      <c r="D2319" s="2" t="s">
        <v>1180</v>
      </c>
      <c r="E2319" s="2" t="s">
        <v>3988</v>
      </c>
      <c r="F2319" s="2" t="s">
        <v>14</v>
      </c>
      <c r="G2319" s="2" t="s">
        <v>15</v>
      </c>
      <c r="H2319" s="2">
        <v>26000000</v>
      </c>
      <c r="I2319" s="2">
        <v>7.7</v>
      </c>
      <c r="J2319" s="2">
        <f t="shared" si="18"/>
        <v>51324422</v>
      </c>
      <c r="K2319" s="2">
        <f t="shared" si="19"/>
        <v>-2.0262138048193087E-2</v>
      </c>
      <c r="L2319" s="2" t="str">
        <f>IF(ISNUMBER(SEARCH("|",IMDB_Movies!$D2319)),LEFT(IMDB_Movies!$D2319,SEARCH("|",IMDB_Movies!$D2319)-1),IMDB_Movies!$D2319)</f>
        <v>Drama</v>
      </c>
      <c r="V2319" s="2"/>
      <c r="W2319" s="2"/>
    </row>
    <row r="2320" spans="1:23" ht="12.5" x14ac:dyDescent="0.25">
      <c r="A2320" s="2" t="s">
        <v>3989</v>
      </c>
      <c r="B2320" s="2">
        <v>100</v>
      </c>
      <c r="C2320" s="2">
        <v>15500000</v>
      </c>
      <c r="D2320" s="2" t="s">
        <v>1710</v>
      </c>
      <c r="E2320" s="2" t="s">
        <v>3990</v>
      </c>
      <c r="F2320" s="2" t="s">
        <v>14</v>
      </c>
      <c r="G2320" s="2" t="s">
        <v>287</v>
      </c>
      <c r="H2320" s="2">
        <v>16000000</v>
      </c>
      <c r="I2320" s="2">
        <v>7</v>
      </c>
      <c r="J2320" s="2">
        <f t="shared" si="18"/>
        <v>-500000</v>
      </c>
      <c r="K2320" s="2">
        <f t="shared" si="19"/>
        <v>-2.0287941149671383E-2</v>
      </c>
      <c r="L2320" s="2" t="str">
        <f>IF(ISNUMBER(SEARCH("|",IMDB_Movies!$D2320)),LEFT(IMDB_Movies!$D2320,SEARCH("|",IMDB_Movies!$D2320)-1),IMDB_Movies!$D2320)</f>
        <v>Mystery</v>
      </c>
      <c r="V2320" s="2"/>
      <c r="W2320" s="2"/>
    </row>
    <row r="2321" spans="1:23" ht="12.5" x14ac:dyDescent="0.25">
      <c r="A2321" s="2" t="s">
        <v>3991</v>
      </c>
      <c r="B2321" s="2">
        <v>112</v>
      </c>
      <c r="C2321" s="2">
        <v>4734235</v>
      </c>
      <c r="D2321" s="2" t="s">
        <v>2912</v>
      </c>
      <c r="E2321" s="2" t="s">
        <v>3992</v>
      </c>
      <c r="F2321" s="2" t="s">
        <v>14</v>
      </c>
      <c r="G2321" s="2" t="s">
        <v>15</v>
      </c>
      <c r="H2321" s="2">
        <v>15000000</v>
      </c>
      <c r="I2321" s="2">
        <v>6</v>
      </c>
      <c r="J2321" s="2">
        <f t="shared" si="18"/>
        <v>-10265765</v>
      </c>
      <c r="K2321" s="2">
        <f t="shared" si="19"/>
        <v>-2.0289615890597947E-2</v>
      </c>
      <c r="L2321" s="2" t="str">
        <f>IF(ISNUMBER(SEARCH("|",IMDB_Movies!$D2321)),LEFT(IMDB_Movies!$D2321,SEARCH("|",IMDB_Movies!$D2321)-1),IMDB_Movies!$D2321)</f>
        <v>Comedy</v>
      </c>
      <c r="V2321" s="2"/>
      <c r="W2321" s="2"/>
    </row>
    <row r="2322" spans="1:23" ht="12.5" x14ac:dyDescent="0.25">
      <c r="A2322" s="2" t="s">
        <v>2732</v>
      </c>
      <c r="B2322" s="2">
        <v>112</v>
      </c>
      <c r="C2322" s="2">
        <v>4839383</v>
      </c>
      <c r="D2322" s="2" t="s">
        <v>600</v>
      </c>
      <c r="E2322" s="2" t="s">
        <v>3993</v>
      </c>
      <c r="F2322" s="2" t="s">
        <v>14</v>
      </c>
      <c r="G2322" s="2" t="s">
        <v>15</v>
      </c>
      <c r="H2322" s="2">
        <v>16000000</v>
      </c>
      <c r="I2322" s="2">
        <v>6.6</v>
      </c>
      <c r="J2322" s="2">
        <f t="shared" si="18"/>
        <v>-11160617</v>
      </c>
      <c r="K2322" s="2">
        <f t="shared" si="19"/>
        <v>-2.0298064959077208E-2</v>
      </c>
      <c r="L2322" s="2" t="str">
        <f>IF(ISNUMBER(SEARCH("|",IMDB_Movies!$D2322)),LEFT(IMDB_Movies!$D2322,SEARCH("|",IMDB_Movies!$D2322)-1),IMDB_Movies!$D2322)</f>
        <v>Comedy</v>
      </c>
      <c r="V2322" s="2"/>
      <c r="W2322" s="2"/>
    </row>
    <row r="2323" spans="1:23" ht="12.5" x14ac:dyDescent="0.25">
      <c r="A2323" s="2" t="s">
        <v>3994</v>
      </c>
      <c r="B2323" s="2">
        <v>95</v>
      </c>
      <c r="C2323" s="2">
        <v>4193025</v>
      </c>
      <c r="D2323" s="2" t="s">
        <v>2525</v>
      </c>
      <c r="E2323" s="2" t="s">
        <v>3995</v>
      </c>
      <c r="F2323" s="2" t="s">
        <v>14</v>
      </c>
      <c r="G2323" s="2" t="s">
        <v>15</v>
      </c>
      <c r="H2323" s="2">
        <v>15000000</v>
      </c>
      <c r="I2323" s="2">
        <v>6.8</v>
      </c>
      <c r="J2323" s="2">
        <f t="shared" si="18"/>
        <v>-10806975</v>
      </c>
      <c r="K2323" s="2">
        <f t="shared" si="19"/>
        <v>-2.0305652976167408E-2</v>
      </c>
      <c r="L2323" s="2" t="str">
        <f>IF(ISNUMBER(SEARCH("|",IMDB_Movies!$D2323)),LEFT(IMDB_Movies!$D2323,SEARCH("|",IMDB_Movies!$D2323)-1),IMDB_Movies!$D2323)</f>
        <v>Comedy</v>
      </c>
      <c r="V2323" s="2"/>
      <c r="W2323" s="2"/>
    </row>
    <row r="2324" spans="1:23" ht="12.5" x14ac:dyDescent="0.25">
      <c r="A2324" s="2" t="s">
        <v>1962</v>
      </c>
      <c r="B2324" s="2">
        <v>110</v>
      </c>
      <c r="C2324" s="2">
        <v>5900000</v>
      </c>
      <c r="D2324" s="2" t="s">
        <v>17</v>
      </c>
      <c r="E2324" s="2" t="s">
        <v>3996</v>
      </c>
      <c r="F2324" s="2" t="s">
        <v>14</v>
      </c>
      <c r="G2324" s="2" t="s">
        <v>22</v>
      </c>
      <c r="H2324" s="2">
        <v>16000000</v>
      </c>
      <c r="I2324" s="2">
        <v>7.2</v>
      </c>
      <c r="J2324" s="2">
        <f t="shared" si="18"/>
        <v>-10100000</v>
      </c>
      <c r="K2324" s="2">
        <f t="shared" si="19"/>
        <v>-2.0314492372950344E-2</v>
      </c>
      <c r="L2324" s="2" t="str">
        <f>IF(ISNUMBER(SEARCH("|",IMDB_Movies!$D2324)),LEFT(IMDB_Movies!$D2324,SEARCH("|",IMDB_Movies!$D2324)-1),IMDB_Movies!$D2324)</f>
        <v>Action</v>
      </c>
      <c r="V2324" s="2"/>
      <c r="W2324" s="2"/>
    </row>
    <row r="2325" spans="1:23" ht="12.5" x14ac:dyDescent="0.25">
      <c r="A2325" s="2" t="s">
        <v>3997</v>
      </c>
      <c r="B2325" s="2">
        <v>118</v>
      </c>
      <c r="C2325" s="2">
        <v>2849142</v>
      </c>
      <c r="D2325" s="2" t="s">
        <v>1180</v>
      </c>
      <c r="E2325" s="2" t="s">
        <v>3998</v>
      </c>
      <c r="F2325" s="2" t="s">
        <v>14</v>
      </c>
      <c r="G2325" s="2" t="s">
        <v>15</v>
      </c>
      <c r="H2325" s="2">
        <v>16000000</v>
      </c>
      <c r="I2325" s="2">
        <v>7.2</v>
      </c>
      <c r="J2325" s="2">
        <f t="shared" si="18"/>
        <v>-13150858</v>
      </c>
      <c r="K2325" s="2">
        <f t="shared" si="19"/>
        <v>-2.0321457284379625E-2</v>
      </c>
      <c r="L2325" s="2" t="str">
        <f>IF(ISNUMBER(SEARCH("|",IMDB_Movies!$D2325)),LEFT(IMDB_Movies!$D2325,SEARCH("|",IMDB_Movies!$D2325)-1),IMDB_Movies!$D2325)</f>
        <v>Drama</v>
      </c>
      <c r="V2325" s="2"/>
      <c r="W2325" s="2"/>
    </row>
    <row r="2326" spans="1:23" ht="12.5" x14ac:dyDescent="0.25">
      <c r="A2326" s="2" t="s">
        <v>3999</v>
      </c>
      <c r="B2326" s="2">
        <v>97</v>
      </c>
      <c r="C2326" s="2">
        <v>1686429</v>
      </c>
      <c r="D2326" s="2" t="s">
        <v>4000</v>
      </c>
      <c r="E2326" s="2" t="s">
        <v>4001</v>
      </c>
      <c r="F2326" s="2" t="s">
        <v>14</v>
      </c>
      <c r="G2326" s="2" t="s">
        <v>15</v>
      </c>
      <c r="H2326" s="2">
        <v>16000000</v>
      </c>
      <c r="I2326" s="2">
        <v>2.8</v>
      </c>
      <c r="J2326" s="2">
        <f t="shared" si="18"/>
        <v>-14313571</v>
      </c>
      <c r="K2326" s="2">
        <f t="shared" si="19"/>
        <v>-2.033032878076485E-2</v>
      </c>
      <c r="L2326" s="2" t="str">
        <f>IF(ISNUMBER(SEARCH("|",IMDB_Movies!$D2326)),LEFT(IMDB_Movies!$D2326,SEARCH("|",IMDB_Movies!$D2326)-1),IMDB_Movies!$D2326)</f>
        <v>Action</v>
      </c>
      <c r="V2326" s="2"/>
      <c r="W2326" s="2"/>
    </row>
    <row r="2327" spans="1:23" ht="12.5" x14ac:dyDescent="0.25">
      <c r="A2327" s="2" t="s">
        <v>2939</v>
      </c>
      <c r="B2327" s="2">
        <v>120</v>
      </c>
      <c r="C2327" s="2">
        <v>1984743</v>
      </c>
      <c r="D2327" s="2" t="s">
        <v>85</v>
      </c>
      <c r="E2327" s="2" t="s">
        <v>4002</v>
      </c>
      <c r="F2327" s="2" t="s">
        <v>14</v>
      </c>
      <c r="G2327" s="2" t="s">
        <v>15</v>
      </c>
      <c r="H2327" s="2">
        <v>16000000</v>
      </c>
      <c r="I2327" s="2">
        <v>6.6</v>
      </c>
      <c r="J2327" s="2">
        <f t="shared" si="18"/>
        <v>-14015257</v>
      </c>
      <c r="K2327" s="2">
        <f t="shared" si="19"/>
        <v>-2.0339965219931835E-2</v>
      </c>
      <c r="L2327" s="2" t="str">
        <f>IF(ISNUMBER(SEARCH("|",IMDB_Movies!$D2327)),LEFT(IMDB_Movies!$D2327,SEARCH("|",IMDB_Movies!$D2327)-1),IMDB_Movies!$D2327)</f>
        <v>Drama</v>
      </c>
      <c r="V2327" s="2"/>
      <c r="W2327" s="2"/>
    </row>
    <row r="2328" spans="1:23" ht="12.5" x14ac:dyDescent="0.25">
      <c r="A2328" s="2" t="s">
        <v>4003</v>
      </c>
      <c r="B2328" s="2">
        <v>135</v>
      </c>
      <c r="C2328" s="2">
        <v>1666262</v>
      </c>
      <c r="D2328" s="2" t="s">
        <v>697</v>
      </c>
      <c r="E2328" s="2" t="s">
        <v>4004</v>
      </c>
      <c r="F2328" s="2" t="s">
        <v>14</v>
      </c>
      <c r="G2328" s="2" t="s">
        <v>22</v>
      </c>
      <c r="H2328" s="2">
        <v>16000000</v>
      </c>
      <c r="I2328" s="2">
        <v>6.7</v>
      </c>
      <c r="J2328" s="2">
        <f t="shared" si="18"/>
        <v>-14333738</v>
      </c>
      <c r="K2328" s="2">
        <f t="shared" si="19"/>
        <v>-2.0349422218536552E-2</v>
      </c>
      <c r="L2328" s="2" t="str">
        <f>IF(ISNUMBER(SEARCH("|",IMDB_Movies!$D2328)),LEFT(IMDB_Movies!$D2328,SEARCH("|",IMDB_Movies!$D2328)-1),IMDB_Movies!$D2328)</f>
        <v>Drama</v>
      </c>
      <c r="V2328" s="2"/>
      <c r="W2328" s="2"/>
    </row>
    <row r="2329" spans="1:23" ht="12.5" x14ac:dyDescent="0.25">
      <c r="A2329" s="2" t="s">
        <v>1796</v>
      </c>
      <c r="B2329" s="2">
        <v>101</v>
      </c>
      <c r="C2329" s="2">
        <v>2319187</v>
      </c>
      <c r="D2329" s="2" t="s">
        <v>770</v>
      </c>
      <c r="E2329" s="2" t="s">
        <v>4005</v>
      </c>
      <c r="F2329" s="2" t="s">
        <v>14</v>
      </c>
      <c r="G2329" s="2" t="s">
        <v>22</v>
      </c>
      <c r="H2329" s="2">
        <v>20000000</v>
      </c>
      <c r="I2329" s="2">
        <v>7</v>
      </c>
      <c r="J2329" s="2">
        <f t="shared" si="18"/>
        <v>-17680813</v>
      </c>
      <c r="K2329" s="2">
        <f t="shared" si="19"/>
        <v>-2.0359101689233182E-2</v>
      </c>
      <c r="L2329" s="2" t="str">
        <f>IF(ISNUMBER(SEARCH("|",IMDB_Movies!$D2329)),LEFT(IMDB_Movies!$D2329,SEARCH("|",IMDB_Movies!$D2329)-1),IMDB_Movies!$D2329)</f>
        <v>Crime</v>
      </c>
      <c r="V2329" s="2"/>
      <c r="W2329" s="2"/>
    </row>
    <row r="2330" spans="1:23" ht="12.5" x14ac:dyDescent="0.25">
      <c r="A2330" s="2" t="s">
        <v>4006</v>
      </c>
      <c r="B2330" s="2">
        <v>92</v>
      </c>
      <c r="C2330" s="2">
        <v>13922211</v>
      </c>
      <c r="D2330" s="2" t="s">
        <v>709</v>
      </c>
      <c r="E2330" s="2" t="s">
        <v>4007</v>
      </c>
      <c r="F2330" s="2" t="s">
        <v>14</v>
      </c>
      <c r="G2330" s="2" t="s">
        <v>15</v>
      </c>
      <c r="H2330" s="2">
        <v>16000000</v>
      </c>
      <c r="I2330" s="2">
        <v>4.4000000000000004</v>
      </c>
      <c r="J2330" s="2">
        <f t="shared" si="18"/>
        <v>-2077789</v>
      </c>
      <c r="K2330" s="2">
        <f t="shared" si="19"/>
        <v>-2.0364572259033237E-2</v>
      </c>
      <c r="L2330" s="2" t="str">
        <f>IF(ISNUMBER(SEARCH("|",IMDB_Movies!$D2330)),LEFT(IMDB_Movies!$D2330,SEARCH("|",IMDB_Movies!$D2330)-1),IMDB_Movies!$D2330)</f>
        <v>Comedy</v>
      </c>
      <c r="V2330" s="2"/>
      <c r="W2330" s="2"/>
    </row>
    <row r="2331" spans="1:23" ht="12.5" x14ac:dyDescent="0.25">
      <c r="A2331" s="2" t="s">
        <v>4008</v>
      </c>
      <c r="B2331" s="2">
        <v>92</v>
      </c>
      <c r="C2331" s="2">
        <v>23091</v>
      </c>
      <c r="D2331" s="2" t="s">
        <v>2432</v>
      </c>
      <c r="E2331" s="2" t="s">
        <v>4009</v>
      </c>
      <c r="F2331" s="2" t="s">
        <v>14</v>
      </c>
      <c r="G2331" s="2" t="s">
        <v>22</v>
      </c>
      <c r="H2331" s="2">
        <v>15000000</v>
      </c>
      <c r="I2331" s="2">
        <v>6.2</v>
      </c>
      <c r="J2331" s="2">
        <f t="shared" si="18"/>
        <v>-14976909</v>
      </c>
      <c r="K2331" s="2">
        <f t="shared" si="19"/>
        <v>-2.036710676694305E-2</v>
      </c>
      <c r="L2331" s="2" t="str">
        <f>IF(ISNUMBER(SEARCH("|",IMDB_Movies!$D2331)),LEFT(IMDB_Movies!$D2331,SEARCH("|",IMDB_Movies!$D2331)-1),IMDB_Movies!$D2331)</f>
        <v>Drama</v>
      </c>
      <c r="V2331" s="2"/>
      <c r="W2331" s="2"/>
    </row>
    <row r="2332" spans="1:23" ht="12.5" x14ac:dyDescent="0.25">
      <c r="A2332" s="2" t="s">
        <v>4010</v>
      </c>
      <c r="B2332" s="2">
        <v>161</v>
      </c>
      <c r="C2332" s="2">
        <v>336467</v>
      </c>
      <c r="D2332" s="2" t="s">
        <v>1805</v>
      </c>
      <c r="E2332" s="2" t="s">
        <v>4011</v>
      </c>
      <c r="F2332" s="2" t="s">
        <v>14</v>
      </c>
      <c r="G2332" s="2" t="s">
        <v>686</v>
      </c>
      <c r="H2332" s="2">
        <v>13000000</v>
      </c>
      <c r="I2332" s="2">
        <v>7.3</v>
      </c>
      <c r="J2332" s="2">
        <f t="shared" si="18"/>
        <v>-12663533</v>
      </c>
      <c r="K2332" s="2">
        <f t="shared" si="19"/>
        <v>-2.0378994702800711E-2</v>
      </c>
      <c r="L2332" s="2" t="str">
        <f>IF(ISNUMBER(SEARCH("|",IMDB_Movies!$D2332)),LEFT(IMDB_Movies!$D2332,SEARCH("|",IMDB_Movies!$D2332)-1),IMDB_Movies!$D2332)</f>
        <v>Drama</v>
      </c>
      <c r="V2332" s="2"/>
      <c r="W2332" s="2"/>
    </row>
    <row r="2333" spans="1:23" ht="12.5" x14ac:dyDescent="0.25">
      <c r="A2333" s="2" t="s">
        <v>3595</v>
      </c>
      <c r="B2333" s="2">
        <v>92</v>
      </c>
      <c r="C2333" s="2">
        <v>2964</v>
      </c>
      <c r="D2333" s="2" t="s">
        <v>2714</v>
      </c>
      <c r="E2333" s="2" t="s">
        <v>4012</v>
      </c>
      <c r="F2333" s="2" t="s">
        <v>14</v>
      </c>
      <c r="G2333" s="2" t="s">
        <v>15</v>
      </c>
      <c r="H2333" s="2">
        <v>16000000</v>
      </c>
      <c r="I2333" s="2">
        <v>5.0999999999999996</v>
      </c>
      <c r="J2333" s="2">
        <f t="shared" si="18"/>
        <v>-15997036</v>
      </c>
      <c r="K2333" s="2">
        <f t="shared" si="19"/>
        <v>-2.0392800758351152E-2</v>
      </c>
      <c r="L2333" s="2" t="str">
        <f>IF(ISNUMBER(SEARCH("|",IMDB_Movies!$D2333)),LEFT(IMDB_Movies!$D2333,SEARCH("|",IMDB_Movies!$D2333)-1),IMDB_Movies!$D2333)</f>
        <v>Comedy</v>
      </c>
      <c r="V2333" s="2"/>
      <c r="W2333" s="2"/>
    </row>
    <row r="2334" spans="1:23" ht="12.5" x14ac:dyDescent="0.25">
      <c r="A2334" s="2" t="s">
        <v>4013</v>
      </c>
      <c r="B2334" s="2">
        <v>122</v>
      </c>
      <c r="C2334" s="2">
        <v>2428883</v>
      </c>
      <c r="D2334" s="2" t="s">
        <v>629</v>
      </c>
      <c r="E2334" s="2" t="s">
        <v>4014</v>
      </c>
      <c r="F2334" s="2" t="s">
        <v>14</v>
      </c>
      <c r="G2334" s="2" t="s">
        <v>15</v>
      </c>
      <c r="H2334" s="2">
        <v>16000000</v>
      </c>
      <c r="I2334" s="2">
        <v>6.6</v>
      </c>
      <c r="J2334" s="2">
        <f t="shared" si="18"/>
        <v>-13571117</v>
      </c>
      <c r="K2334" s="2">
        <f t="shared" si="19"/>
        <v>-2.0403659541306868E-2</v>
      </c>
      <c r="L2334" s="2" t="str">
        <f>IF(ISNUMBER(SEARCH("|",IMDB_Movies!$D2334)),LEFT(IMDB_Movies!$D2334,SEARCH("|",IMDB_Movies!$D2334)-1),IMDB_Movies!$D2334)</f>
        <v>Drama</v>
      </c>
      <c r="V2334" s="2"/>
      <c r="W2334" s="2"/>
    </row>
    <row r="2335" spans="1:23" ht="12.5" x14ac:dyDescent="0.25">
      <c r="A2335" s="2" t="s">
        <v>4015</v>
      </c>
      <c r="B2335" s="2">
        <v>91</v>
      </c>
      <c r="C2335" s="2">
        <v>13571817</v>
      </c>
      <c r="D2335" s="2" t="s">
        <v>1537</v>
      </c>
      <c r="E2335" s="2" t="s">
        <v>4016</v>
      </c>
      <c r="F2335" s="2" t="s">
        <v>14</v>
      </c>
      <c r="G2335" s="2" t="s">
        <v>15</v>
      </c>
      <c r="H2335" s="2">
        <v>15600000</v>
      </c>
      <c r="I2335" s="2">
        <v>4.5</v>
      </c>
      <c r="J2335" s="2">
        <f t="shared" si="18"/>
        <v>-2028183</v>
      </c>
      <c r="K2335" s="2">
        <f t="shared" si="19"/>
        <v>-2.0412927164279459E-2</v>
      </c>
      <c r="L2335" s="2" t="str">
        <f>IF(ISNUMBER(SEARCH("|",IMDB_Movies!$D2335)),LEFT(IMDB_Movies!$D2335,SEARCH("|",IMDB_Movies!$D2335)-1),IMDB_Movies!$D2335)</f>
        <v>Comedy</v>
      </c>
      <c r="V2335" s="2"/>
      <c r="W2335" s="2"/>
    </row>
    <row r="2336" spans="1:23" ht="12.5" x14ac:dyDescent="0.25">
      <c r="A2336" s="2" t="s">
        <v>4017</v>
      </c>
      <c r="B2336" s="2">
        <v>93</v>
      </c>
      <c r="C2336" s="2">
        <v>1181197</v>
      </c>
      <c r="D2336" s="2" t="s">
        <v>690</v>
      </c>
      <c r="E2336" s="2" t="s">
        <v>4018</v>
      </c>
      <c r="F2336" s="2" t="s">
        <v>14</v>
      </c>
      <c r="G2336" s="2" t="s">
        <v>15</v>
      </c>
      <c r="H2336" s="2">
        <v>15500000</v>
      </c>
      <c r="I2336" s="2">
        <v>5.9</v>
      </c>
      <c r="J2336" s="2">
        <f t="shared" si="18"/>
        <v>-14318803</v>
      </c>
      <c r="K2336" s="2">
        <f t="shared" si="19"/>
        <v>-2.0415809750698417E-2</v>
      </c>
      <c r="L2336" s="2" t="str">
        <f>IF(ISNUMBER(SEARCH("|",IMDB_Movies!$D2336)),LEFT(IMDB_Movies!$D2336,SEARCH("|",IMDB_Movies!$D2336)-1),IMDB_Movies!$D2336)</f>
        <v>Drama</v>
      </c>
      <c r="V2336" s="2"/>
      <c r="W2336" s="2"/>
    </row>
    <row r="2337" spans="1:23" ht="12.5" x14ac:dyDescent="0.25">
      <c r="A2337" s="2" t="s">
        <v>4019</v>
      </c>
      <c r="B2337" s="2">
        <v>94</v>
      </c>
      <c r="C2337" s="2">
        <v>81525</v>
      </c>
      <c r="D2337" s="2" t="s">
        <v>1232</v>
      </c>
      <c r="E2337" s="2" t="s">
        <v>4020</v>
      </c>
      <c r="F2337" s="2" t="s">
        <v>1006</v>
      </c>
      <c r="G2337" s="2" t="s">
        <v>686</v>
      </c>
      <c r="H2337" s="2">
        <v>15300000</v>
      </c>
      <c r="I2337" s="2">
        <v>6.6</v>
      </c>
      <c r="J2337" s="2">
        <f t="shared" si="18"/>
        <v>-15218475</v>
      </c>
      <c r="K2337" s="2">
        <f t="shared" si="19"/>
        <v>-2.0426429597420425E-2</v>
      </c>
      <c r="L2337" s="2" t="str">
        <f>IF(ISNUMBER(SEARCH("|",IMDB_Movies!$D2337)),LEFT(IMDB_Movies!$D2337,SEARCH("|",IMDB_Movies!$D2337)-1),IMDB_Movies!$D2337)</f>
        <v>Action</v>
      </c>
      <c r="V2337" s="2"/>
      <c r="W2337" s="2"/>
    </row>
    <row r="2338" spans="1:23" ht="12.5" x14ac:dyDescent="0.25">
      <c r="A2338" s="2" t="s">
        <v>248</v>
      </c>
      <c r="B2338" s="2">
        <v>95</v>
      </c>
      <c r="C2338" s="2">
        <v>7774730</v>
      </c>
      <c r="D2338" s="2" t="s">
        <v>4021</v>
      </c>
      <c r="E2338" s="2" t="s">
        <v>4022</v>
      </c>
      <c r="F2338" s="2" t="s">
        <v>14</v>
      </c>
      <c r="G2338" s="2" t="s">
        <v>104</v>
      </c>
      <c r="H2338" s="2">
        <v>15500000</v>
      </c>
      <c r="I2338" s="2">
        <v>6.5</v>
      </c>
      <c r="J2338" s="2">
        <f t="shared" si="18"/>
        <v>-7725270</v>
      </c>
      <c r="K2338" s="2">
        <f t="shared" si="19"/>
        <v>-2.0438052027082949E-2</v>
      </c>
      <c r="L2338" s="2" t="str">
        <f>IF(ISNUMBER(SEARCH("|",IMDB_Movies!$D2338)),LEFT(IMDB_Movies!$D2338,SEARCH("|",IMDB_Movies!$D2338)-1),IMDB_Movies!$D2338)</f>
        <v>Comedy</v>
      </c>
      <c r="V2338" s="2"/>
      <c r="W2338" s="2"/>
    </row>
    <row r="2339" spans="1:23" ht="12.5" x14ac:dyDescent="0.25">
      <c r="A2339" s="2" t="s">
        <v>862</v>
      </c>
      <c r="B2339" s="2">
        <v>105</v>
      </c>
      <c r="C2339" s="2">
        <v>234760500</v>
      </c>
      <c r="D2339" s="2" t="s">
        <v>623</v>
      </c>
      <c r="E2339" s="2" t="s">
        <v>4023</v>
      </c>
      <c r="F2339" s="2" t="s">
        <v>14</v>
      </c>
      <c r="G2339" s="2" t="s">
        <v>15</v>
      </c>
      <c r="H2339" s="2">
        <v>14000000</v>
      </c>
      <c r="I2339" s="2">
        <v>7.3</v>
      </c>
      <c r="J2339" s="2">
        <f t="shared" si="18"/>
        <v>220760500</v>
      </c>
      <c r="K2339" s="2">
        <f t="shared" si="19"/>
        <v>-2.0444379878152976E-2</v>
      </c>
      <c r="L2339" s="2" t="str">
        <f>IF(ISNUMBER(SEARCH("|",IMDB_Movies!$D2339)),LEFT(IMDB_Movies!$D2339,SEARCH("|",IMDB_Movies!$D2339)-1),IMDB_Movies!$D2339)</f>
        <v>Action</v>
      </c>
      <c r="V2339" s="2"/>
      <c r="W2339" s="2"/>
    </row>
    <row r="2340" spans="1:23" ht="12.5" x14ac:dyDescent="0.25">
      <c r="A2340" s="2" t="s">
        <v>458</v>
      </c>
      <c r="B2340" s="2">
        <v>103</v>
      </c>
      <c r="C2340" s="2">
        <v>285761243</v>
      </c>
      <c r="D2340" s="2" t="s">
        <v>1058</v>
      </c>
      <c r="E2340" s="2" t="s">
        <v>4024</v>
      </c>
      <c r="F2340" s="2" t="s">
        <v>14</v>
      </c>
      <c r="G2340" s="2" t="s">
        <v>15</v>
      </c>
      <c r="H2340" s="2">
        <v>18000000</v>
      </c>
      <c r="I2340" s="2">
        <v>7.5</v>
      </c>
      <c r="J2340" s="2">
        <f t="shared" si="18"/>
        <v>267761243</v>
      </c>
      <c r="K2340" s="2">
        <f t="shared" si="19"/>
        <v>-2.0591912161173419E-2</v>
      </c>
      <c r="L2340" s="2" t="str">
        <f>IF(ISNUMBER(SEARCH("|",IMDB_Movies!$D2340)),LEFT(IMDB_Movies!$D2340,SEARCH("|",IMDB_Movies!$D2340)-1),IMDB_Movies!$D2340)</f>
        <v>Comedy</v>
      </c>
      <c r="V2340" s="2"/>
      <c r="W2340" s="2"/>
    </row>
    <row r="2341" spans="1:23" ht="12.5" x14ac:dyDescent="0.25">
      <c r="A2341" s="2" t="s">
        <v>3261</v>
      </c>
      <c r="B2341" s="2">
        <v>102</v>
      </c>
      <c r="C2341" s="2">
        <v>167780960</v>
      </c>
      <c r="D2341" s="2" t="s">
        <v>1357</v>
      </c>
      <c r="E2341" s="2" t="s">
        <v>4025</v>
      </c>
      <c r="F2341" s="2" t="s">
        <v>14</v>
      </c>
      <c r="G2341" s="2" t="s">
        <v>15</v>
      </c>
      <c r="H2341" s="2">
        <v>11000000</v>
      </c>
      <c r="I2341" s="2">
        <v>5.9</v>
      </c>
      <c r="J2341" s="2">
        <f t="shared" si="18"/>
        <v>156780960</v>
      </c>
      <c r="K2341" s="2">
        <f t="shared" si="19"/>
        <v>-2.0932710234495975E-2</v>
      </c>
      <c r="L2341" s="2" t="str">
        <f>IF(ISNUMBER(SEARCH("|",IMDB_Movies!$D2341)),LEFT(IMDB_Movies!$D2341,SEARCH("|",IMDB_Movies!$D2341)-1),IMDB_Movies!$D2341)</f>
        <v>Comedy</v>
      </c>
      <c r="V2341" s="2"/>
      <c r="W2341" s="2"/>
    </row>
    <row r="2342" spans="1:23" ht="12.5" x14ac:dyDescent="0.25">
      <c r="A2342" s="2" t="s">
        <v>792</v>
      </c>
      <c r="B2342" s="2">
        <v>116</v>
      </c>
      <c r="C2342" s="2">
        <v>177200000</v>
      </c>
      <c r="D2342" s="2" t="s">
        <v>514</v>
      </c>
      <c r="E2342" s="2" t="s">
        <v>4026</v>
      </c>
      <c r="F2342" s="2" t="s">
        <v>14</v>
      </c>
      <c r="G2342" s="2" t="s">
        <v>15</v>
      </c>
      <c r="H2342" s="2">
        <v>22000000</v>
      </c>
      <c r="I2342" s="2">
        <v>7.4</v>
      </c>
      <c r="J2342" s="2">
        <f t="shared" si="18"/>
        <v>155200000</v>
      </c>
      <c r="K2342" s="2">
        <f t="shared" si="19"/>
        <v>-2.0958779919649912E-2</v>
      </c>
      <c r="L2342" s="2" t="str">
        <f>IF(ISNUMBER(SEARCH("|",IMDB_Movies!$D2342)),LEFT(IMDB_Movies!$D2342,SEARCH("|",IMDB_Movies!$D2342)-1),IMDB_Movies!$D2342)</f>
        <v>Comedy</v>
      </c>
      <c r="V2342" s="2"/>
      <c r="W2342" s="2"/>
    </row>
    <row r="2343" spans="1:23" ht="12.5" x14ac:dyDescent="0.25">
      <c r="A2343" s="2" t="s">
        <v>618</v>
      </c>
      <c r="B2343" s="2">
        <v>110</v>
      </c>
      <c r="C2343" s="2">
        <v>176781728</v>
      </c>
      <c r="D2343" s="2" t="s">
        <v>605</v>
      </c>
      <c r="E2343" s="2" t="s">
        <v>4027</v>
      </c>
      <c r="F2343" s="2" t="s">
        <v>14</v>
      </c>
      <c r="G2343" s="2" t="s">
        <v>15</v>
      </c>
      <c r="H2343" s="2">
        <v>15000000</v>
      </c>
      <c r="I2343" s="2">
        <v>6.9</v>
      </c>
      <c r="J2343" s="2">
        <f t="shared" si="18"/>
        <v>161781728</v>
      </c>
      <c r="K2343" s="2">
        <f t="shared" si="19"/>
        <v>-2.1101033930976409E-2</v>
      </c>
      <c r="L2343" s="2" t="str">
        <f>IF(ISNUMBER(SEARCH("|",IMDB_Movies!$D2343)),LEFT(IMDB_Movies!$D2343,SEARCH("|",IMDB_Movies!$D2343)-1),IMDB_Movies!$D2343)</f>
        <v>Action</v>
      </c>
      <c r="V2343" s="2"/>
      <c r="W2343" s="2"/>
    </row>
    <row r="2344" spans="1:23" ht="12.5" x14ac:dyDescent="0.25">
      <c r="A2344" s="2" t="s">
        <v>393</v>
      </c>
      <c r="B2344" s="2">
        <v>120</v>
      </c>
      <c r="C2344" s="2">
        <v>128067808</v>
      </c>
      <c r="D2344" s="2" t="s">
        <v>605</v>
      </c>
      <c r="E2344" s="2" t="s">
        <v>4028</v>
      </c>
      <c r="F2344" s="2" t="s">
        <v>699</v>
      </c>
      <c r="G2344" s="2" t="s">
        <v>4029</v>
      </c>
      <c r="H2344" s="2">
        <v>15000000</v>
      </c>
      <c r="I2344" s="2">
        <v>7.9</v>
      </c>
      <c r="J2344" s="2">
        <f t="shared" si="18"/>
        <v>113067808</v>
      </c>
      <c r="K2344" s="2">
        <f t="shared" si="19"/>
        <v>-2.1180024170664512E-2</v>
      </c>
      <c r="L2344" s="2" t="str">
        <f>IF(ISNUMBER(SEARCH("|",IMDB_Movies!$D2344)),LEFT(IMDB_Movies!$D2344,SEARCH("|",IMDB_Movies!$D2344)-1),IMDB_Movies!$D2344)</f>
        <v>Action</v>
      </c>
      <c r="V2344" s="2"/>
      <c r="W2344" s="2"/>
    </row>
    <row r="2345" spans="1:23" ht="12.5" x14ac:dyDescent="0.25">
      <c r="A2345" s="2" t="s">
        <v>19</v>
      </c>
      <c r="B2345" s="2">
        <v>122</v>
      </c>
      <c r="C2345" s="2">
        <v>130058047</v>
      </c>
      <c r="D2345" s="2" t="s">
        <v>1180</v>
      </c>
      <c r="E2345" s="2" t="s">
        <v>4030</v>
      </c>
      <c r="F2345" s="2" t="s">
        <v>14</v>
      </c>
      <c r="G2345" s="2" t="s">
        <v>15</v>
      </c>
      <c r="H2345" s="2">
        <v>15000000</v>
      </c>
      <c r="I2345" s="2">
        <v>8.4</v>
      </c>
      <c r="J2345" s="2">
        <f t="shared" si="18"/>
        <v>115058047</v>
      </c>
      <c r="K2345" s="2">
        <f t="shared" si="19"/>
        <v>-2.1200316492703038E-2</v>
      </c>
      <c r="L2345" s="2" t="str">
        <f>IF(ISNUMBER(SEARCH("|",IMDB_Movies!$D2345)),LEFT(IMDB_Movies!$D2345,SEARCH("|",IMDB_Movies!$D2345)-1),IMDB_Movies!$D2345)</f>
        <v>Drama</v>
      </c>
      <c r="V2345" s="2"/>
      <c r="W2345" s="2"/>
    </row>
    <row r="2346" spans="1:23" ht="12.5" x14ac:dyDescent="0.25">
      <c r="A2346" s="2" t="s">
        <v>1268</v>
      </c>
      <c r="B2346" s="2">
        <v>118</v>
      </c>
      <c r="C2346" s="2">
        <v>138795342</v>
      </c>
      <c r="D2346" s="2" t="s">
        <v>2054</v>
      </c>
      <c r="E2346" s="2" t="s">
        <v>4031</v>
      </c>
      <c r="F2346" s="2" t="s">
        <v>14</v>
      </c>
      <c r="G2346" s="2" t="s">
        <v>22</v>
      </c>
      <c r="H2346" s="2">
        <v>15000000</v>
      </c>
      <c r="I2346" s="2">
        <v>8</v>
      </c>
      <c r="J2346" s="2">
        <f t="shared" si="18"/>
        <v>123795342</v>
      </c>
      <c r="K2346" s="2">
        <f t="shared" si="19"/>
        <v>-2.1222988617718857E-2</v>
      </c>
      <c r="L2346" s="2" t="str">
        <f>IF(ISNUMBER(SEARCH("|",IMDB_Movies!$D2346)),LEFT(IMDB_Movies!$D2346,SEARCH("|",IMDB_Movies!$D2346)-1),IMDB_Movies!$D2346)</f>
        <v>Biography</v>
      </c>
      <c r="V2346" s="2"/>
      <c r="W2346" s="2"/>
    </row>
    <row r="2347" spans="1:23" ht="12.5" x14ac:dyDescent="0.25">
      <c r="A2347" s="2" t="s">
        <v>947</v>
      </c>
      <c r="B2347" s="2">
        <v>107</v>
      </c>
      <c r="C2347" s="2">
        <v>111936400</v>
      </c>
      <c r="D2347" s="2" t="s">
        <v>375</v>
      </c>
      <c r="E2347" s="2" t="s">
        <v>4032</v>
      </c>
      <c r="F2347" s="2" t="s">
        <v>14</v>
      </c>
      <c r="G2347" s="2" t="s">
        <v>15</v>
      </c>
      <c r="H2347" s="2">
        <v>15000000</v>
      </c>
      <c r="I2347" s="2">
        <v>6</v>
      </c>
      <c r="J2347" s="2">
        <f t="shared" si="18"/>
        <v>96936400</v>
      </c>
      <c r="K2347" s="2">
        <f t="shared" si="19"/>
        <v>-2.12552612310749E-2</v>
      </c>
      <c r="L2347" s="2" t="str">
        <f>IF(ISNUMBER(SEARCH("|",IMDB_Movies!$D2347)),LEFT(IMDB_Movies!$D2347,SEARCH("|",IMDB_Movies!$D2347)-1),IMDB_Movies!$D2347)</f>
        <v>Comedy</v>
      </c>
      <c r="V2347" s="2"/>
      <c r="W2347" s="2"/>
    </row>
    <row r="2348" spans="1:23" ht="12.5" x14ac:dyDescent="0.25">
      <c r="A2348" s="2" t="s">
        <v>4033</v>
      </c>
      <c r="B2348" s="2">
        <v>102</v>
      </c>
      <c r="C2348" s="2">
        <v>317040</v>
      </c>
      <c r="D2348" s="2" t="s">
        <v>85</v>
      </c>
      <c r="E2348" s="2" t="s">
        <v>4034</v>
      </c>
      <c r="F2348" s="2" t="s">
        <v>14</v>
      </c>
      <c r="G2348" s="2" t="s">
        <v>15</v>
      </c>
      <c r="H2348" s="2">
        <v>15500000</v>
      </c>
      <c r="I2348" s="2">
        <v>6.8</v>
      </c>
      <c r="J2348" s="2">
        <f t="shared" si="18"/>
        <v>-15182960</v>
      </c>
      <c r="K2348" s="2">
        <f t="shared" si="19"/>
        <v>-2.1263536683356628E-2</v>
      </c>
      <c r="L2348" s="2" t="str">
        <f>IF(ISNUMBER(SEARCH("|",IMDB_Movies!$D2348)),LEFT(IMDB_Movies!$D2348,SEARCH("|",IMDB_Movies!$D2348)-1),IMDB_Movies!$D2348)</f>
        <v>Drama</v>
      </c>
      <c r="V2348" s="2"/>
      <c r="W2348" s="2"/>
    </row>
    <row r="2349" spans="1:23" ht="12.5" x14ac:dyDescent="0.25">
      <c r="A2349" s="2" t="s">
        <v>141</v>
      </c>
      <c r="B2349" s="2">
        <v>154</v>
      </c>
      <c r="C2349" s="2">
        <v>94175854</v>
      </c>
      <c r="D2349" s="2" t="s">
        <v>1180</v>
      </c>
      <c r="E2349" s="2" t="s">
        <v>4035</v>
      </c>
      <c r="F2349" s="2" t="s">
        <v>14</v>
      </c>
      <c r="G2349" s="2" t="s">
        <v>15</v>
      </c>
      <c r="H2349" s="2">
        <v>15000000</v>
      </c>
      <c r="I2349" s="2">
        <v>7.8</v>
      </c>
      <c r="J2349" s="2">
        <f t="shared" si="18"/>
        <v>79175854</v>
      </c>
      <c r="K2349" s="2">
        <f t="shared" si="19"/>
        <v>-2.1275219308168249E-2</v>
      </c>
      <c r="L2349" s="2" t="str">
        <f>IF(ISNUMBER(SEARCH("|",IMDB_Movies!$D2349)),LEFT(IMDB_Movies!$D2349,SEARCH("|",IMDB_Movies!$D2349)-1),IMDB_Movies!$D2349)</f>
        <v>Drama</v>
      </c>
      <c r="V2349" s="2"/>
      <c r="W2349" s="2"/>
    </row>
    <row r="2350" spans="1:23" ht="12.5" x14ac:dyDescent="0.25">
      <c r="A2350" s="2" t="s">
        <v>4036</v>
      </c>
      <c r="B2350" s="2">
        <v>114</v>
      </c>
      <c r="C2350" s="2">
        <v>91121452</v>
      </c>
      <c r="D2350" s="2" t="s">
        <v>3215</v>
      </c>
      <c r="E2350" s="2" t="s">
        <v>4037</v>
      </c>
      <c r="F2350" s="2" t="s">
        <v>14</v>
      </c>
      <c r="G2350" s="2" t="s">
        <v>22</v>
      </c>
      <c r="H2350" s="2">
        <v>14000000</v>
      </c>
      <c r="I2350" s="2">
        <v>8.1</v>
      </c>
      <c r="J2350" s="2">
        <f t="shared" si="18"/>
        <v>77121452</v>
      </c>
      <c r="K2350" s="2">
        <f t="shared" si="19"/>
        <v>-2.1272746463098843E-2</v>
      </c>
      <c r="L2350" s="2" t="str">
        <f>IF(ISNUMBER(SEARCH("|",IMDB_Movies!$D2350)),LEFT(IMDB_Movies!$D2350,SEARCH("|",IMDB_Movies!$D2350)-1),IMDB_Movies!$D2350)</f>
        <v>Biography</v>
      </c>
      <c r="V2350" s="2"/>
      <c r="W2350" s="2"/>
    </row>
    <row r="2351" spans="1:23" ht="12.5" x14ac:dyDescent="0.25">
      <c r="A2351" s="2" t="s">
        <v>3931</v>
      </c>
      <c r="B2351" s="2">
        <v>109</v>
      </c>
      <c r="C2351" s="2">
        <v>69800000</v>
      </c>
      <c r="D2351" s="2" t="s">
        <v>3280</v>
      </c>
      <c r="E2351" s="2" t="s">
        <v>4038</v>
      </c>
      <c r="F2351" s="2" t="s">
        <v>14</v>
      </c>
      <c r="G2351" s="2" t="s">
        <v>15</v>
      </c>
      <c r="H2351" s="2">
        <v>10000000</v>
      </c>
      <c r="I2351" s="2">
        <v>6.1</v>
      </c>
      <c r="J2351" s="2">
        <f t="shared" si="18"/>
        <v>59800000</v>
      </c>
      <c r="K2351" s="2">
        <f t="shared" si="19"/>
        <v>-2.1264444173573292E-2</v>
      </c>
      <c r="L2351" s="2" t="str">
        <f>IF(ISNUMBER(SEARCH("|",IMDB_Movies!$D2351)),LEFT(IMDB_Movies!$D2351,SEARCH("|",IMDB_Movies!$D2351)-1),IMDB_Movies!$D2351)</f>
        <v>Comedy</v>
      </c>
      <c r="V2351" s="2"/>
      <c r="W2351" s="2"/>
    </row>
    <row r="2352" spans="1:23" ht="12.5" x14ac:dyDescent="0.25">
      <c r="A2352" s="2" t="s">
        <v>796</v>
      </c>
      <c r="B2352" s="2">
        <v>94</v>
      </c>
      <c r="C2352" s="2">
        <v>64001297</v>
      </c>
      <c r="D2352" s="2" t="s">
        <v>1058</v>
      </c>
      <c r="E2352" s="2" t="s">
        <v>4039</v>
      </c>
      <c r="F2352" s="2" t="s">
        <v>14</v>
      </c>
      <c r="G2352" s="2" t="s">
        <v>15</v>
      </c>
      <c r="H2352" s="2">
        <v>15000000</v>
      </c>
      <c r="I2352" s="2">
        <v>6.2</v>
      </c>
      <c r="J2352" s="2">
        <f t="shared" si="18"/>
        <v>49001297</v>
      </c>
      <c r="K2352" s="2">
        <f t="shared" si="19"/>
        <v>-2.123833569529298E-2</v>
      </c>
      <c r="L2352" s="2" t="str">
        <f>IF(ISNUMBER(SEARCH("|",IMDB_Movies!$D2352)),LEFT(IMDB_Movies!$D2352,SEARCH("|",IMDB_Movies!$D2352)-1),IMDB_Movies!$D2352)</f>
        <v>Comedy</v>
      </c>
      <c r="V2352" s="2"/>
      <c r="W2352" s="2"/>
    </row>
    <row r="2353" spans="1:23" ht="12.5" x14ac:dyDescent="0.25">
      <c r="A2353" s="2" t="s">
        <v>4040</v>
      </c>
      <c r="B2353" s="2">
        <v>100</v>
      </c>
      <c r="C2353" s="2">
        <v>71588220</v>
      </c>
      <c r="D2353" s="2" t="s">
        <v>2465</v>
      </c>
      <c r="E2353" s="2" t="s">
        <v>4041</v>
      </c>
      <c r="F2353" s="2" t="s">
        <v>14</v>
      </c>
      <c r="G2353" s="2" t="s">
        <v>104</v>
      </c>
      <c r="H2353" s="2">
        <v>20000000</v>
      </c>
      <c r="I2353" s="2">
        <v>6.2</v>
      </c>
      <c r="J2353" s="2">
        <f t="shared" si="18"/>
        <v>51588220</v>
      </c>
      <c r="K2353" s="2">
        <f t="shared" si="19"/>
        <v>-2.1227235391482462E-2</v>
      </c>
      <c r="L2353" s="2" t="str">
        <f>IF(ISNUMBER(SEARCH("|",IMDB_Movies!$D2353)),LEFT(IMDB_Movies!$D2353,SEARCH("|",IMDB_Movies!$D2353)-1),IMDB_Movies!$D2353)</f>
        <v>Fantasy</v>
      </c>
      <c r="V2353" s="2"/>
      <c r="W2353" s="2"/>
    </row>
    <row r="2354" spans="1:23" ht="12.5" x14ac:dyDescent="0.25">
      <c r="A2354" s="2" t="s">
        <v>1449</v>
      </c>
      <c r="B2354" s="2">
        <v>98</v>
      </c>
      <c r="C2354" s="2">
        <v>61400000</v>
      </c>
      <c r="D2354" s="2" t="s">
        <v>1450</v>
      </c>
      <c r="E2354" s="2" t="s">
        <v>4042</v>
      </c>
      <c r="F2354" s="2" t="s">
        <v>14</v>
      </c>
      <c r="G2354" s="2" t="s">
        <v>15</v>
      </c>
      <c r="H2354" s="2">
        <v>15000000</v>
      </c>
      <c r="I2354" s="2">
        <v>7.4</v>
      </c>
      <c r="J2354" s="2">
        <f t="shared" si="18"/>
        <v>46400000</v>
      </c>
      <c r="K2354" s="2">
        <f t="shared" si="19"/>
        <v>-2.1233427961879155E-2</v>
      </c>
      <c r="L2354" s="2" t="str">
        <f>IF(ISNUMBER(SEARCH("|",IMDB_Movies!$D2354)),LEFT(IMDB_Movies!$D2354,SEARCH("|",IMDB_Movies!$D2354)-1),IMDB_Movies!$D2354)</f>
        <v>Adventure</v>
      </c>
      <c r="V2354" s="2"/>
      <c r="W2354" s="2"/>
    </row>
    <row r="2355" spans="1:23" ht="12.5" x14ac:dyDescent="0.25">
      <c r="A2355" s="2" t="s">
        <v>3448</v>
      </c>
      <c r="B2355" s="2">
        <v>102</v>
      </c>
      <c r="C2355" s="2">
        <v>101978840</v>
      </c>
      <c r="D2355" s="2" t="s">
        <v>709</v>
      </c>
      <c r="E2355" s="2" t="s">
        <v>4043</v>
      </c>
      <c r="F2355" s="2" t="s">
        <v>14</v>
      </c>
      <c r="G2355" s="2" t="s">
        <v>15</v>
      </c>
      <c r="H2355" s="2">
        <v>15000000</v>
      </c>
      <c r="I2355" s="2">
        <v>6.6</v>
      </c>
      <c r="J2355" s="2">
        <f t="shared" si="18"/>
        <v>86978840</v>
      </c>
      <c r="K2355" s="2">
        <f t="shared" si="19"/>
        <v>-2.1222152603396754E-2</v>
      </c>
      <c r="L2355" s="2" t="str">
        <f>IF(ISNUMBER(SEARCH("|",IMDB_Movies!$D2355)),LEFT(IMDB_Movies!$D2355,SEARCH("|",IMDB_Movies!$D2355)-1),IMDB_Movies!$D2355)</f>
        <v>Comedy</v>
      </c>
      <c r="V2355" s="2"/>
      <c r="W2355" s="2"/>
    </row>
    <row r="2356" spans="1:23" ht="12.5" x14ac:dyDescent="0.25">
      <c r="A2356" s="2" t="s">
        <v>1900</v>
      </c>
      <c r="B2356" s="2">
        <v>94</v>
      </c>
      <c r="C2356" s="2">
        <v>56437947</v>
      </c>
      <c r="D2356" s="2" t="s">
        <v>555</v>
      </c>
      <c r="E2356" s="2" t="s">
        <v>4044</v>
      </c>
      <c r="F2356" s="2" t="s">
        <v>14</v>
      </c>
      <c r="G2356" s="2" t="s">
        <v>22</v>
      </c>
      <c r="H2356" s="2">
        <v>9800000</v>
      </c>
      <c r="I2356" s="2">
        <v>7.3</v>
      </c>
      <c r="J2356" s="2">
        <f t="shared" si="18"/>
        <v>46637947</v>
      </c>
      <c r="K2356" s="2">
        <f t="shared" si="19"/>
        <v>-2.1224123423496232E-2</v>
      </c>
      <c r="L2356" s="2" t="str">
        <f>IF(ISNUMBER(SEARCH("|",IMDB_Movies!$D2356)),LEFT(IMDB_Movies!$D2356,SEARCH("|",IMDB_Movies!$D2356)-1),IMDB_Movies!$D2356)</f>
        <v>Biography</v>
      </c>
      <c r="V2356" s="2"/>
      <c r="W2356" s="2"/>
    </row>
    <row r="2357" spans="1:23" ht="12.5" x14ac:dyDescent="0.25">
      <c r="A2357" s="2" t="s">
        <v>99</v>
      </c>
      <c r="B2357" s="2">
        <v>92</v>
      </c>
      <c r="C2357" s="2">
        <v>73326666</v>
      </c>
      <c r="D2357" s="2" t="s">
        <v>975</v>
      </c>
      <c r="E2357" s="2" t="s">
        <v>4045</v>
      </c>
      <c r="F2357" s="2" t="s">
        <v>14</v>
      </c>
      <c r="G2357" s="2" t="s">
        <v>15</v>
      </c>
      <c r="H2357" s="2">
        <v>15000000</v>
      </c>
      <c r="I2357" s="2">
        <v>7.5</v>
      </c>
      <c r="J2357" s="2">
        <f t="shared" si="18"/>
        <v>58326666</v>
      </c>
      <c r="K2357" s="2">
        <f t="shared" si="19"/>
        <v>-2.1200525433311957E-2</v>
      </c>
      <c r="L2357" s="2" t="str">
        <f>IF(ISNUMBER(SEARCH("|",IMDB_Movies!$D2357)),LEFT(IMDB_Movies!$D2357,SEARCH("|",IMDB_Movies!$D2357)-1),IMDB_Movies!$D2357)</f>
        <v>Comedy</v>
      </c>
      <c r="V2357" s="2"/>
      <c r="W2357" s="2"/>
    </row>
    <row r="2358" spans="1:23" ht="12.5" x14ac:dyDescent="0.25">
      <c r="A2358" s="2" t="s">
        <v>3095</v>
      </c>
      <c r="B2358" s="2">
        <v>113</v>
      </c>
      <c r="C2358" s="2">
        <v>55184721</v>
      </c>
      <c r="D2358" s="2" t="s">
        <v>891</v>
      </c>
      <c r="E2358" s="2" t="s">
        <v>4046</v>
      </c>
      <c r="F2358" s="2" t="s">
        <v>14</v>
      </c>
      <c r="G2358" s="2" t="s">
        <v>15</v>
      </c>
      <c r="H2358" s="2">
        <v>15000000</v>
      </c>
      <c r="I2358" s="2">
        <v>5.6</v>
      </c>
      <c r="J2358" s="2">
        <f t="shared" si="18"/>
        <v>40184721</v>
      </c>
      <c r="K2358" s="2">
        <f t="shared" si="19"/>
        <v>-2.1190699819472532E-2</v>
      </c>
      <c r="L2358" s="2" t="str">
        <f>IF(ISNUMBER(SEARCH("|",IMDB_Movies!$D2358)),LEFT(IMDB_Movies!$D2358,SEARCH("|",IMDB_Movies!$D2358)-1),IMDB_Movies!$D2358)</f>
        <v>Comedy</v>
      </c>
      <c r="V2358" s="2"/>
      <c r="W2358" s="2"/>
    </row>
    <row r="2359" spans="1:23" ht="12.5" x14ac:dyDescent="0.25">
      <c r="A2359" s="2" t="s">
        <v>4047</v>
      </c>
      <c r="B2359" s="2">
        <v>115</v>
      </c>
      <c r="C2359" s="2">
        <v>50003300</v>
      </c>
      <c r="D2359" s="2" t="s">
        <v>4048</v>
      </c>
      <c r="E2359" s="2" t="s">
        <v>4049</v>
      </c>
      <c r="F2359" s="2" t="s">
        <v>14</v>
      </c>
      <c r="G2359" s="2" t="s">
        <v>15</v>
      </c>
      <c r="H2359" s="2">
        <v>15000000</v>
      </c>
      <c r="I2359" s="2">
        <v>7.3</v>
      </c>
      <c r="J2359" s="2">
        <f t="shared" si="18"/>
        <v>35003300</v>
      </c>
      <c r="K2359" s="2">
        <f t="shared" si="19"/>
        <v>-2.117933264332501E-2</v>
      </c>
      <c r="L2359" s="2" t="str">
        <f>IF(ISNUMBER(SEARCH("|",IMDB_Movies!$D2359)),LEFT(IMDB_Movies!$D2359,SEARCH("|",IMDB_Movies!$D2359)-1),IMDB_Movies!$D2359)</f>
        <v>Drama</v>
      </c>
      <c r="V2359" s="2"/>
      <c r="W2359" s="2"/>
    </row>
    <row r="2360" spans="1:23" ht="12.5" x14ac:dyDescent="0.25">
      <c r="A2360" s="2" t="s">
        <v>4050</v>
      </c>
      <c r="B2360" s="2">
        <v>95</v>
      </c>
      <c r="C2360" s="2">
        <v>54322273</v>
      </c>
      <c r="D2360" s="2" t="s">
        <v>333</v>
      </c>
      <c r="E2360" s="2" t="s">
        <v>4051</v>
      </c>
      <c r="F2360" s="2" t="s">
        <v>14</v>
      </c>
      <c r="G2360" s="2" t="s">
        <v>22</v>
      </c>
      <c r="H2360" s="2">
        <v>17000000</v>
      </c>
      <c r="I2360" s="2">
        <v>6.4</v>
      </c>
      <c r="J2360" s="2">
        <f t="shared" si="18"/>
        <v>37322273</v>
      </c>
      <c r="K2360" s="2">
        <f t="shared" si="19"/>
        <v>-2.1168357769868189E-2</v>
      </c>
      <c r="L2360" s="2" t="str">
        <f>IF(ISNUMBER(SEARCH("|",IMDB_Movies!$D2360)),LEFT(IMDB_Movies!$D2360,SEARCH("|",IMDB_Movies!$D2360)-1),IMDB_Movies!$D2360)</f>
        <v>Drama</v>
      </c>
      <c r="V2360" s="2"/>
      <c r="W2360" s="2"/>
    </row>
    <row r="2361" spans="1:23" ht="12.5" x14ac:dyDescent="0.25">
      <c r="A2361" s="2" t="s">
        <v>636</v>
      </c>
      <c r="B2361" s="2">
        <v>87</v>
      </c>
      <c r="C2361" s="2">
        <v>47860214</v>
      </c>
      <c r="D2361" s="2" t="s">
        <v>2228</v>
      </c>
      <c r="E2361" s="2" t="s">
        <v>4052</v>
      </c>
      <c r="F2361" s="2" t="s">
        <v>14</v>
      </c>
      <c r="G2361" s="2" t="s">
        <v>15</v>
      </c>
      <c r="H2361" s="2">
        <v>15000000</v>
      </c>
      <c r="I2361" s="2">
        <v>5</v>
      </c>
      <c r="J2361" s="2">
        <f t="shared" si="18"/>
        <v>32860214</v>
      </c>
      <c r="K2361" s="2">
        <f t="shared" si="19"/>
        <v>-2.1161465814506345E-2</v>
      </c>
      <c r="L2361" s="2" t="str">
        <f>IF(ISNUMBER(SEARCH("|",IMDB_Movies!$D2361)),LEFT(IMDB_Movies!$D2361,SEARCH("|",IMDB_Movies!$D2361)-1),IMDB_Movies!$D2361)</f>
        <v>Horror</v>
      </c>
      <c r="V2361" s="2"/>
      <c r="W2361" s="2"/>
    </row>
    <row r="2362" spans="1:23" ht="12.5" x14ac:dyDescent="0.25">
      <c r="A2362" s="2" t="s">
        <v>302</v>
      </c>
      <c r="B2362" s="2">
        <v>88</v>
      </c>
      <c r="C2362" s="2">
        <v>47811275</v>
      </c>
      <c r="D2362" s="2" t="s">
        <v>840</v>
      </c>
      <c r="E2362" s="2" t="s">
        <v>4053</v>
      </c>
      <c r="F2362" s="2" t="s">
        <v>14</v>
      </c>
      <c r="G2362" s="2" t="s">
        <v>15</v>
      </c>
      <c r="H2362" s="2">
        <v>15000000</v>
      </c>
      <c r="I2362" s="2">
        <v>5.4</v>
      </c>
      <c r="J2362" s="2">
        <f t="shared" si="18"/>
        <v>32811275</v>
      </c>
      <c r="K2362" s="2">
        <f t="shared" si="19"/>
        <v>-2.1150735532437785E-2</v>
      </c>
      <c r="L2362" s="2" t="str">
        <f>IF(ISNUMBER(SEARCH("|",IMDB_Movies!$D2362)),LEFT(IMDB_Movies!$D2362,SEARCH("|",IMDB_Movies!$D2362)-1),IMDB_Movies!$D2362)</f>
        <v>Adventure</v>
      </c>
      <c r="V2362" s="2"/>
      <c r="W2362" s="2"/>
    </row>
    <row r="2363" spans="1:23" ht="12.5" x14ac:dyDescent="0.25">
      <c r="A2363" s="2" t="s">
        <v>1081</v>
      </c>
      <c r="B2363" s="2">
        <v>97</v>
      </c>
      <c r="C2363" s="2">
        <v>43022524</v>
      </c>
      <c r="D2363" s="2" t="s">
        <v>891</v>
      </c>
      <c r="E2363" s="2" t="s">
        <v>4054</v>
      </c>
      <c r="F2363" s="2" t="s">
        <v>14</v>
      </c>
      <c r="G2363" s="2" t="s">
        <v>15</v>
      </c>
      <c r="H2363" s="2">
        <v>15000000</v>
      </c>
      <c r="I2363" s="2">
        <v>7.1</v>
      </c>
      <c r="J2363" s="2">
        <f t="shared" si="18"/>
        <v>28022524</v>
      </c>
      <c r="K2363" s="2">
        <f t="shared" si="19"/>
        <v>-2.1139992848074531E-2</v>
      </c>
      <c r="L2363" s="2" t="str">
        <f>IF(ISNUMBER(SEARCH("|",IMDB_Movies!$D2363)),LEFT(IMDB_Movies!$D2363,SEARCH("|",IMDB_Movies!$D2363)-1),IMDB_Movies!$D2363)</f>
        <v>Comedy</v>
      </c>
      <c r="V2363" s="2"/>
      <c r="W2363" s="2"/>
    </row>
    <row r="2364" spans="1:23" ht="12.5" x14ac:dyDescent="0.25">
      <c r="A2364" s="2" t="s">
        <v>4055</v>
      </c>
      <c r="B2364" s="2">
        <v>94</v>
      </c>
      <c r="C2364" s="2">
        <v>42672630</v>
      </c>
      <c r="D2364" s="2" t="s">
        <v>4056</v>
      </c>
      <c r="E2364" s="2" t="s">
        <v>4057</v>
      </c>
      <c r="F2364" s="2" t="s">
        <v>14</v>
      </c>
      <c r="G2364" s="2" t="s">
        <v>15</v>
      </c>
      <c r="H2364" s="2">
        <v>17000000</v>
      </c>
      <c r="I2364" s="2">
        <v>5.3</v>
      </c>
      <c r="J2364" s="2">
        <f t="shared" si="18"/>
        <v>25672630</v>
      </c>
      <c r="K2364" s="2">
        <f t="shared" si="19"/>
        <v>-2.1130099884626177E-2</v>
      </c>
      <c r="L2364" s="2" t="str">
        <f>IF(ISNUMBER(SEARCH("|",IMDB_Movies!$D2364)),LEFT(IMDB_Movies!$D2364,SEARCH("|",IMDB_Movies!$D2364)-1),IMDB_Movies!$D2364)</f>
        <v>Adventure</v>
      </c>
      <c r="V2364" s="2"/>
      <c r="W2364" s="2"/>
    </row>
    <row r="2365" spans="1:23" ht="12.5" x14ac:dyDescent="0.25">
      <c r="A2365" s="2" t="s">
        <v>4058</v>
      </c>
      <c r="B2365" s="2">
        <v>112</v>
      </c>
      <c r="C2365" s="2">
        <v>42919096</v>
      </c>
      <c r="D2365" s="2" t="s">
        <v>342</v>
      </c>
      <c r="E2365" s="2" t="s">
        <v>4059</v>
      </c>
      <c r="F2365" s="2" t="s">
        <v>14</v>
      </c>
      <c r="G2365" s="2" t="s">
        <v>15</v>
      </c>
      <c r="H2365" s="2">
        <v>15000000</v>
      </c>
      <c r="I2365" s="2">
        <v>6.5</v>
      </c>
      <c r="J2365" s="2">
        <f t="shared" si="18"/>
        <v>27919096</v>
      </c>
      <c r="K2365" s="2">
        <f t="shared" si="19"/>
        <v>-2.1123324156938149E-2</v>
      </c>
      <c r="L2365" s="2" t="str">
        <f>IF(ISNUMBER(SEARCH("|",IMDB_Movies!$D2365)),LEFT(IMDB_Movies!$D2365,SEARCH("|",IMDB_Movies!$D2365)-1),IMDB_Movies!$D2365)</f>
        <v>Action</v>
      </c>
      <c r="V2365" s="2"/>
      <c r="W2365" s="2"/>
    </row>
    <row r="2366" spans="1:23" ht="12.5" x14ac:dyDescent="0.25">
      <c r="A2366" s="2" t="s">
        <v>4060</v>
      </c>
      <c r="B2366" s="2">
        <v>98</v>
      </c>
      <c r="C2366" s="2">
        <v>42592530</v>
      </c>
      <c r="D2366" s="2" t="s">
        <v>327</v>
      </c>
      <c r="E2366" s="2" t="s">
        <v>4061</v>
      </c>
      <c r="F2366" s="2" t="s">
        <v>14</v>
      </c>
      <c r="G2366" s="2" t="s">
        <v>15</v>
      </c>
      <c r="H2366" s="2">
        <v>15000000</v>
      </c>
      <c r="I2366" s="2">
        <v>6.2</v>
      </c>
      <c r="J2366" s="2">
        <f t="shared" si="18"/>
        <v>27592530</v>
      </c>
      <c r="K2366" s="2">
        <f t="shared" si="19"/>
        <v>-2.111342214252444E-2</v>
      </c>
      <c r="L2366" s="2" t="str">
        <f>IF(ISNUMBER(SEARCH("|",IMDB_Movies!$D2366)),LEFT(IMDB_Movies!$D2366,SEARCH("|",IMDB_Movies!$D2366)-1),IMDB_Movies!$D2366)</f>
        <v>Comedy</v>
      </c>
      <c r="V2366" s="2"/>
      <c r="W2366" s="2"/>
    </row>
    <row r="2367" spans="1:23" ht="12.5" x14ac:dyDescent="0.25">
      <c r="A2367" s="2" t="s">
        <v>1666</v>
      </c>
      <c r="B2367" s="2">
        <v>104</v>
      </c>
      <c r="C2367" s="2">
        <v>40064955</v>
      </c>
      <c r="D2367" s="2" t="s">
        <v>2351</v>
      </c>
      <c r="E2367" s="2" t="s">
        <v>4062</v>
      </c>
      <c r="F2367" s="2" t="s">
        <v>14</v>
      </c>
      <c r="G2367" s="2" t="s">
        <v>15</v>
      </c>
      <c r="H2367" s="2">
        <v>15000000</v>
      </c>
      <c r="I2367" s="2">
        <v>6.4</v>
      </c>
      <c r="J2367" s="2">
        <f t="shared" si="18"/>
        <v>25064955</v>
      </c>
      <c r="K2367" s="2">
        <f t="shared" si="19"/>
        <v>-2.110357469189765E-2</v>
      </c>
      <c r="L2367" s="2" t="str">
        <f>IF(ISNUMBER(SEARCH("|",IMDB_Movies!$D2367)),LEFT(IMDB_Movies!$D2367,SEARCH("|",IMDB_Movies!$D2367)-1),IMDB_Movies!$D2367)</f>
        <v>Horror</v>
      </c>
      <c r="V2367" s="2"/>
      <c r="W2367" s="2"/>
    </row>
    <row r="2368" spans="1:23" ht="12.5" x14ac:dyDescent="0.25">
      <c r="A2368" s="2" t="s">
        <v>516</v>
      </c>
      <c r="B2368" s="2">
        <v>120</v>
      </c>
      <c r="C2368" s="2">
        <v>44886089</v>
      </c>
      <c r="D2368" s="2" t="s">
        <v>763</v>
      </c>
      <c r="E2368" s="2" t="s">
        <v>4063</v>
      </c>
      <c r="F2368" s="2" t="s">
        <v>14</v>
      </c>
      <c r="G2368" s="2" t="s">
        <v>15</v>
      </c>
      <c r="H2368" s="2">
        <v>10000000</v>
      </c>
      <c r="I2368" s="2">
        <v>6.9</v>
      </c>
      <c r="J2368" s="2">
        <f t="shared" si="18"/>
        <v>34886089</v>
      </c>
      <c r="K2368" s="2">
        <f t="shared" si="19"/>
        <v>-2.1094317011385508E-2</v>
      </c>
      <c r="L2368" s="2" t="str">
        <f>IF(ISNUMBER(SEARCH("|",IMDB_Movies!$D2368)),LEFT(IMDB_Movies!$D2368,SEARCH("|",IMDB_Movies!$D2368)-1),IMDB_Movies!$D2368)</f>
        <v>Crime</v>
      </c>
      <c r="V2368" s="2"/>
      <c r="W2368" s="2"/>
    </row>
    <row r="2369" spans="1:23" ht="12.5" x14ac:dyDescent="0.25">
      <c r="A2369" s="2" t="s">
        <v>4064</v>
      </c>
      <c r="B2369" s="2">
        <v>99</v>
      </c>
      <c r="C2369" s="2">
        <v>37882551</v>
      </c>
      <c r="D2369" s="2" t="s">
        <v>709</v>
      </c>
      <c r="E2369" s="2" t="s">
        <v>4065</v>
      </c>
      <c r="F2369" s="2" t="s">
        <v>14</v>
      </c>
      <c r="G2369" s="2" t="s">
        <v>15</v>
      </c>
      <c r="H2369" s="2">
        <v>16000000</v>
      </c>
      <c r="I2369" s="2">
        <v>5.7</v>
      </c>
      <c r="J2369" s="2">
        <f t="shared" si="18"/>
        <v>21882551</v>
      </c>
      <c r="K2369" s="2">
        <f t="shared" si="19"/>
        <v>-2.1075610892921971E-2</v>
      </c>
      <c r="L2369" s="2" t="str">
        <f>IF(ISNUMBER(SEARCH("|",IMDB_Movies!$D2369)),LEFT(IMDB_Movies!$D2369,SEARCH("|",IMDB_Movies!$D2369)-1),IMDB_Movies!$D2369)</f>
        <v>Comedy</v>
      </c>
      <c r="V2369" s="2"/>
      <c r="W2369" s="2"/>
    </row>
    <row r="2370" spans="1:23" ht="12.5" x14ac:dyDescent="0.25">
      <c r="A2370" s="2" t="s">
        <v>200</v>
      </c>
      <c r="B2370" s="2">
        <v>109</v>
      </c>
      <c r="C2370" s="2">
        <v>40983001</v>
      </c>
      <c r="D2370" s="2" t="s">
        <v>763</v>
      </c>
      <c r="E2370" s="2" t="s">
        <v>4066</v>
      </c>
      <c r="F2370" s="2" t="s">
        <v>14</v>
      </c>
      <c r="G2370" s="2" t="s">
        <v>15</v>
      </c>
      <c r="H2370" s="2">
        <v>7000000</v>
      </c>
      <c r="I2370" s="2">
        <v>7.7</v>
      </c>
      <c r="J2370" s="2">
        <f t="shared" si="18"/>
        <v>33983001</v>
      </c>
      <c r="K2370" s="2">
        <f t="shared" si="19"/>
        <v>-2.1068153583884437E-2</v>
      </c>
      <c r="L2370" s="2" t="str">
        <f>IF(ISNUMBER(SEARCH("|",IMDB_Movies!$D2370)),LEFT(IMDB_Movies!$D2370,SEARCH("|",IMDB_Movies!$D2370)-1),IMDB_Movies!$D2370)</f>
        <v>Crime</v>
      </c>
      <c r="V2370" s="2"/>
      <c r="W2370" s="2"/>
    </row>
    <row r="2371" spans="1:23" ht="12.5" x14ac:dyDescent="0.25">
      <c r="A2371" s="2" t="s">
        <v>197</v>
      </c>
      <c r="B2371" s="2">
        <v>106</v>
      </c>
      <c r="C2371" s="2">
        <v>35007180</v>
      </c>
      <c r="D2371" s="2" t="s">
        <v>177</v>
      </c>
      <c r="E2371" s="2" t="s">
        <v>4067</v>
      </c>
      <c r="F2371" s="2" t="s">
        <v>14</v>
      </c>
      <c r="G2371" s="2" t="s">
        <v>15</v>
      </c>
      <c r="H2371" s="2">
        <v>15000000</v>
      </c>
      <c r="I2371" s="2">
        <v>5.6</v>
      </c>
      <c r="J2371" s="2">
        <f t="shared" si="18"/>
        <v>20007180</v>
      </c>
      <c r="K2371" s="2">
        <f t="shared" si="19"/>
        <v>-2.1047151471318082E-2</v>
      </c>
      <c r="L2371" s="2" t="str">
        <f>IF(ISNUMBER(SEARCH("|",IMDB_Movies!$D2371)),LEFT(IMDB_Movies!$D2371,SEARCH("|",IMDB_Movies!$D2371)-1),IMDB_Movies!$D2371)</f>
        <v>Action</v>
      </c>
      <c r="V2371" s="2"/>
      <c r="W2371" s="2"/>
    </row>
    <row r="2372" spans="1:23" ht="12.5" x14ac:dyDescent="0.25">
      <c r="A2372" s="2" t="s">
        <v>4068</v>
      </c>
      <c r="B2372" s="2">
        <v>123</v>
      </c>
      <c r="C2372" s="2">
        <v>35887263</v>
      </c>
      <c r="D2372" s="2" t="s">
        <v>2124</v>
      </c>
      <c r="E2372" s="2" t="s">
        <v>4069</v>
      </c>
      <c r="F2372" s="2" t="s">
        <v>14</v>
      </c>
      <c r="G2372" s="2" t="s">
        <v>22</v>
      </c>
      <c r="H2372" s="2">
        <v>15000000</v>
      </c>
      <c r="I2372" s="2">
        <v>7.7</v>
      </c>
      <c r="J2372" s="2">
        <f t="shared" si="18"/>
        <v>20887263</v>
      </c>
      <c r="K2372" s="2">
        <f t="shared" si="19"/>
        <v>-2.1039309401050928E-2</v>
      </c>
      <c r="L2372" s="2" t="str">
        <f>IF(ISNUMBER(SEARCH("|",IMDB_Movies!$D2372)),LEFT(IMDB_Movies!$D2372,SEARCH("|",IMDB_Movies!$D2372)-1),IMDB_Movies!$D2372)</f>
        <v>Biography</v>
      </c>
      <c r="V2372" s="2"/>
      <c r="W2372" s="2"/>
    </row>
    <row r="2373" spans="1:23" ht="12.5" x14ac:dyDescent="0.25">
      <c r="A2373" s="2" t="s">
        <v>2140</v>
      </c>
      <c r="B2373" s="2">
        <v>86</v>
      </c>
      <c r="C2373" s="2">
        <v>34308901</v>
      </c>
      <c r="D2373" s="2" t="s">
        <v>375</v>
      </c>
      <c r="E2373" s="2" t="s">
        <v>4070</v>
      </c>
      <c r="F2373" s="2" t="s">
        <v>14</v>
      </c>
      <c r="G2373" s="2" t="s">
        <v>15</v>
      </c>
      <c r="H2373" s="2">
        <v>16000000</v>
      </c>
      <c r="I2373" s="2">
        <v>5.0999999999999996</v>
      </c>
      <c r="J2373" s="2">
        <f t="shared" si="18"/>
        <v>18308901</v>
      </c>
      <c r="K2373" s="2">
        <f t="shared" si="19"/>
        <v>-2.103116879920305E-2</v>
      </c>
      <c r="L2373" s="2" t="str">
        <f>IF(ISNUMBER(SEARCH("|",IMDB_Movies!$D2373)),LEFT(IMDB_Movies!$D2373,SEARCH("|",IMDB_Movies!$D2373)-1),IMDB_Movies!$D2373)</f>
        <v>Comedy</v>
      </c>
      <c r="V2373" s="2"/>
      <c r="W2373" s="2"/>
    </row>
    <row r="2374" spans="1:23" ht="12.5" x14ac:dyDescent="0.25">
      <c r="A2374" s="2" t="s">
        <v>4071</v>
      </c>
      <c r="B2374" s="2">
        <v>120</v>
      </c>
      <c r="C2374" s="2">
        <v>33771174</v>
      </c>
      <c r="D2374" s="2" t="s">
        <v>514</v>
      </c>
      <c r="E2374" s="2" t="s">
        <v>4072</v>
      </c>
      <c r="F2374" s="2" t="s">
        <v>14</v>
      </c>
      <c r="G2374" s="2" t="s">
        <v>15</v>
      </c>
      <c r="H2374" s="2">
        <v>15000000</v>
      </c>
      <c r="I2374" s="2">
        <v>6.8</v>
      </c>
      <c r="J2374" s="2">
        <f t="shared" si="18"/>
        <v>18771174</v>
      </c>
      <c r="K2374" s="2">
        <f t="shared" si="19"/>
        <v>-2.1024561486730761E-2</v>
      </c>
      <c r="L2374" s="2" t="str">
        <f>IF(ISNUMBER(SEARCH("|",IMDB_Movies!$D2374)),LEFT(IMDB_Movies!$D2374,SEARCH("|",IMDB_Movies!$D2374)-1),IMDB_Movies!$D2374)</f>
        <v>Comedy</v>
      </c>
      <c r="V2374" s="2"/>
      <c r="W2374" s="2"/>
    </row>
    <row r="2375" spans="1:23" ht="12.5" x14ac:dyDescent="0.25">
      <c r="A2375" s="2" t="s">
        <v>2967</v>
      </c>
      <c r="B2375" s="2">
        <v>227</v>
      </c>
      <c r="C2375" s="2">
        <v>6000000</v>
      </c>
      <c r="D2375" s="2" t="s">
        <v>1188</v>
      </c>
      <c r="E2375" s="2" t="s">
        <v>4073</v>
      </c>
      <c r="F2375" s="2" t="s">
        <v>14</v>
      </c>
      <c r="G2375" s="2" t="s">
        <v>22</v>
      </c>
      <c r="H2375" s="2">
        <v>15000000</v>
      </c>
      <c r="I2375" s="2">
        <v>8.4</v>
      </c>
      <c r="J2375" s="2">
        <f t="shared" si="18"/>
        <v>-9000000</v>
      </c>
      <c r="K2375" s="2">
        <f t="shared" si="19"/>
        <v>-2.1017103650956347E-2</v>
      </c>
      <c r="L2375" s="2" t="str">
        <f>IF(ISNUMBER(SEARCH("|",IMDB_Movies!$D2375)),LEFT(IMDB_Movies!$D2375,SEARCH("|",IMDB_Movies!$D2375)-1),IMDB_Movies!$D2375)</f>
        <v>Adventure</v>
      </c>
      <c r="V2375" s="2"/>
      <c r="W2375" s="2"/>
    </row>
    <row r="2376" spans="1:23" ht="12.5" x14ac:dyDescent="0.25">
      <c r="A2376" s="2" t="s">
        <v>4074</v>
      </c>
      <c r="B2376" s="2">
        <v>119</v>
      </c>
      <c r="C2376" s="2">
        <v>33386128</v>
      </c>
      <c r="D2376" s="2" t="s">
        <v>2148</v>
      </c>
      <c r="E2376" s="2" t="s">
        <v>4075</v>
      </c>
      <c r="F2376" s="2" t="s">
        <v>14</v>
      </c>
      <c r="G2376" s="2" t="s">
        <v>15</v>
      </c>
      <c r="H2376" s="2">
        <v>15000000</v>
      </c>
      <c r="I2376" s="2">
        <v>4.9000000000000004</v>
      </c>
      <c r="J2376" s="2">
        <f t="shared" si="18"/>
        <v>18386128</v>
      </c>
      <c r="K2376" s="2">
        <f t="shared" si="19"/>
        <v>-2.1024754168043232E-2</v>
      </c>
      <c r="L2376" s="2" t="str">
        <f>IF(ISNUMBER(SEARCH("|",IMDB_Movies!$D2376)),LEFT(IMDB_Movies!$D2376,SEARCH("|",IMDB_Movies!$D2376)-1),IMDB_Movies!$D2376)</f>
        <v>Horror</v>
      </c>
      <c r="V2376" s="2"/>
      <c r="W2376" s="2"/>
    </row>
    <row r="2377" spans="1:23" ht="12.5" x14ac:dyDescent="0.25">
      <c r="A2377" s="2" t="s">
        <v>2531</v>
      </c>
      <c r="B2377" s="2">
        <v>115</v>
      </c>
      <c r="C2377" s="2">
        <v>37877959</v>
      </c>
      <c r="D2377" s="2" t="s">
        <v>3570</v>
      </c>
      <c r="E2377" s="2" t="s">
        <v>4076</v>
      </c>
      <c r="F2377" s="2" t="s">
        <v>14</v>
      </c>
      <c r="G2377" s="2" t="s">
        <v>15</v>
      </c>
      <c r="H2377" s="2">
        <v>15000000</v>
      </c>
      <c r="I2377" s="2">
        <v>7.1</v>
      </c>
      <c r="J2377" s="2">
        <f t="shared" si="18"/>
        <v>22877959</v>
      </c>
      <c r="K2377" s="2">
        <f t="shared" si="19"/>
        <v>-2.1017417128252638E-2</v>
      </c>
      <c r="L2377" s="2" t="str">
        <f>IF(ISNUMBER(SEARCH("|",IMDB_Movies!$D2377)),LEFT(IMDB_Movies!$D2377,SEARCH("|",IMDB_Movies!$D2377)-1),IMDB_Movies!$D2377)</f>
        <v>Adventure</v>
      </c>
      <c r="V2377" s="2"/>
      <c r="W2377" s="2"/>
    </row>
    <row r="2378" spans="1:23" ht="12.5" x14ac:dyDescent="0.25">
      <c r="A2378" s="2" t="s">
        <v>4077</v>
      </c>
      <c r="B2378" s="2">
        <v>114</v>
      </c>
      <c r="C2378" s="2">
        <v>32721635</v>
      </c>
      <c r="D2378" s="2" t="s">
        <v>2268</v>
      </c>
      <c r="E2378" s="2" t="s">
        <v>4078</v>
      </c>
      <c r="F2378" s="2" t="s">
        <v>14</v>
      </c>
      <c r="G2378" s="2" t="s">
        <v>15</v>
      </c>
      <c r="H2378" s="2">
        <v>15000000</v>
      </c>
      <c r="I2378" s="2">
        <v>6.6</v>
      </c>
      <c r="J2378" s="2">
        <f t="shared" si="18"/>
        <v>17721635</v>
      </c>
      <c r="K2378" s="2">
        <f t="shared" si="19"/>
        <v>-2.1008612337045474E-2</v>
      </c>
      <c r="L2378" s="2" t="str">
        <f>IF(ISNUMBER(SEARCH("|",IMDB_Movies!$D2378)),LEFT(IMDB_Movies!$D2378,SEARCH("|",IMDB_Movies!$D2378)-1),IMDB_Movies!$D2378)</f>
        <v>Crime</v>
      </c>
      <c r="V2378" s="2"/>
      <c r="W2378" s="2"/>
    </row>
    <row r="2379" spans="1:23" ht="12.5" x14ac:dyDescent="0.25">
      <c r="A2379" s="2" t="s">
        <v>3985</v>
      </c>
      <c r="B2379" s="2">
        <v>90</v>
      </c>
      <c r="C2379" s="2">
        <v>31585300</v>
      </c>
      <c r="D2379" s="2" t="s">
        <v>600</v>
      </c>
      <c r="E2379" s="2" t="s">
        <v>4079</v>
      </c>
      <c r="F2379" s="2" t="s">
        <v>14</v>
      </c>
      <c r="G2379" s="2" t="s">
        <v>15</v>
      </c>
      <c r="H2379" s="2">
        <v>15000000</v>
      </c>
      <c r="I2379" s="2">
        <v>6.1</v>
      </c>
      <c r="J2379" s="2">
        <f t="shared" si="18"/>
        <v>16585300</v>
      </c>
      <c r="K2379" s="2">
        <f t="shared" si="19"/>
        <v>-2.1001490428590758E-2</v>
      </c>
      <c r="L2379" s="2" t="str">
        <f>IF(ISNUMBER(SEARCH("|",IMDB_Movies!$D2379)),LEFT(IMDB_Movies!$D2379,SEARCH("|",IMDB_Movies!$D2379)-1),IMDB_Movies!$D2379)</f>
        <v>Comedy</v>
      </c>
      <c r="V2379" s="2"/>
      <c r="W2379" s="2"/>
    </row>
    <row r="2380" spans="1:23" ht="12.5" x14ac:dyDescent="0.25">
      <c r="A2380" s="2" t="s">
        <v>4080</v>
      </c>
      <c r="B2380" s="2">
        <v>94</v>
      </c>
      <c r="C2380" s="2">
        <v>30259652</v>
      </c>
      <c r="D2380" s="2" t="s">
        <v>4081</v>
      </c>
      <c r="E2380" s="2" t="s">
        <v>4082</v>
      </c>
      <c r="F2380" s="2" t="s">
        <v>14</v>
      </c>
      <c r="G2380" s="2" t="s">
        <v>15</v>
      </c>
      <c r="H2380" s="2">
        <v>15000000</v>
      </c>
      <c r="I2380" s="2">
        <v>4.0999999999999996</v>
      </c>
      <c r="J2380" s="2">
        <f t="shared" si="18"/>
        <v>15259652</v>
      </c>
      <c r="K2380" s="2">
        <f t="shared" si="19"/>
        <v>-2.0994782072051209E-2</v>
      </c>
      <c r="L2380" s="2" t="str">
        <f>IF(ISNUMBER(SEARCH("|",IMDB_Movies!$D2380)),LEFT(IMDB_Movies!$D2380,SEARCH("|",IMDB_Movies!$D2380)-1),IMDB_Movies!$D2380)</f>
        <v>Comedy</v>
      </c>
      <c r="V2380" s="2"/>
      <c r="W2380" s="2"/>
    </row>
    <row r="2381" spans="1:23" ht="12.5" x14ac:dyDescent="0.25">
      <c r="A2381" s="2" t="s">
        <v>1340</v>
      </c>
      <c r="B2381" s="2">
        <v>98</v>
      </c>
      <c r="C2381" s="2">
        <v>30857814</v>
      </c>
      <c r="D2381" s="2" t="s">
        <v>1186</v>
      </c>
      <c r="E2381" s="2" t="s">
        <v>4083</v>
      </c>
      <c r="F2381" s="2" t="s">
        <v>14</v>
      </c>
      <c r="G2381" s="2" t="s">
        <v>15</v>
      </c>
      <c r="H2381" s="2">
        <v>16000000</v>
      </c>
      <c r="I2381" s="2">
        <v>8.1</v>
      </c>
      <c r="J2381" s="2">
        <f t="shared" si="18"/>
        <v>14857814</v>
      </c>
      <c r="K2381" s="2">
        <f t="shared" si="19"/>
        <v>-2.0988582127305536E-2</v>
      </c>
      <c r="L2381" s="2" t="str">
        <f>IF(ISNUMBER(SEARCH("|",IMDB_Movies!$D2381)),LEFT(IMDB_Movies!$D2381,SEARCH("|",IMDB_Movies!$D2381)-1),IMDB_Movies!$D2381)</f>
        <v>Adventure</v>
      </c>
      <c r="V2381" s="2"/>
      <c r="W2381" s="2"/>
    </row>
    <row r="2382" spans="1:23" ht="12.5" x14ac:dyDescent="0.25">
      <c r="A2382" s="2" t="s">
        <v>4084</v>
      </c>
      <c r="B2382" s="2">
        <v>126</v>
      </c>
      <c r="C2382" s="2">
        <v>30226144</v>
      </c>
      <c r="D2382" s="2" t="s">
        <v>555</v>
      </c>
      <c r="E2382" s="2" t="s">
        <v>4085</v>
      </c>
      <c r="F2382" s="2" t="s">
        <v>14</v>
      </c>
      <c r="G2382" s="2" t="s">
        <v>15</v>
      </c>
      <c r="H2382" s="2">
        <v>15000000</v>
      </c>
      <c r="I2382" s="2">
        <v>7.6</v>
      </c>
      <c r="J2382" s="2">
        <f t="shared" si="18"/>
        <v>15226144</v>
      </c>
      <c r="K2382" s="2">
        <f t="shared" si="19"/>
        <v>-2.0982952777099381E-2</v>
      </c>
      <c r="L2382" s="2" t="str">
        <f>IF(ISNUMBER(SEARCH("|",IMDB_Movies!$D2382)),LEFT(IMDB_Movies!$D2382,SEARCH("|",IMDB_Movies!$D2382)-1),IMDB_Movies!$D2382)</f>
        <v>Biography</v>
      </c>
      <c r="V2382" s="2"/>
      <c r="W2382" s="2"/>
    </row>
    <row r="2383" spans="1:23" ht="12.5" x14ac:dyDescent="0.25">
      <c r="A2383" s="2" t="s">
        <v>4086</v>
      </c>
      <c r="B2383" s="2">
        <v>100</v>
      </c>
      <c r="C2383" s="2">
        <v>35054909</v>
      </c>
      <c r="D2383" s="2" t="s">
        <v>694</v>
      </c>
      <c r="E2383" s="2" t="s">
        <v>4087</v>
      </c>
      <c r="F2383" s="2" t="s">
        <v>14</v>
      </c>
      <c r="G2383" s="2" t="s">
        <v>15</v>
      </c>
      <c r="H2383" s="2">
        <v>15000000</v>
      </c>
      <c r="I2383" s="2">
        <v>7.8</v>
      </c>
      <c r="J2383" s="2">
        <f t="shared" si="18"/>
        <v>20054909</v>
      </c>
      <c r="K2383" s="2">
        <f t="shared" si="19"/>
        <v>-2.0976747794428395E-2</v>
      </c>
      <c r="L2383" s="2" t="str">
        <f>IF(ISNUMBER(SEARCH("|",IMDB_Movies!$D2383)),LEFT(IMDB_Movies!$D2383,SEARCH("|",IMDB_Movies!$D2383)-1),IMDB_Movies!$D2383)</f>
        <v>Crime</v>
      </c>
      <c r="V2383" s="2"/>
      <c r="W2383" s="2"/>
    </row>
    <row r="2384" spans="1:23" ht="12.5" x14ac:dyDescent="0.25">
      <c r="A2384" s="2" t="s">
        <v>4088</v>
      </c>
      <c r="B2384" s="2">
        <v>89</v>
      </c>
      <c r="C2384" s="2">
        <v>29302097</v>
      </c>
      <c r="D2384" s="2" t="s">
        <v>4089</v>
      </c>
      <c r="E2384" s="2" t="s">
        <v>4090</v>
      </c>
      <c r="F2384" s="2" t="s">
        <v>14</v>
      </c>
      <c r="G2384" s="2" t="s">
        <v>287</v>
      </c>
      <c r="H2384" s="2">
        <v>15000000</v>
      </c>
      <c r="I2384" s="2">
        <v>4.5999999999999996</v>
      </c>
      <c r="J2384" s="2">
        <f t="shared" si="18"/>
        <v>14302097</v>
      </c>
      <c r="K2384" s="2">
        <f t="shared" si="19"/>
        <v>-2.0968755302746767E-2</v>
      </c>
      <c r="L2384" s="2" t="str">
        <f>IF(ISNUMBER(SEARCH("|",IMDB_Movies!$D2384)),LEFT(IMDB_Movies!$D2384,SEARCH("|",IMDB_Movies!$D2384)-1),IMDB_Movies!$D2384)</f>
        <v>Comedy</v>
      </c>
      <c r="V2384" s="2"/>
      <c r="W2384" s="2"/>
    </row>
    <row r="2385" spans="1:23" ht="12.5" x14ac:dyDescent="0.25">
      <c r="A2385" s="2" t="s">
        <v>3805</v>
      </c>
      <c r="B2385" s="2">
        <v>111</v>
      </c>
      <c r="C2385" s="2">
        <v>29106737</v>
      </c>
      <c r="D2385" s="2" t="s">
        <v>514</v>
      </c>
      <c r="E2385" s="2" t="s">
        <v>4091</v>
      </c>
      <c r="F2385" s="2" t="s">
        <v>14</v>
      </c>
      <c r="G2385" s="2" t="s">
        <v>15</v>
      </c>
      <c r="H2385" s="2">
        <v>15000000</v>
      </c>
      <c r="I2385" s="2">
        <v>6</v>
      </c>
      <c r="J2385" s="2">
        <f t="shared" si="18"/>
        <v>14106737</v>
      </c>
      <c r="K2385" s="2">
        <f t="shared" si="19"/>
        <v>-2.0962907501051561E-2</v>
      </c>
      <c r="L2385" s="2" t="str">
        <f>IF(ISNUMBER(SEARCH("|",IMDB_Movies!$D2385)),LEFT(IMDB_Movies!$D2385,SEARCH("|",IMDB_Movies!$D2385)-1),IMDB_Movies!$D2385)</f>
        <v>Comedy</v>
      </c>
      <c r="V2385" s="2"/>
      <c r="W2385" s="2"/>
    </row>
    <row r="2386" spans="1:23" ht="12.5" x14ac:dyDescent="0.25">
      <c r="A2386" s="2" t="s">
        <v>4092</v>
      </c>
      <c r="B2386" s="2">
        <v>100</v>
      </c>
      <c r="C2386" s="2">
        <v>28637507</v>
      </c>
      <c r="D2386" s="2" t="s">
        <v>292</v>
      </c>
      <c r="E2386" s="2" t="s">
        <v>4093</v>
      </c>
      <c r="F2386" s="2" t="s">
        <v>14</v>
      </c>
      <c r="G2386" s="2" t="s">
        <v>22</v>
      </c>
      <c r="H2386" s="2">
        <v>15000000</v>
      </c>
      <c r="I2386" s="2">
        <v>7</v>
      </c>
      <c r="J2386" s="2">
        <f t="shared" si="18"/>
        <v>13637507</v>
      </c>
      <c r="K2386" s="2">
        <f t="shared" si="19"/>
        <v>-2.0957132338686082E-2</v>
      </c>
      <c r="L2386" s="2" t="str">
        <f>IF(ISNUMBER(SEARCH("|",IMDB_Movies!$D2386)),LEFT(IMDB_Movies!$D2386,SEARCH("|",IMDB_Movies!$D2386)-1),IMDB_Movies!$D2386)</f>
        <v>Drama</v>
      </c>
      <c r="V2386" s="2"/>
      <c r="W2386" s="2"/>
    </row>
    <row r="2387" spans="1:23" ht="12.5" x14ac:dyDescent="0.25">
      <c r="A2387" s="2" t="s">
        <v>1939</v>
      </c>
      <c r="B2387" s="2">
        <v>115</v>
      </c>
      <c r="C2387" s="2">
        <v>30127963</v>
      </c>
      <c r="D2387" s="2" t="s">
        <v>2630</v>
      </c>
      <c r="E2387" s="2" t="s">
        <v>4094</v>
      </c>
      <c r="F2387" s="2" t="s">
        <v>14</v>
      </c>
      <c r="G2387" s="2" t="s">
        <v>15</v>
      </c>
      <c r="H2387" s="2">
        <v>15000000</v>
      </c>
      <c r="I2387" s="2">
        <v>6.7</v>
      </c>
      <c r="J2387" s="2">
        <f t="shared" si="18"/>
        <v>15127963</v>
      </c>
      <c r="K2387" s="2">
        <f t="shared" si="19"/>
        <v>-2.0951546513711942E-2</v>
      </c>
      <c r="L2387" s="2" t="str">
        <f>IF(ISNUMBER(SEARCH("|",IMDB_Movies!$D2387)),LEFT(IMDB_Movies!$D2387,SEARCH("|",IMDB_Movies!$D2387)-1),IMDB_Movies!$D2387)</f>
        <v>Drama</v>
      </c>
      <c r="V2387" s="2"/>
      <c r="W2387" s="2"/>
    </row>
    <row r="2388" spans="1:23" ht="12.5" x14ac:dyDescent="0.25">
      <c r="A2388" s="2" t="s">
        <v>1579</v>
      </c>
      <c r="B2388" s="2">
        <v>106</v>
      </c>
      <c r="C2388" s="2">
        <v>32645546</v>
      </c>
      <c r="D2388" s="2" t="s">
        <v>1357</v>
      </c>
      <c r="E2388" s="2" t="s">
        <v>4095</v>
      </c>
      <c r="F2388" s="2" t="s">
        <v>14</v>
      </c>
      <c r="G2388" s="2" t="s">
        <v>15</v>
      </c>
      <c r="H2388" s="2">
        <v>14000000</v>
      </c>
      <c r="I2388" s="2">
        <v>6.4</v>
      </c>
      <c r="J2388" s="2">
        <f t="shared" si="18"/>
        <v>18645546</v>
      </c>
      <c r="K2388" s="2">
        <f t="shared" si="19"/>
        <v>-2.0945333290643523E-2</v>
      </c>
      <c r="L2388" s="2" t="str">
        <f>IF(ISNUMBER(SEARCH("|",IMDB_Movies!$D2388)),LEFT(IMDB_Movies!$D2388,SEARCH("|",IMDB_Movies!$D2388)-1),IMDB_Movies!$D2388)</f>
        <v>Comedy</v>
      </c>
      <c r="V2388" s="2"/>
      <c r="W2388" s="2"/>
    </row>
    <row r="2389" spans="1:23" ht="12.5" x14ac:dyDescent="0.25">
      <c r="A2389" s="2" t="s">
        <v>4096</v>
      </c>
      <c r="B2389" s="2">
        <v>124</v>
      </c>
      <c r="C2389" s="2">
        <v>27441122</v>
      </c>
      <c r="D2389" s="2" t="s">
        <v>1672</v>
      </c>
      <c r="E2389" s="2" t="s">
        <v>4097</v>
      </c>
      <c r="F2389" s="2" t="s">
        <v>14</v>
      </c>
      <c r="G2389" s="2" t="s">
        <v>15</v>
      </c>
      <c r="H2389" s="2">
        <v>15000000</v>
      </c>
      <c r="I2389" s="2">
        <v>7.2</v>
      </c>
      <c r="J2389" s="2">
        <f t="shared" si="18"/>
        <v>12441122</v>
      </c>
      <c r="K2389" s="2">
        <f t="shared" si="19"/>
        <v>-2.0937203066508332E-2</v>
      </c>
      <c r="L2389" s="2" t="str">
        <f>IF(ISNUMBER(SEARCH("|",IMDB_Movies!$D2389)),LEFT(IMDB_Movies!$D2389,SEARCH("|",IMDB_Movies!$D2389)-1),IMDB_Movies!$D2389)</f>
        <v>Drama</v>
      </c>
      <c r="V2389" s="2"/>
      <c r="W2389" s="2"/>
    </row>
    <row r="2390" spans="1:23" ht="12.5" x14ac:dyDescent="0.25">
      <c r="A2390" s="2" t="s">
        <v>1856</v>
      </c>
      <c r="B2390" s="2">
        <v>107</v>
      </c>
      <c r="C2390" s="2">
        <v>28014536</v>
      </c>
      <c r="D2390" s="2" t="s">
        <v>552</v>
      </c>
      <c r="E2390" s="2" t="s">
        <v>4098</v>
      </c>
      <c r="F2390" s="2" t="s">
        <v>14</v>
      </c>
      <c r="G2390" s="2" t="s">
        <v>15</v>
      </c>
      <c r="H2390" s="2">
        <v>15000000</v>
      </c>
      <c r="I2390" s="2">
        <v>7.4</v>
      </c>
      <c r="J2390" s="2">
        <f t="shared" si="18"/>
        <v>13014536</v>
      </c>
      <c r="K2390" s="2">
        <f t="shared" si="19"/>
        <v>-2.0932109698043731E-2</v>
      </c>
      <c r="L2390" s="2" t="str">
        <f>IF(ISNUMBER(SEARCH("|",IMDB_Movies!$D2390)),LEFT(IMDB_Movies!$D2390,SEARCH("|",IMDB_Movies!$D2390)-1),IMDB_Movies!$D2390)</f>
        <v>Action</v>
      </c>
      <c r="V2390" s="2"/>
      <c r="W2390" s="2"/>
    </row>
    <row r="2391" spans="1:23" ht="12.5" x14ac:dyDescent="0.25">
      <c r="A2391" s="2" t="s">
        <v>4099</v>
      </c>
      <c r="B2391" s="2">
        <v>99</v>
      </c>
      <c r="C2391" s="2">
        <v>33860010</v>
      </c>
      <c r="D2391" s="2" t="s">
        <v>600</v>
      </c>
      <c r="E2391" s="2" t="s">
        <v>4100</v>
      </c>
      <c r="F2391" s="2" t="s">
        <v>14</v>
      </c>
      <c r="G2391" s="2" t="s">
        <v>15</v>
      </c>
      <c r="H2391" s="2">
        <v>15000000</v>
      </c>
      <c r="I2391" s="2">
        <v>4.8</v>
      </c>
      <c r="J2391" s="2">
        <f t="shared" si="18"/>
        <v>18860010</v>
      </c>
      <c r="K2391" s="2">
        <f t="shared" si="19"/>
        <v>-2.0926756654001788E-2</v>
      </c>
      <c r="L2391" s="2" t="str">
        <f>IF(ISNUMBER(SEARCH("|",IMDB_Movies!$D2391)),LEFT(IMDB_Movies!$D2391,SEARCH("|",IMDB_Movies!$D2391)-1),IMDB_Movies!$D2391)</f>
        <v>Comedy</v>
      </c>
      <c r="V2391" s="2"/>
      <c r="W2391" s="2"/>
    </row>
    <row r="2392" spans="1:23" ht="12.5" x14ac:dyDescent="0.25">
      <c r="A2392" s="2" t="s">
        <v>4101</v>
      </c>
      <c r="B2392" s="2">
        <v>90</v>
      </c>
      <c r="C2392" s="2">
        <v>26421314</v>
      </c>
      <c r="D2392" s="2" t="s">
        <v>4102</v>
      </c>
      <c r="E2392" s="2" t="s">
        <v>4103</v>
      </c>
      <c r="F2392" s="2" t="s">
        <v>14</v>
      </c>
      <c r="G2392" s="2" t="s">
        <v>15</v>
      </c>
      <c r="H2392" s="2">
        <v>15000000</v>
      </c>
      <c r="I2392" s="2">
        <v>4</v>
      </c>
      <c r="J2392" s="2">
        <f t="shared" si="18"/>
        <v>11421314</v>
      </c>
      <c r="K2392" s="2">
        <f t="shared" si="19"/>
        <v>-2.0919086539641932E-2</v>
      </c>
      <c r="L2392" s="2" t="str">
        <f>IF(ISNUMBER(SEARCH("|",IMDB_Movies!$D2392)),LEFT(IMDB_Movies!$D2392,SEARCH("|",IMDB_Movies!$D2392)-1),IMDB_Movies!$D2392)</f>
        <v>Adventure</v>
      </c>
      <c r="V2392" s="2"/>
      <c r="W2392" s="2"/>
    </row>
    <row r="2393" spans="1:23" ht="12.5" x14ac:dyDescent="0.25">
      <c r="A2393" s="2" t="s">
        <v>3536</v>
      </c>
      <c r="B2393" s="2">
        <v>101</v>
      </c>
      <c r="C2393" s="2">
        <v>24881000</v>
      </c>
      <c r="D2393" s="2" t="s">
        <v>333</v>
      </c>
      <c r="E2393" s="2" t="s">
        <v>4104</v>
      </c>
      <c r="F2393" s="2" t="s">
        <v>14</v>
      </c>
      <c r="G2393" s="2" t="s">
        <v>15</v>
      </c>
      <c r="H2393" s="2">
        <v>15000000</v>
      </c>
      <c r="I2393" s="2">
        <v>6.2</v>
      </c>
      <c r="J2393" s="2">
        <f t="shared" si="18"/>
        <v>9881000</v>
      </c>
      <c r="K2393" s="2">
        <f t="shared" si="19"/>
        <v>-2.0914428079053814E-2</v>
      </c>
      <c r="L2393" s="2" t="str">
        <f>IF(ISNUMBER(SEARCH("|",IMDB_Movies!$D2393)),LEFT(IMDB_Movies!$D2393,SEARCH("|",IMDB_Movies!$D2393)-1),IMDB_Movies!$D2393)</f>
        <v>Drama</v>
      </c>
      <c r="V2393" s="2"/>
      <c r="W2393" s="2"/>
    </row>
    <row r="2394" spans="1:23" ht="12.5" x14ac:dyDescent="0.25">
      <c r="A2394" s="2" t="s">
        <v>2732</v>
      </c>
      <c r="B2394" s="2">
        <v>119</v>
      </c>
      <c r="C2394" s="2">
        <v>23089926</v>
      </c>
      <c r="D2394" s="2" t="s">
        <v>2924</v>
      </c>
      <c r="E2394" s="2" t="s">
        <v>4105</v>
      </c>
      <c r="F2394" s="2" t="s">
        <v>14</v>
      </c>
      <c r="G2394" s="2" t="s">
        <v>22</v>
      </c>
      <c r="H2394" s="2">
        <v>15000000</v>
      </c>
      <c r="I2394" s="2">
        <v>7.7</v>
      </c>
      <c r="J2394" s="2">
        <f t="shared" si="18"/>
        <v>8089926</v>
      </c>
      <c r="K2394" s="2">
        <f t="shared" si="19"/>
        <v>-2.0910486210397657E-2</v>
      </c>
      <c r="L2394" s="2" t="str">
        <f>IF(ISNUMBER(SEARCH("|",IMDB_Movies!$D2394)),LEFT(IMDB_Movies!$D2394,SEARCH("|",IMDB_Movies!$D2394)-1),IMDB_Movies!$D2394)</f>
        <v>Drama</v>
      </c>
      <c r="V2394" s="2"/>
      <c r="W2394" s="2"/>
    </row>
    <row r="2395" spans="1:23" ht="12.5" x14ac:dyDescent="0.25">
      <c r="A2395" s="2" t="s">
        <v>4106</v>
      </c>
      <c r="B2395" s="2">
        <v>103</v>
      </c>
      <c r="C2395" s="2">
        <v>26161406</v>
      </c>
      <c r="D2395" s="2" t="s">
        <v>294</v>
      </c>
      <c r="E2395" s="2" t="s">
        <v>4107</v>
      </c>
      <c r="F2395" s="2" t="s">
        <v>14</v>
      </c>
      <c r="G2395" s="2" t="s">
        <v>15</v>
      </c>
      <c r="H2395" s="2">
        <v>15000000</v>
      </c>
      <c r="I2395" s="2">
        <v>6.7</v>
      </c>
      <c r="J2395" s="2">
        <f t="shared" si="18"/>
        <v>11161406</v>
      </c>
      <c r="K2395" s="2">
        <f t="shared" si="19"/>
        <v>-2.0907422265318259E-2</v>
      </c>
      <c r="L2395" s="2" t="str">
        <f>IF(ISNUMBER(SEARCH("|",IMDB_Movies!$D2395)),LEFT(IMDB_Movies!$D2395,SEARCH("|",IMDB_Movies!$D2395)-1),IMDB_Movies!$D2395)</f>
        <v>Adventure</v>
      </c>
      <c r="V2395" s="2"/>
      <c r="W2395" s="2"/>
    </row>
    <row r="2396" spans="1:23" ht="12.5" x14ac:dyDescent="0.25">
      <c r="A2396" s="2" t="s">
        <v>4003</v>
      </c>
      <c r="B2396" s="2">
        <v>134</v>
      </c>
      <c r="C2396" s="2">
        <v>22954968</v>
      </c>
      <c r="D2396" s="2" t="s">
        <v>85</v>
      </c>
      <c r="E2396" s="2" t="s">
        <v>4108</v>
      </c>
      <c r="F2396" s="2" t="s">
        <v>14</v>
      </c>
      <c r="G2396" s="2" t="s">
        <v>22</v>
      </c>
      <c r="H2396" s="2">
        <v>11500000</v>
      </c>
      <c r="I2396" s="2">
        <v>7.9</v>
      </c>
      <c r="J2396" s="2">
        <f t="shared" si="18"/>
        <v>11454968</v>
      </c>
      <c r="K2396" s="2">
        <f t="shared" si="19"/>
        <v>-2.0902864718710928E-2</v>
      </c>
      <c r="L2396" s="2" t="str">
        <f>IF(ISNUMBER(SEARCH("|",IMDB_Movies!$D2396)),LEFT(IMDB_Movies!$D2396,SEARCH("|",IMDB_Movies!$D2396)-1),IMDB_Movies!$D2396)</f>
        <v>Drama</v>
      </c>
      <c r="V2396" s="2"/>
      <c r="W2396" s="2"/>
    </row>
    <row r="2397" spans="1:23" ht="12.5" x14ac:dyDescent="0.25">
      <c r="A2397" s="2" t="s">
        <v>2361</v>
      </c>
      <c r="B2397" s="2">
        <v>155</v>
      </c>
      <c r="C2397" s="2">
        <v>26384919</v>
      </c>
      <c r="D2397" s="2" t="s">
        <v>1180</v>
      </c>
      <c r="E2397" s="2" t="s">
        <v>4109</v>
      </c>
      <c r="F2397" s="2" t="s">
        <v>14</v>
      </c>
      <c r="G2397" s="2" t="s">
        <v>15</v>
      </c>
      <c r="H2397" s="2">
        <v>15000000</v>
      </c>
      <c r="I2397" s="2">
        <v>7.9</v>
      </c>
      <c r="J2397" s="2">
        <f t="shared" si="18"/>
        <v>11384919</v>
      </c>
      <c r="K2397" s="2">
        <f t="shared" si="19"/>
        <v>-2.0898676159685419E-2</v>
      </c>
      <c r="L2397" s="2" t="str">
        <f>IF(ISNUMBER(SEARCH("|",IMDB_Movies!$D2397)),LEFT(IMDB_Movies!$D2397,SEARCH("|",IMDB_Movies!$D2397)-1),IMDB_Movies!$D2397)</f>
        <v>Drama</v>
      </c>
      <c r="V2397" s="2"/>
      <c r="W2397" s="2"/>
    </row>
    <row r="2398" spans="1:23" ht="12.5" x14ac:dyDescent="0.25">
      <c r="A2398" s="2" t="s">
        <v>3902</v>
      </c>
      <c r="B2398" s="2">
        <v>94</v>
      </c>
      <c r="C2398" s="2">
        <v>22189039</v>
      </c>
      <c r="D2398" s="2" t="s">
        <v>1952</v>
      </c>
      <c r="E2398" s="2" t="s">
        <v>4110</v>
      </c>
      <c r="F2398" s="2" t="s">
        <v>14</v>
      </c>
      <c r="G2398" s="2" t="s">
        <v>15</v>
      </c>
      <c r="H2398" s="2">
        <v>15000000</v>
      </c>
      <c r="I2398" s="2">
        <v>5.5</v>
      </c>
      <c r="J2398" s="2">
        <f t="shared" si="18"/>
        <v>7189039</v>
      </c>
      <c r="K2398" s="2">
        <f t="shared" si="19"/>
        <v>-2.0894001424182532E-2</v>
      </c>
      <c r="L2398" s="2" t="str">
        <f>IF(ISNUMBER(SEARCH("|",IMDB_Movies!$D2398)),LEFT(IMDB_Movies!$D2398,SEARCH("|",IMDB_Movies!$D2398)-1),IMDB_Movies!$D2398)</f>
        <v>Action</v>
      </c>
      <c r="V2398" s="2"/>
      <c r="W2398" s="2"/>
    </row>
    <row r="2399" spans="1:23" ht="12.5" x14ac:dyDescent="0.25">
      <c r="A2399" s="2" t="s">
        <v>4111</v>
      </c>
      <c r="B2399" s="2">
        <v>95</v>
      </c>
      <c r="C2399" s="2">
        <v>20998709</v>
      </c>
      <c r="D2399" s="2" t="s">
        <v>1135</v>
      </c>
      <c r="E2399" s="2" t="s">
        <v>4112</v>
      </c>
      <c r="F2399" s="2" t="s">
        <v>14</v>
      </c>
      <c r="G2399" s="2" t="s">
        <v>15</v>
      </c>
      <c r="H2399" s="2">
        <v>15000000</v>
      </c>
      <c r="I2399" s="2">
        <v>6.2</v>
      </c>
      <c r="J2399" s="2">
        <f t="shared" si="18"/>
        <v>5998709</v>
      </c>
      <c r="K2399" s="2">
        <f t="shared" si="19"/>
        <v>-2.0891379221853985E-2</v>
      </c>
      <c r="L2399" s="2" t="str">
        <f>IF(ISNUMBER(SEARCH("|",IMDB_Movies!$D2399)),LEFT(IMDB_Movies!$D2399,SEARCH("|",IMDB_Movies!$D2399)-1),IMDB_Movies!$D2399)</f>
        <v>Adventure</v>
      </c>
      <c r="V2399" s="2"/>
      <c r="W2399" s="2"/>
    </row>
    <row r="2400" spans="1:23" ht="12.5" x14ac:dyDescent="0.25">
      <c r="A2400" s="2" t="s">
        <v>4113</v>
      </c>
      <c r="B2400" s="2">
        <v>89</v>
      </c>
      <c r="C2400" s="2">
        <v>20801344</v>
      </c>
      <c r="D2400" s="2" t="s">
        <v>2148</v>
      </c>
      <c r="E2400" s="2" t="s">
        <v>4114</v>
      </c>
      <c r="F2400" s="2" t="s">
        <v>14</v>
      </c>
      <c r="G2400" s="2" t="s">
        <v>15</v>
      </c>
      <c r="H2400" s="2">
        <v>15000000</v>
      </c>
      <c r="I2400" s="2">
        <v>5.0999999999999996</v>
      </c>
      <c r="J2400" s="2">
        <f t="shared" si="18"/>
        <v>5801344</v>
      </c>
      <c r="K2400" s="2">
        <f t="shared" si="19"/>
        <v>-2.088938276202202E-2</v>
      </c>
      <c r="L2400" s="2" t="str">
        <f>IF(ISNUMBER(SEARCH("|",IMDB_Movies!$D2400)),LEFT(IMDB_Movies!$D2400,SEARCH("|",IMDB_Movies!$D2400)-1),IMDB_Movies!$D2400)</f>
        <v>Horror</v>
      </c>
      <c r="V2400" s="2"/>
      <c r="W2400" s="2"/>
    </row>
    <row r="2401" spans="1:23" ht="12.5" x14ac:dyDescent="0.25">
      <c r="A2401" s="2" t="s">
        <v>4115</v>
      </c>
      <c r="B2401" s="2">
        <v>97</v>
      </c>
      <c r="C2401" s="2">
        <v>21468807</v>
      </c>
      <c r="D2401" s="2" t="s">
        <v>1050</v>
      </c>
      <c r="E2401" s="2" t="s">
        <v>4116</v>
      </c>
      <c r="F2401" s="2" t="s">
        <v>14</v>
      </c>
      <c r="G2401" s="2" t="s">
        <v>15</v>
      </c>
      <c r="H2401" s="2">
        <v>14000000</v>
      </c>
      <c r="I2401" s="2">
        <v>4.0999999999999996</v>
      </c>
      <c r="J2401" s="2">
        <f t="shared" si="18"/>
        <v>7468807</v>
      </c>
      <c r="K2401" s="2">
        <f t="shared" si="19"/>
        <v>-2.0887489784550291E-2</v>
      </c>
      <c r="L2401" s="2" t="str">
        <f>IF(ISNUMBER(SEARCH("|",IMDB_Movies!$D2401)),LEFT(IMDB_Movies!$D2401,SEARCH("|",IMDB_Movies!$D2401)-1),IMDB_Movies!$D2401)</f>
        <v>Horror</v>
      </c>
      <c r="V2401" s="2"/>
      <c r="W2401" s="2"/>
    </row>
    <row r="2402" spans="1:23" ht="12.5" x14ac:dyDescent="0.25">
      <c r="A2402" s="2" t="s">
        <v>1393</v>
      </c>
      <c r="B2402" s="2">
        <v>90</v>
      </c>
      <c r="C2402" s="2">
        <v>19158074</v>
      </c>
      <c r="D2402" s="2" t="s">
        <v>719</v>
      </c>
      <c r="E2402" s="2" t="s">
        <v>4117</v>
      </c>
      <c r="F2402" s="2" t="s">
        <v>14</v>
      </c>
      <c r="G2402" s="2" t="s">
        <v>15</v>
      </c>
      <c r="H2402" s="2">
        <v>15000000</v>
      </c>
      <c r="I2402" s="2">
        <v>6.7</v>
      </c>
      <c r="J2402" s="2">
        <f t="shared" si="18"/>
        <v>4158074</v>
      </c>
      <c r="K2402" s="2">
        <f t="shared" si="19"/>
        <v>-2.0884988544981591E-2</v>
      </c>
      <c r="L2402" s="2" t="str">
        <f>IF(ISNUMBER(SEARCH("|",IMDB_Movies!$D2402)),LEFT(IMDB_Movies!$D2402,SEARCH("|",IMDB_Movies!$D2402)-1),IMDB_Movies!$D2402)</f>
        <v>Drama</v>
      </c>
      <c r="V2402" s="2"/>
      <c r="W2402" s="2"/>
    </row>
    <row r="2403" spans="1:23" ht="12.5" x14ac:dyDescent="0.25">
      <c r="A2403" s="2" t="s">
        <v>4118</v>
      </c>
      <c r="B2403" s="2">
        <v>92</v>
      </c>
      <c r="C2403" s="2">
        <v>18843314</v>
      </c>
      <c r="D2403" s="2" t="s">
        <v>342</v>
      </c>
      <c r="E2403" s="2" t="s">
        <v>4119</v>
      </c>
      <c r="F2403" s="2" t="s">
        <v>14</v>
      </c>
      <c r="G2403" s="2" t="s">
        <v>15</v>
      </c>
      <c r="H2403" s="2">
        <v>20000000</v>
      </c>
      <c r="I2403" s="2">
        <v>4.7</v>
      </c>
      <c r="J2403" s="2">
        <f t="shared" si="18"/>
        <v>-1156686</v>
      </c>
      <c r="K2403" s="2">
        <f t="shared" si="19"/>
        <v>-2.0883997886853085E-2</v>
      </c>
      <c r="L2403" s="2" t="str">
        <f>IF(ISNUMBER(SEARCH("|",IMDB_Movies!$D2403)),LEFT(IMDB_Movies!$D2403,SEARCH("|",IMDB_Movies!$D2403)-1),IMDB_Movies!$D2403)</f>
        <v>Action</v>
      </c>
      <c r="V2403" s="2"/>
      <c r="W2403" s="2"/>
    </row>
    <row r="2404" spans="1:23" ht="12.5" x14ac:dyDescent="0.25">
      <c r="A2404" s="2" t="s">
        <v>4120</v>
      </c>
      <c r="B2404" s="2">
        <v>100</v>
      </c>
      <c r="C2404" s="2">
        <v>20566327</v>
      </c>
      <c r="D2404" s="2" t="s">
        <v>768</v>
      </c>
      <c r="E2404" s="2" t="s">
        <v>4121</v>
      </c>
      <c r="F2404" s="2" t="s">
        <v>14</v>
      </c>
      <c r="G2404" s="2" t="s">
        <v>15</v>
      </c>
      <c r="H2404" s="2">
        <v>15000000</v>
      </c>
      <c r="I2404" s="2">
        <v>6.4</v>
      </c>
      <c r="J2404" s="2">
        <f t="shared" si="18"/>
        <v>5566327</v>
      </c>
      <c r="K2404" s="2">
        <f t="shared" si="19"/>
        <v>-2.0883616243020181E-2</v>
      </c>
      <c r="L2404" s="2" t="str">
        <f>IF(ISNUMBER(SEARCH("|",IMDB_Movies!$D2404)),LEFT(IMDB_Movies!$D2404,SEARCH("|",IMDB_Movies!$D2404)-1),IMDB_Movies!$D2404)</f>
        <v>Action</v>
      </c>
      <c r="V2404" s="2"/>
      <c r="W2404" s="2"/>
    </row>
    <row r="2405" spans="1:23" ht="12.5" x14ac:dyDescent="0.25">
      <c r="A2405" s="2" t="s">
        <v>3562</v>
      </c>
      <c r="B2405" s="2">
        <v>117</v>
      </c>
      <c r="C2405" s="2">
        <v>20218921</v>
      </c>
      <c r="D2405" s="2" t="s">
        <v>2082</v>
      </c>
      <c r="E2405" s="2" t="s">
        <v>4122</v>
      </c>
      <c r="F2405" s="2" t="s">
        <v>14</v>
      </c>
      <c r="G2405" s="2" t="s">
        <v>4123</v>
      </c>
      <c r="H2405" s="2">
        <v>15000000</v>
      </c>
      <c r="I2405" s="2">
        <v>6.3</v>
      </c>
      <c r="J2405" s="2">
        <f t="shared" si="18"/>
        <v>5218921</v>
      </c>
      <c r="K2405" s="2">
        <f t="shared" si="19"/>
        <v>-2.0881841725851783E-2</v>
      </c>
      <c r="L2405" s="2" t="str">
        <f>IF(ISNUMBER(SEARCH("|",IMDB_Movies!$D2405)),LEFT(IMDB_Movies!$D2405,SEARCH("|",IMDB_Movies!$D2405)-1),IMDB_Movies!$D2405)</f>
        <v>Drama</v>
      </c>
      <c r="V2405" s="2"/>
      <c r="W2405" s="2"/>
    </row>
    <row r="2406" spans="1:23" ht="12.5" x14ac:dyDescent="0.25">
      <c r="A2406" s="2" t="s">
        <v>4124</v>
      </c>
      <c r="B2406" s="2">
        <v>84</v>
      </c>
      <c r="C2406" s="2">
        <v>17411331</v>
      </c>
      <c r="D2406" s="2" t="s">
        <v>1467</v>
      </c>
      <c r="E2406" s="2" t="s">
        <v>4125</v>
      </c>
      <c r="F2406" s="2" t="s">
        <v>14</v>
      </c>
      <c r="G2406" s="2" t="s">
        <v>135</v>
      </c>
      <c r="H2406" s="2">
        <v>15000000</v>
      </c>
      <c r="I2406" s="2">
        <v>5.5</v>
      </c>
      <c r="J2406" s="2">
        <f t="shared" si="18"/>
        <v>2411331</v>
      </c>
      <c r="K2406" s="2">
        <f t="shared" si="19"/>
        <v>-2.0880254980404626E-2</v>
      </c>
      <c r="L2406" s="2" t="str">
        <f>IF(ISNUMBER(SEARCH("|",IMDB_Movies!$D2406)),LEFT(IMDB_Movies!$D2406,SEARCH("|",IMDB_Movies!$D2406)-1),IMDB_Movies!$D2406)</f>
        <v>Horror</v>
      </c>
      <c r="V2406" s="2"/>
      <c r="W2406" s="2"/>
    </row>
    <row r="2407" spans="1:23" ht="12.5" x14ac:dyDescent="0.25">
      <c r="A2407" s="2" t="s">
        <v>4126</v>
      </c>
      <c r="B2407" s="2">
        <v>140</v>
      </c>
      <c r="C2407" s="2">
        <v>21383298</v>
      </c>
      <c r="D2407" s="2" t="s">
        <v>763</v>
      </c>
      <c r="E2407" s="2" t="s">
        <v>4127</v>
      </c>
      <c r="F2407" s="2" t="s">
        <v>14</v>
      </c>
      <c r="G2407" s="2" t="s">
        <v>15</v>
      </c>
      <c r="H2407" s="2">
        <v>15000000</v>
      </c>
      <c r="I2407" s="2">
        <v>7.3</v>
      </c>
      <c r="J2407" s="2">
        <f t="shared" si="18"/>
        <v>6383298</v>
      </c>
      <c r="K2407" s="2">
        <f t="shared" si="19"/>
        <v>-2.088026733614191E-2</v>
      </c>
      <c r="L2407" s="2" t="str">
        <f>IF(ISNUMBER(SEARCH("|",IMDB_Movies!$D2407)),LEFT(IMDB_Movies!$D2407,SEARCH("|",IMDB_Movies!$D2407)-1),IMDB_Movies!$D2407)</f>
        <v>Crime</v>
      </c>
      <c r="V2407" s="2"/>
      <c r="W2407" s="2"/>
    </row>
    <row r="2408" spans="1:23" ht="12.5" x14ac:dyDescent="0.25">
      <c r="A2408" s="2" t="s">
        <v>536</v>
      </c>
      <c r="B2408" s="2">
        <v>108</v>
      </c>
      <c r="C2408" s="2">
        <v>24984868</v>
      </c>
      <c r="D2408" s="2" t="s">
        <v>125</v>
      </c>
      <c r="E2408" s="2" t="s">
        <v>4128</v>
      </c>
      <c r="F2408" s="2" t="s">
        <v>14</v>
      </c>
      <c r="G2408" s="2" t="s">
        <v>15</v>
      </c>
      <c r="H2408" s="2">
        <v>15000000</v>
      </c>
      <c r="I2408" s="2">
        <v>6.3</v>
      </c>
      <c r="J2408" s="2">
        <f t="shared" si="18"/>
        <v>9984868</v>
      </c>
      <c r="K2408" s="2">
        <f t="shared" si="19"/>
        <v>-2.0878044792933009E-2</v>
      </c>
      <c r="L2408" s="2" t="str">
        <f>IF(ISNUMBER(SEARCH("|",IMDB_Movies!$D2408)),LEFT(IMDB_Movies!$D2408,SEARCH("|",IMDB_Movies!$D2408)-1),IMDB_Movies!$D2408)</f>
        <v>Action</v>
      </c>
      <c r="V2408" s="2"/>
      <c r="W2408" s="2"/>
    </row>
    <row r="2409" spans="1:23" ht="12.5" x14ac:dyDescent="0.25">
      <c r="A2409" s="2" t="s">
        <v>4129</v>
      </c>
      <c r="B2409" s="2">
        <v>109</v>
      </c>
      <c r="C2409" s="2">
        <v>16459004</v>
      </c>
      <c r="D2409" s="2" t="s">
        <v>690</v>
      </c>
      <c r="E2409" s="2" t="s">
        <v>4130</v>
      </c>
      <c r="F2409" s="2" t="s">
        <v>14</v>
      </c>
      <c r="G2409" s="2" t="s">
        <v>104</v>
      </c>
      <c r="H2409" s="2">
        <v>15000000</v>
      </c>
      <c r="I2409" s="2">
        <v>4.9000000000000004</v>
      </c>
      <c r="J2409" s="2">
        <f t="shared" si="18"/>
        <v>1459004</v>
      </c>
      <c r="K2409" s="2">
        <f t="shared" si="19"/>
        <v>-2.0873981739601564E-2</v>
      </c>
      <c r="L2409" s="2" t="str">
        <f>IF(ISNUMBER(SEARCH("|",IMDB_Movies!$D2409)),LEFT(IMDB_Movies!$D2409,SEARCH("|",IMDB_Movies!$D2409)-1),IMDB_Movies!$D2409)</f>
        <v>Drama</v>
      </c>
      <c r="V2409" s="2"/>
      <c r="W2409" s="2"/>
    </row>
    <row r="2410" spans="1:23" ht="12.5" x14ac:dyDescent="0.25">
      <c r="A2410" s="2" t="s">
        <v>812</v>
      </c>
      <c r="B2410" s="2">
        <v>131</v>
      </c>
      <c r="C2410" s="2">
        <v>15700000</v>
      </c>
      <c r="D2410" s="2" t="s">
        <v>779</v>
      </c>
      <c r="E2410" s="2" t="s">
        <v>4131</v>
      </c>
      <c r="F2410" s="2" t="s">
        <v>14</v>
      </c>
      <c r="G2410" s="2" t="s">
        <v>15</v>
      </c>
      <c r="H2410" s="2">
        <v>15000000</v>
      </c>
      <c r="I2410" s="2">
        <v>7.6</v>
      </c>
      <c r="J2410" s="2">
        <f t="shared" si="18"/>
        <v>700000</v>
      </c>
      <c r="K2410" s="2">
        <f t="shared" si="19"/>
        <v>-2.0874558551678937E-2</v>
      </c>
      <c r="L2410" s="2" t="str">
        <f>IF(ISNUMBER(SEARCH("|",IMDB_Movies!$D2410)),LEFT(IMDB_Movies!$D2410,SEARCH("|",IMDB_Movies!$D2410)-1),IMDB_Movies!$D2410)</f>
        <v>Drama</v>
      </c>
      <c r="V2410" s="2"/>
      <c r="W2410" s="2"/>
    </row>
    <row r="2411" spans="1:23" ht="12.5" x14ac:dyDescent="0.25">
      <c r="A2411" s="2" t="s">
        <v>4132</v>
      </c>
      <c r="B2411" s="2">
        <v>114</v>
      </c>
      <c r="C2411" s="2">
        <v>15100000</v>
      </c>
      <c r="D2411" s="2" t="s">
        <v>790</v>
      </c>
      <c r="E2411" s="2" t="s">
        <v>4133</v>
      </c>
      <c r="F2411" s="2" t="s">
        <v>14</v>
      </c>
      <c r="G2411" s="2" t="s">
        <v>15</v>
      </c>
      <c r="H2411" s="2">
        <v>15000000</v>
      </c>
      <c r="I2411" s="2">
        <v>6</v>
      </c>
      <c r="J2411" s="2">
        <f t="shared" si="18"/>
        <v>100000</v>
      </c>
      <c r="K2411" s="2">
        <f t="shared" si="19"/>
        <v>-2.0875599391961732E-2</v>
      </c>
      <c r="L2411" s="2" t="str">
        <f>IF(ISNUMBER(SEARCH("|",IMDB_Movies!$D2411)),LEFT(IMDB_Movies!$D2411,SEARCH("|",IMDB_Movies!$D2411)-1),IMDB_Movies!$D2411)</f>
        <v>Action</v>
      </c>
      <c r="V2411" s="2"/>
      <c r="W2411" s="2"/>
    </row>
    <row r="2412" spans="1:23" ht="12.5" x14ac:dyDescent="0.25">
      <c r="A2412" s="2" t="s">
        <v>2873</v>
      </c>
      <c r="B2412" s="2">
        <v>97</v>
      </c>
      <c r="C2412" s="2">
        <v>14938570</v>
      </c>
      <c r="D2412" s="2" t="s">
        <v>550</v>
      </c>
      <c r="E2412" s="2" t="s">
        <v>4134</v>
      </c>
      <c r="F2412" s="2" t="s">
        <v>14</v>
      </c>
      <c r="G2412" s="2" t="s">
        <v>15</v>
      </c>
      <c r="H2412" s="2">
        <v>15000000</v>
      </c>
      <c r="I2412" s="2">
        <v>6.2</v>
      </c>
      <c r="J2412" s="2">
        <f t="shared" si="18"/>
        <v>-61430</v>
      </c>
      <c r="K2412" s="2">
        <f t="shared" si="19"/>
        <v>-2.0877013874695139E-2</v>
      </c>
      <c r="L2412" s="2" t="str">
        <f>IF(ISNUMBER(SEARCH("|",IMDB_Movies!$D2412)),LEFT(IMDB_Movies!$D2412,SEARCH("|",IMDB_Movies!$D2412)-1),IMDB_Movies!$D2412)</f>
        <v>Crime</v>
      </c>
      <c r="V2412" s="2"/>
      <c r="W2412" s="2"/>
    </row>
    <row r="2413" spans="1:23" ht="12.5" x14ac:dyDescent="0.25">
      <c r="A2413" s="2" t="s">
        <v>3504</v>
      </c>
      <c r="B2413" s="2">
        <v>122</v>
      </c>
      <c r="C2413" s="2">
        <v>17237244</v>
      </c>
      <c r="D2413" s="2" t="s">
        <v>763</v>
      </c>
      <c r="E2413" s="2" t="s">
        <v>4135</v>
      </c>
      <c r="F2413" s="2" t="s">
        <v>14</v>
      </c>
      <c r="G2413" s="2" t="s">
        <v>22</v>
      </c>
      <c r="H2413" s="2">
        <v>15000000</v>
      </c>
      <c r="I2413" s="2">
        <v>6.8</v>
      </c>
      <c r="J2413" s="2">
        <f t="shared" si="18"/>
        <v>2237244</v>
      </c>
      <c r="K2413" s="2">
        <f t="shared" si="19"/>
        <v>-2.087853147492541E-2</v>
      </c>
      <c r="L2413" s="2" t="str">
        <f>IF(ISNUMBER(SEARCH("|",IMDB_Movies!$D2413)),LEFT(IMDB_Movies!$D2413,SEARCH("|",IMDB_Movies!$D2413)-1),IMDB_Movies!$D2413)</f>
        <v>Crime</v>
      </c>
      <c r="V2413" s="2"/>
      <c r="W2413" s="2"/>
    </row>
    <row r="2414" spans="1:23" ht="12.5" x14ac:dyDescent="0.25">
      <c r="A2414" s="2" t="s">
        <v>4136</v>
      </c>
      <c r="B2414" s="2">
        <v>87</v>
      </c>
      <c r="C2414" s="2">
        <v>14249005</v>
      </c>
      <c r="D2414" s="2" t="s">
        <v>709</v>
      </c>
      <c r="E2414" s="2" t="s">
        <v>4137</v>
      </c>
      <c r="F2414" s="2" t="s">
        <v>14</v>
      </c>
      <c r="G2414" s="2" t="s">
        <v>15</v>
      </c>
      <c r="H2414" s="2">
        <v>15000000</v>
      </c>
      <c r="I2414" s="2">
        <v>4.5</v>
      </c>
      <c r="J2414" s="2">
        <f t="shared" si="18"/>
        <v>-750995</v>
      </c>
      <c r="K2414" s="2">
        <f t="shared" si="19"/>
        <v>-2.0878645634583103E-2</v>
      </c>
      <c r="L2414" s="2" t="str">
        <f>IF(ISNUMBER(SEARCH("|",IMDB_Movies!$D2414)),LEFT(IMDB_Movies!$D2414,SEARCH("|",IMDB_Movies!$D2414)-1),IMDB_Movies!$D2414)</f>
        <v>Comedy</v>
      </c>
      <c r="V2414" s="2"/>
      <c r="W2414" s="2"/>
    </row>
    <row r="2415" spans="1:23" ht="12.5" x14ac:dyDescent="0.25">
      <c r="A2415" s="2" t="s">
        <v>4138</v>
      </c>
      <c r="B2415" s="2">
        <v>85</v>
      </c>
      <c r="C2415" s="2">
        <v>12701880</v>
      </c>
      <c r="D2415" s="2" t="s">
        <v>181</v>
      </c>
      <c r="E2415" s="2" t="s">
        <v>4139</v>
      </c>
      <c r="F2415" s="2" t="s">
        <v>14</v>
      </c>
      <c r="G2415" s="2" t="s">
        <v>15</v>
      </c>
      <c r="H2415" s="2">
        <v>15000000</v>
      </c>
      <c r="I2415" s="2">
        <v>5.7</v>
      </c>
      <c r="J2415" s="2">
        <f t="shared" si="18"/>
        <v>-2298120</v>
      </c>
      <c r="K2415" s="2">
        <f t="shared" si="19"/>
        <v>-2.0880602999259344E-2</v>
      </c>
      <c r="L2415" s="2" t="str">
        <f>IF(ISNUMBER(SEARCH("|",IMDB_Movies!$D2415)),LEFT(IMDB_Movies!$D2415,SEARCH("|",IMDB_Movies!$D2415)-1),IMDB_Movies!$D2415)</f>
        <v>Adventure</v>
      </c>
      <c r="V2415" s="2"/>
      <c r="W2415" s="2"/>
    </row>
    <row r="2416" spans="1:23" ht="12.5" x14ac:dyDescent="0.25">
      <c r="A2416" s="2" t="s">
        <v>4140</v>
      </c>
      <c r="B2416" s="2">
        <v>101</v>
      </c>
      <c r="C2416" s="2">
        <v>12801190</v>
      </c>
      <c r="D2416" s="2" t="s">
        <v>12</v>
      </c>
      <c r="E2416" s="2" t="s">
        <v>4141</v>
      </c>
      <c r="F2416" s="2" t="s">
        <v>14</v>
      </c>
      <c r="G2416" s="2" t="s">
        <v>15</v>
      </c>
      <c r="H2416" s="2">
        <v>15000000</v>
      </c>
      <c r="I2416" s="2">
        <v>4.5999999999999996</v>
      </c>
      <c r="J2416" s="2">
        <f t="shared" si="18"/>
        <v>-2198810</v>
      </c>
      <c r="K2416" s="2">
        <f t="shared" si="19"/>
        <v>-2.0883567250193021E-2</v>
      </c>
      <c r="L2416" s="2" t="str">
        <f>IF(ISNUMBER(SEARCH("|",IMDB_Movies!$D2416)),LEFT(IMDB_Movies!$D2416,SEARCH("|",IMDB_Movies!$D2416)-1),IMDB_Movies!$D2416)</f>
        <v>Action</v>
      </c>
      <c r="V2416" s="2"/>
      <c r="W2416" s="2"/>
    </row>
    <row r="2417" spans="1:23" ht="12.5" x14ac:dyDescent="0.25">
      <c r="A2417" s="2" t="s">
        <v>4142</v>
      </c>
      <c r="B2417" s="2">
        <v>121</v>
      </c>
      <c r="C2417" s="2">
        <v>12549485</v>
      </c>
      <c r="D2417" s="2" t="s">
        <v>4143</v>
      </c>
      <c r="E2417" s="2" t="s">
        <v>4144</v>
      </c>
      <c r="F2417" s="2" t="s">
        <v>14</v>
      </c>
      <c r="G2417" s="2" t="s">
        <v>15</v>
      </c>
      <c r="H2417" s="2">
        <v>15000000</v>
      </c>
      <c r="I2417" s="2">
        <v>6.2</v>
      </c>
      <c r="J2417" s="2">
        <f t="shared" si="18"/>
        <v>-2450515</v>
      </c>
      <c r="K2417" s="2">
        <f t="shared" si="19"/>
        <v>-2.088647036919903E-2</v>
      </c>
      <c r="L2417" s="2" t="str">
        <f>IF(ISNUMBER(SEARCH("|",IMDB_Movies!$D2417)),LEFT(IMDB_Movies!$D2417,SEARCH("|",IMDB_Movies!$D2417)-1),IMDB_Movies!$D2417)</f>
        <v>Crime</v>
      </c>
      <c r="V2417" s="2"/>
      <c r="W2417" s="2"/>
    </row>
    <row r="2418" spans="1:23" ht="12.5" x14ac:dyDescent="0.25">
      <c r="A2418" s="2" t="s">
        <v>4145</v>
      </c>
      <c r="B2418" s="2">
        <v>107</v>
      </c>
      <c r="C2418" s="2">
        <v>13766014</v>
      </c>
      <c r="D2418" s="2" t="s">
        <v>85</v>
      </c>
      <c r="E2418" s="2" t="s">
        <v>4146</v>
      </c>
      <c r="F2418" s="2" t="s">
        <v>14</v>
      </c>
      <c r="G2418" s="2" t="s">
        <v>15</v>
      </c>
      <c r="H2418" s="2">
        <v>15000000</v>
      </c>
      <c r="I2418" s="2">
        <v>7</v>
      </c>
      <c r="J2418" s="2">
        <f t="shared" si="18"/>
        <v>-1233986</v>
      </c>
      <c r="K2418" s="2">
        <f t="shared" si="19"/>
        <v>-2.0889544183917724E-2</v>
      </c>
      <c r="L2418" s="2" t="str">
        <f>IF(ISNUMBER(SEARCH("|",IMDB_Movies!$D2418)),LEFT(IMDB_Movies!$D2418,SEARCH("|",IMDB_Movies!$D2418)-1),IMDB_Movies!$D2418)</f>
        <v>Drama</v>
      </c>
      <c r="V2418" s="2"/>
      <c r="W2418" s="2"/>
    </row>
    <row r="2419" spans="1:23" ht="12.5" x14ac:dyDescent="0.25">
      <c r="A2419" s="2" t="s">
        <v>4147</v>
      </c>
      <c r="B2419" s="2">
        <v>111</v>
      </c>
      <c r="C2419" s="2">
        <v>13034417</v>
      </c>
      <c r="D2419" s="2" t="s">
        <v>1307</v>
      </c>
      <c r="E2419" s="2" t="s">
        <v>4148</v>
      </c>
      <c r="F2419" s="2" t="s">
        <v>14</v>
      </c>
      <c r="G2419" s="2" t="s">
        <v>15</v>
      </c>
      <c r="H2419" s="2">
        <v>15000000</v>
      </c>
      <c r="I2419" s="2">
        <v>6.9</v>
      </c>
      <c r="J2419" s="2">
        <f t="shared" si="18"/>
        <v>-1965583</v>
      </c>
      <c r="K2419" s="2">
        <f t="shared" si="19"/>
        <v>-2.0891825847038536E-2</v>
      </c>
      <c r="L2419" s="2" t="str">
        <f>IF(ISNUMBER(SEARCH("|",IMDB_Movies!$D2419)),LEFT(IMDB_Movies!$D2419,SEARCH("|",IMDB_Movies!$D2419)-1),IMDB_Movies!$D2419)</f>
        <v>Drama</v>
      </c>
      <c r="V2419" s="2"/>
      <c r="W2419" s="2"/>
    </row>
    <row r="2420" spans="1:23" ht="12.5" x14ac:dyDescent="0.25">
      <c r="A2420" s="2" t="s">
        <v>4149</v>
      </c>
      <c r="B2420" s="2">
        <v>97</v>
      </c>
      <c r="C2420" s="2">
        <v>12212417</v>
      </c>
      <c r="D2420" s="2" t="s">
        <v>550</v>
      </c>
      <c r="E2420" s="2" t="s">
        <v>4150</v>
      </c>
      <c r="F2420" s="2" t="s">
        <v>14</v>
      </c>
      <c r="G2420" s="2" t="s">
        <v>15</v>
      </c>
      <c r="H2420" s="2">
        <v>15000000</v>
      </c>
      <c r="I2420" s="2">
        <v>6.7</v>
      </c>
      <c r="J2420" s="2">
        <f t="shared" si="18"/>
        <v>-2787583</v>
      </c>
      <c r="K2420" s="2">
        <f t="shared" si="19"/>
        <v>-2.0894587854040567E-2</v>
      </c>
      <c r="L2420" s="2" t="str">
        <f>IF(ISNUMBER(SEARCH("|",IMDB_Movies!$D2420)),LEFT(IMDB_Movies!$D2420,SEARCH("|",IMDB_Movies!$D2420)-1),IMDB_Movies!$D2420)</f>
        <v>Crime</v>
      </c>
      <c r="V2420" s="2"/>
      <c r="W2420" s="2"/>
    </row>
    <row r="2421" spans="1:23" ht="12.5" x14ac:dyDescent="0.25">
      <c r="A2421" s="2" t="s">
        <v>4151</v>
      </c>
      <c r="B2421" s="2">
        <v>97</v>
      </c>
      <c r="C2421" s="2">
        <v>11614236</v>
      </c>
      <c r="D2421" s="2" t="s">
        <v>709</v>
      </c>
      <c r="E2421" s="2" t="s">
        <v>4152</v>
      </c>
      <c r="F2421" s="2" t="s">
        <v>14</v>
      </c>
      <c r="G2421" s="2" t="s">
        <v>15</v>
      </c>
      <c r="H2421" s="2">
        <v>15000000</v>
      </c>
      <c r="I2421" s="2">
        <v>5.6</v>
      </c>
      <c r="J2421" s="2">
        <f t="shared" si="18"/>
        <v>-3385764</v>
      </c>
      <c r="K2421" s="2">
        <f t="shared" si="19"/>
        <v>-2.0897899213274555E-2</v>
      </c>
      <c r="L2421" s="2" t="str">
        <f>IF(ISNUMBER(SEARCH("|",IMDB_Movies!$D2421)),LEFT(IMDB_Movies!$D2421,SEARCH("|",IMDB_Movies!$D2421)-1),IMDB_Movies!$D2421)</f>
        <v>Comedy</v>
      </c>
      <c r="V2421" s="2"/>
      <c r="W2421" s="2"/>
    </row>
    <row r="2422" spans="1:23" ht="12.5" x14ac:dyDescent="0.25">
      <c r="A2422" s="2" t="s">
        <v>2237</v>
      </c>
      <c r="B2422" s="2">
        <v>125</v>
      </c>
      <c r="C2422" s="2">
        <v>13337299</v>
      </c>
      <c r="D2422" s="2" t="s">
        <v>2178</v>
      </c>
      <c r="E2422" s="2" t="s">
        <v>4153</v>
      </c>
      <c r="F2422" s="2" t="s">
        <v>14</v>
      </c>
      <c r="G2422" s="2" t="s">
        <v>15</v>
      </c>
      <c r="H2422" s="2">
        <v>20000000</v>
      </c>
      <c r="I2422" s="2">
        <v>6.6</v>
      </c>
      <c r="J2422" s="2">
        <f t="shared" si="18"/>
        <v>-6662701</v>
      </c>
      <c r="K2422" s="2">
        <f t="shared" si="19"/>
        <v>-2.0901618540652398E-2</v>
      </c>
      <c r="L2422" s="2" t="str">
        <f>IF(ISNUMBER(SEARCH("|",IMDB_Movies!$D2422)),LEFT(IMDB_Movies!$D2422,SEARCH("|",IMDB_Movies!$D2422)-1),IMDB_Movies!$D2422)</f>
        <v>Biography</v>
      </c>
      <c r="V2422" s="2"/>
      <c r="W2422" s="2"/>
    </row>
    <row r="2423" spans="1:23" ht="12.5" x14ac:dyDescent="0.25">
      <c r="A2423" s="2" t="s">
        <v>2732</v>
      </c>
      <c r="B2423" s="2">
        <v>124</v>
      </c>
      <c r="C2423" s="2">
        <v>10763469</v>
      </c>
      <c r="D2423" s="2" t="s">
        <v>514</v>
      </c>
      <c r="E2423" s="2" t="s">
        <v>4154</v>
      </c>
      <c r="F2423" s="2" t="s">
        <v>14</v>
      </c>
      <c r="G2423" s="2" t="s">
        <v>15</v>
      </c>
      <c r="H2423" s="2">
        <v>15000000</v>
      </c>
      <c r="I2423" s="2">
        <v>6.4</v>
      </c>
      <c r="J2423" s="2">
        <f t="shared" si="18"/>
        <v>-4236531</v>
      </c>
      <c r="K2423" s="2">
        <f t="shared" si="19"/>
        <v>-2.0902923668369627E-2</v>
      </c>
      <c r="L2423" s="2" t="str">
        <f>IF(ISNUMBER(SEARCH("|",IMDB_Movies!$D2423)),LEFT(IMDB_Movies!$D2423,SEARCH("|",IMDB_Movies!$D2423)-1),IMDB_Movies!$D2423)</f>
        <v>Comedy</v>
      </c>
      <c r="V2423" s="2"/>
      <c r="W2423" s="2"/>
    </row>
    <row r="2424" spans="1:23" ht="12.5" x14ac:dyDescent="0.25">
      <c r="A2424" s="2" t="s">
        <v>4155</v>
      </c>
      <c r="B2424" s="2">
        <v>76</v>
      </c>
      <c r="C2424" s="2">
        <v>11144518</v>
      </c>
      <c r="D2424" s="2" t="s">
        <v>3049</v>
      </c>
      <c r="E2424" s="2" t="s">
        <v>4156</v>
      </c>
      <c r="F2424" s="2" t="s">
        <v>14</v>
      </c>
      <c r="G2424" s="2" t="s">
        <v>104</v>
      </c>
      <c r="H2424" s="2">
        <v>15000000</v>
      </c>
      <c r="I2424" s="2">
        <v>2.8</v>
      </c>
      <c r="J2424" s="2">
        <f t="shared" si="18"/>
        <v>-3855482</v>
      </c>
      <c r="K2424" s="2">
        <f t="shared" si="19"/>
        <v>-2.0907234405110022E-2</v>
      </c>
      <c r="L2424" s="2" t="str">
        <f>IF(ISNUMBER(SEARCH("|",IMDB_Movies!$D2424)),LEFT(IMDB_Movies!$D2424,SEARCH("|",IMDB_Movies!$D2424)-1),IMDB_Movies!$D2424)</f>
        <v>Adventure</v>
      </c>
      <c r="V2424" s="2"/>
      <c r="W2424" s="2"/>
    </row>
    <row r="2425" spans="1:23" ht="12.5" x14ac:dyDescent="0.25">
      <c r="A2425" s="2" t="s">
        <v>4157</v>
      </c>
      <c r="B2425" s="2">
        <v>107</v>
      </c>
      <c r="C2425" s="2">
        <v>15608545</v>
      </c>
      <c r="D2425" s="2" t="s">
        <v>483</v>
      </c>
      <c r="E2425" s="2" t="s">
        <v>4158</v>
      </c>
      <c r="F2425" s="2" t="s">
        <v>14</v>
      </c>
      <c r="G2425" s="2" t="s">
        <v>15</v>
      </c>
      <c r="H2425" s="2">
        <v>15000000</v>
      </c>
      <c r="I2425" s="2">
        <v>5.4</v>
      </c>
      <c r="J2425" s="2">
        <f t="shared" si="18"/>
        <v>608545</v>
      </c>
      <c r="K2425" s="2">
        <f t="shared" si="19"/>
        <v>-2.0911289226930363E-2</v>
      </c>
      <c r="L2425" s="2" t="str">
        <f>IF(ISNUMBER(SEARCH("|",IMDB_Movies!$D2425)),LEFT(IMDB_Movies!$D2425,SEARCH("|",IMDB_Movies!$D2425)-1),IMDB_Movies!$D2425)</f>
        <v>Action</v>
      </c>
      <c r="V2425" s="2"/>
      <c r="W2425" s="2"/>
    </row>
    <row r="2426" spans="1:23" ht="12.5" x14ac:dyDescent="0.25">
      <c r="A2426" s="2" t="s">
        <v>374</v>
      </c>
      <c r="B2426" s="2">
        <v>91</v>
      </c>
      <c r="C2426" s="2">
        <v>10443316</v>
      </c>
      <c r="D2426" s="2" t="s">
        <v>514</v>
      </c>
      <c r="E2426" s="2" t="s">
        <v>4159</v>
      </c>
      <c r="F2426" s="2" t="s">
        <v>14</v>
      </c>
      <c r="G2426" s="2" t="s">
        <v>15</v>
      </c>
      <c r="H2426" s="2">
        <v>15000000</v>
      </c>
      <c r="I2426" s="2">
        <v>5</v>
      </c>
      <c r="J2426" s="2">
        <f t="shared" si="18"/>
        <v>-4556684</v>
      </c>
      <c r="K2426" s="2">
        <f t="shared" si="19"/>
        <v>-2.0912425551594626E-2</v>
      </c>
      <c r="L2426" s="2" t="str">
        <f>IF(ISNUMBER(SEARCH("|",IMDB_Movies!$D2426)),LEFT(IMDB_Movies!$D2426,SEARCH("|",IMDB_Movies!$D2426)-1),IMDB_Movies!$D2426)</f>
        <v>Comedy</v>
      </c>
      <c r="V2426" s="2"/>
      <c r="W2426" s="2"/>
    </row>
    <row r="2427" spans="1:23" ht="12.5" x14ac:dyDescent="0.25">
      <c r="A2427" s="2" t="s">
        <v>4160</v>
      </c>
      <c r="B2427" s="2">
        <v>96</v>
      </c>
      <c r="C2427" s="2">
        <v>10494147</v>
      </c>
      <c r="D2427" s="2" t="s">
        <v>85</v>
      </c>
      <c r="E2427" s="2" t="s">
        <v>4161</v>
      </c>
      <c r="F2427" s="2" t="s">
        <v>14</v>
      </c>
      <c r="G2427" s="2" t="s">
        <v>15</v>
      </c>
      <c r="H2427" s="2">
        <v>15000000</v>
      </c>
      <c r="I2427" s="2">
        <v>5.0999999999999996</v>
      </c>
      <c r="J2427" s="2">
        <f t="shared" si="18"/>
        <v>-4505853</v>
      </c>
      <c r="K2427" s="2">
        <f t="shared" si="19"/>
        <v>-2.0916975274068533E-2</v>
      </c>
      <c r="L2427" s="2" t="str">
        <f>IF(ISNUMBER(SEARCH("|",IMDB_Movies!$D2427)),LEFT(IMDB_Movies!$D2427,SEARCH("|",IMDB_Movies!$D2427)-1),IMDB_Movies!$D2427)</f>
        <v>Drama</v>
      </c>
      <c r="V2427" s="2"/>
      <c r="W2427" s="2"/>
    </row>
    <row r="2428" spans="1:23" ht="12.5" x14ac:dyDescent="0.25">
      <c r="A2428" s="2" t="s">
        <v>977</v>
      </c>
      <c r="B2428" s="2">
        <v>142</v>
      </c>
      <c r="C2428" s="2">
        <v>9929000</v>
      </c>
      <c r="D2428" s="2" t="s">
        <v>660</v>
      </c>
      <c r="E2428" s="2" t="s">
        <v>4162</v>
      </c>
      <c r="F2428" s="2" t="s">
        <v>14</v>
      </c>
      <c r="G2428" s="2" t="s">
        <v>22</v>
      </c>
      <c r="H2428" s="2">
        <v>15000000</v>
      </c>
      <c r="I2428" s="2">
        <v>8</v>
      </c>
      <c r="J2428" s="2">
        <f t="shared" si="18"/>
        <v>-5071000</v>
      </c>
      <c r="K2428" s="2">
        <f t="shared" si="19"/>
        <v>-2.092149642105923E-2</v>
      </c>
      <c r="L2428" s="2" t="str">
        <f>IF(ISNUMBER(SEARCH("|",IMDB_Movies!$D2428)),LEFT(IMDB_Movies!$D2428,SEARCH("|",IMDB_Movies!$D2428)-1),IMDB_Movies!$D2428)</f>
        <v>Drama</v>
      </c>
      <c r="V2428" s="2"/>
      <c r="W2428" s="2"/>
    </row>
    <row r="2429" spans="1:23" ht="12.5" x14ac:dyDescent="0.25">
      <c r="A2429" s="2" t="s">
        <v>3790</v>
      </c>
      <c r="B2429" s="2">
        <v>103</v>
      </c>
      <c r="C2429" s="2">
        <v>10411980</v>
      </c>
      <c r="D2429" s="2" t="s">
        <v>4163</v>
      </c>
      <c r="E2429" s="2" t="s">
        <v>4164</v>
      </c>
      <c r="F2429" s="2" t="s">
        <v>14</v>
      </c>
      <c r="G2429" s="2" t="s">
        <v>15</v>
      </c>
      <c r="H2429" s="2">
        <v>15000000</v>
      </c>
      <c r="I2429" s="2">
        <v>5.9</v>
      </c>
      <c r="J2429" s="2">
        <f t="shared" si="18"/>
        <v>-4588020</v>
      </c>
      <c r="K2429" s="2">
        <f t="shared" si="19"/>
        <v>-2.0926420581674748E-2</v>
      </c>
      <c r="L2429" s="2" t="str">
        <f>IF(ISNUMBER(SEARCH("|",IMDB_Movies!$D2429)),LEFT(IMDB_Movies!$D2429,SEARCH("|",IMDB_Movies!$D2429)-1),IMDB_Movies!$D2429)</f>
        <v>Family</v>
      </c>
      <c r="V2429" s="2"/>
      <c r="W2429" s="2"/>
    </row>
    <row r="2430" spans="1:23" ht="12.5" x14ac:dyDescent="0.25">
      <c r="A2430" s="2" t="s">
        <v>1463</v>
      </c>
      <c r="B2430" s="2">
        <v>117</v>
      </c>
      <c r="C2430" s="2">
        <v>17439163</v>
      </c>
      <c r="D2430" s="2" t="s">
        <v>375</v>
      </c>
      <c r="E2430" s="2" t="s">
        <v>4165</v>
      </c>
      <c r="F2430" s="2" t="s">
        <v>14</v>
      </c>
      <c r="G2430" s="2" t="s">
        <v>15</v>
      </c>
      <c r="H2430" s="2">
        <v>15000000</v>
      </c>
      <c r="I2430" s="2">
        <v>8.1999999999999993</v>
      </c>
      <c r="J2430" s="2">
        <f t="shared" si="18"/>
        <v>2439163</v>
      </c>
      <c r="K2430" s="2">
        <f t="shared" si="19"/>
        <v>-2.0931013044023533E-2</v>
      </c>
      <c r="L2430" s="2" t="str">
        <f>IF(ISNUMBER(SEARCH("|",IMDB_Movies!$D2430)),LEFT(IMDB_Movies!$D2430,SEARCH("|",IMDB_Movies!$D2430)-1),IMDB_Movies!$D2430)</f>
        <v>Comedy</v>
      </c>
      <c r="V2430" s="2"/>
      <c r="W2430" s="2"/>
    </row>
    <row r="2431" spans="1:23" ht="12.5" x14ac:dyDescent="0.25">
      <c r="A2431" s="2" t="s">
        <v>4166</v>
      </c>
      <c r="B2431" s="2">
        <v>116</v>
      </c>
      <c r="C2431" s="2">
        <v>9396487</v>
      </c>
      <c r="D2431" s="2" t="s">
        <v>2082</v>
      </c>
      <c r="E2431" s="2" t="s">
        <v>4167</v>
      </c>
      <c r="F2431" s="2" t="s">
        <v>14</v>
      </c>
      <c r="G2431" s="2" t="s">
        <v>15</v>
      </c>
      <c r="H2431" s="2">
        <v>15000000</v>
      </c>
      <c r="I2431" s="2">
        <v>7</v>
      </c>
      <c r="J2431" s="2">
        <f t="shared" si="18"/>
        <v>-5603513</v>
      </c>
      <c r="K2431" s="2">
        <f t="shared" si="19"/>
        <v>-2.0931044334575627E-2</v>
      </c>
      <c r="L2431" s="2" t="str">
        <f>IF(ISNUMBER(SEARCH("|",IMDB_Movies!$D2431)),LEFT(IMDB_Movies!$D2431,SEARCH("|",IMDB_Movies!$D2431)-1),IMDB_Movies!$D2431)</f>
        <v>Drama</v>
      </c>
      <c r="V2431" s="2"/>
      <c r="W2431" s="2"/>
    </row>
    <row r="2432" spans="1:23" ht="12.5" x14ac:dyDescent="0.25">
      <c r="A2432" s="2" t="s">
        <v>1097</v>
      </c>
      <c r="B2432" s="2">
        <v>118</v>
      </c>
      <c r="C2432" s="2">
        <v>9059588</v>
      </c>
      <c r="D2432" s="2" t="s">
        <v>1791</v>
      </c>
      <c r="E2432" s="2" t="s">
        <v>4168</v>
      </c>
      <c r="F2432" s="2" t="s">
        <v>14</v>
      </c>
      <c r="G2432" s="2" t="s">
        <v>15</v>
      </c>
      <c r="H2432" s="2">
        <v>15000000</v>
      </c>
      <c r="I2432" s="2">
        <v>6.6</v>
      </c>
      <c r="J2432" s="2">
        <f t="shared" si="18"/>
        <v>-5940412</v>
      </c>
      <c r="K2432" s="2">
        <f t="shared" si="19"/>
        <v>-2.0936364773129136E-2</v>
      </c>
      <c r="L2432" s="2" t="str">
        <f>IF(ISNUMBER(SEARCH("|",IMDB_Movies!$D2432)),LEFT(IMDB_Movies!$D2432,SEARCH("|",IMDB_Movies!$D2432)-1),IMDB_Movies!$D2432)</f>
        <v>Crime</v>
      </c>
      <c r="V2432" s="2"/>
      <c r="W2432" s="2"/>
    </row>
    <row r="2433" spans="1:23" ht="12.5" x14ac:dyDescent="0.25">
      <c r="A2433" s="2" t="s">
        <v>4169</v>
      </c>
      <c r="B2433" s="2">
        <v>108</v>
      </c>
      <c r="C2433" s="2">
        <v>9172810</v>
      </c>
      <c r="D2433" s="2" t="s">
        <v>4170</v>
      </c>
      <c r="E2433" s="2" t="s">
        <v>4171</v>
      </c>
      <c r="F2433" s="2" t="s">
        <v>14</v>
      </c>
      <c r="G2433" s="2" t="s">
        <v>15</v>
      </c>
      <c r="H2433" s="2">
        <v>16000000</v>
      </c>
      <c r="I2433" s="2">
        <v>6.7</v>
      </c>
      <c r="J2433" s="2">
        <f t="shared" si="18"/>
        <v>-6827190</v>
      </c>
      <c r="K2433" s="2">
        <f t="shared" si="19"/>
        <v>-2.0941934866914959E-2</v>
      </c>
      <c r="L2433" s="2" t="str">
        <f>IF(ISNUMBER(SEARCH("|",IMDB_Movies!$D2433)),LEFT(IMDB_Movies!$D2433,SEARCH("|",IMDB_Movies!$D2433)-1),IMDB_Movies!$D2433)</f>
        <v>Biography</v>
      </c>
      <c r="V2433" s="2"/>
      <c r="W2433" s="2"/>
    </row>
    <row r="2434" spans="1:23" ht="12.5" x14ac:dyDescent="0.25">
      <c r="A2434" s="2" t="s">
        <v>4172</v>
      </c>
      <c r="B2434" s="2">
        <v>94</v>
      </c>
      <c r="C2434" s="2">
        <v>8735529</v>
      </c>
      <c r="D2434" s="2" t="s">
        <v>514</v>
      </c>
      <c r="E2434" s="2" t="s">
        <v>4173</v>
      </c>
      <c r="F2434" s="2" t="s">
        <v>14</v>
      </c>
      <c r="G2434" s="2" t="s">
        <v>15</v>
      </c>
      <c r="H2434" s="2">
        <v>15000000</v>
      </c>
      <c r="I2434" s="2">
        <v>5.5</v>
      </c>
      <c r="J2434" s="2">
        <f t="shared" si="18"/>
        <v>-6264471</v>
      </c>
      <c r="K2434" s="2">
        <f t="shared" si="19"/>
        <v>-2.0946917703163422E-2</v>
      </c>
      <c r="L2434" s="2" t="str">
        <f>IF(ISNUMBER(SEARCH("|",IMDB_Movies!$D2434)),LEFT(IMDB_Movies!$D2434,SEARCH("|",IMDB_Movies!$D2434)-1),IMDB_Movies!$D2434)</f>
        <v>Comedy</v>
      </c>
      <c r="V2434" s="2"/>
      <c r="W2434" s="2"/>
    </row>
    <row r="2435" spans="1:23" ht="12.5" x14ac:dyDescent="0.25">
      <c r="A2435" s="2" t="s">
        <v>4174</v>
      </c>
      <c r="B2435" s="2">
        <v>97</v>
      </c>
      <c r="C2435" s="2">
        <v>8586376</v>
      </c>
      <c r="D2435" s="2" t="s">
        <v>709</v>
      </c>
      <c r="E2435" s="2" t="s">
        <v>4175</v>
      </c>
      <c r="F2435" s="2" t="s">
        <v>14</v>
      </c>
      <c r="G2435" s="2" t="s">
        <v>15</v>
      </c>
      <c r="H2435" s="2">
        <v>20000000</v>
      </c>
      <c r="I2435" s="2">
        <v>4.9000000000000004</v>
      </c>
      <c r="J2435" s="2">
        <f t="shared" si="18"/>
        <v>-11413624</v>
      </c>
      <c r="K2435" s="2">
        <f t="shared" si="19"/>
        <v>-2.0952738583924553E-2</v>
      </c>
      <c r="L2435" s="2" t="str">
        <f>IF(ISNUMBER(SEARCH("|",IMDB_Movies!$D2435)),LEFT(IMDB_Movies!$D2435,SEARCH("|",IMDB_Movies!$D2435)-1),IMDB_Movies!$D2435)</f>
        <v>Comedy</v>
      </c>
      <c r="V2435" s="2"/>
      <c r="W2435" s="2"/>
    </row>
    <row r="2436" spans="1:23" ht="12.5" x14ac:dyDescent="0.25">
      <c r="A2436" s="2" t="s">
        <v>2014</v>
      </c>
      <c r="B2436" s="2">
        <v>97</v>
      </c>
      <c r="C2436" s="2">
        <v>8378141</v>
      </c>
      <c r="D2436" s="2" t="s">
        <v>514</v>
      </c>
      <c r="E2436" s="2" t="s">
        <v>4176</v>
      </c>
      <c r="F2436" s="2" t="s">
        <v>14</v>
      </c>
      <c r="G2436" s="2" t="s">
        <v>22</v>
      </c>
      <c r="H2436" s="2">
        <v>15000000</v>
      </c>
      <c r="I2436" s="2">
        <v>6.9</v>
      </c>
      <c r="J2436" s="2">
        <f t="shared" si="18"/>
        <v>-6621859</v>
      </c>
      <c r="K2436" s="2">
        <f t="shared" si="19"/>
        <v>-2.0955921356394892E-2</v>
      </c>
      <c r="L2436" s="2" t="str">
        <f>IF(ISNUMBER(SEARCH("|",IMDB_Movies!$D2436)),LEFT(IMDB_Movies!$D2436,SEARCH("|",IMDB_Movies!$D2436)-1),IMDB_Movies!$D2436)</f>
        <v>Comedy</v>
      </c>
      <c r="V2436" s="2"/>
      <c r="W2436" s="2"/>
    </row>
    <row r="2437" spans="1:23" ht="12.5" x14ac:dyDescent="0.25">
      <c r="A2437" s="2" t="s">
        <v>4177</v>
      </c>
      <c r="B2437" s="2">
        <v>91</v>
      </c>
      <c r="C2437" s="2">
        <v>8080116</v>
      </c>
      <c r="D2437" s="2" t="s">
        <v>840</v>
      </c>
      <c r="E2437" s="2" t="s">
        <v>4178</v>
      </c>
      <c r="F2437" s="2" t="s">
        <v>14</v>
      </c>
      <c r="G2437" s="2" t="s">
        <v>15</v>
      </c>
      <c r="H2437" s="2">
        <v>15000000</v>
      </c>
      <c r="I2437" s="2">
        <v>5.6</v>
      </c>
      <c r="J2437" s="2">
        <f t="shared" si="18"/>
        <v>-6919884</v>
      </c>
      <c r="K2437" s="2">
        <f t="shared" si="19"/>
        <v>-2.0962018475857144E-2</v>
      </c>
      <c r="L2437" s="2" t="str">
        <f>IF(ISNUMBER(SEARCH("|",IMDB_Movies!$D2437)),LEFT(IMDB_Movies!$D2437,SEARCH("|",IMDB_Movies!$D2437)-1),IMDB_Movies!$D2437)</f>
        <v>Adventure</v>
      </c>
      <c r="V2437" s="2"/>
      <c r="W2437" s="2"/>
    </row>
    <row r="2438" spans="1:23" ht="12.5" x14ac:dyDescent="0.25">
      <c r="A2438" s="2" t="s">
        <v>4179</v>
      </c>
      <c r="B2438" s="2">
        <v>107</v>
      </c>
      <c r="C2438" s="2">
        <v>7757130</v>
      </c>
      <c r="D2438" s="2" t="s">
        <v>3003</v>
      </c>
      <c r="E2438" s="2" t="s">
        <v>4180</v>
      </c>
      <c r="F2438" s="2" t="s">
        <v>14</v>
      </c>
      <c r="G2438" s="2" t="s">
        <v>22</v>
      </c>
      <c r="H2438" s="2">
        <v>15000000</v>
      </c>
      <c r="I2438" s="2">
        <v>8</v>
      </c>
      <c r="J2438" s="2">
        <f t="shared" si="18"/>
        <v>-7242870</v>
      </c>
      <c r="K2438" s="2">
        <f t="shared" si="19"/>
        <v>-2.0968343650463708E-2</v>
      </c>
      <c r="L2438" s="2" t="str">
        <f>IF(ISNUMBER(SEARCH("|",IMDB_Movies!$D2438)),LEFT(IMDB_Movies!$D2438,SEARCH("|",IMDB_Movies!$D2438)-1),IMDB_Movies!$D2438)</f>
        <v>Comedy</v>
      </c>
      <c r="V2438" s="2"/>
      <c r="W2438" s="2"/>
    </row>
    <row r="2439" spans="1:23" ht="12.5" x14ac:dyDescent="0.25">
      <c r="A2439" s="2" t="s">
        <v>4181</v>
      </c>
      <c r="B2439" s="2">
        <v>95</v>
      </c>
      <c r="C2439" s="2">
        <v>9123834</v>
      </c>
      <c r="D2439" s="2" t="s">
        <v>600</v>
      </c>
      <c r="E2439" s="2" t="s">
        <v>4182</v>
      </c>
      <c r="F2439" s="2" t="s">
        <v>14</v>
      </c>
      <c r="G2439" s="2" t="s">
        <v>15</v>
      </c>
      <c r="H2439" s="2">
        <v>15000000</v>
      </c>
      <c r="I2439" s="2">
        <v>5.3</v>
      </c>
      <c r="J2439" s="2">
        <f t="shared" si="18"/>
        <v>-5876166</v>
      </c>
      <c r="K2439" s="2">
        <f t="shared" si="19"/>
        <v>-2.0974917186583737E-2</v>
      </c>
      <c r="L2439" s="2" t="str">
        <f>IF(ISNUMBER(SEARCH("|",IMDB_Movies!$D2439)),LEFT(IMDB_Movies!$D2439,SEARCH("|",IMDB_Movies!$D2439)-1),IMDB_Movies!$D2439)</f>
        <v>Comedy</v>
      </c>
      <c r="V2439" s="2"/>
      <c r="W2439" s="2"/>
    </row>
    <row r="2440" spans="1:23" ht="12.5" x14ac:dyDescent="0.25">
      <c r="A2440" s="2" t="s">
        <v>4183</v>
      </c>
      <c r="B2440" s="2">
        <v>102</v>
      </c>
      <c r="C2440" s="2">
        <v>6409206</v>
      </c>
      <c r="D2440" s="2" t="s">
        <v>2525</v>
      </c>
      <c r="E2440" s="2" t="s">
        <v>4184</v>
      </c>
      <c r="F2440" s="2" t="s">
        <v>14</v>
      </c>
      <c r="G2440" s="2" t="s">
        <v>15</v>
      </c>
      <c r="H2440" s="2">
        <v>15000000</v>
      </c>
      <c r="I2440" s="2">
        <v>6.2</v>
      </c>
      <c r="J2440" s="2">
        <f t="shared" si="18"/>
        <v>-8590794</v>
      </c>
      <c r="K2440" s="2">
        <f t="shared" si="19"/>
        <v>-2.0980500555192585E-2</v>
      </c>
      <c r="L2440" s="2" t="str">
        <f>IF(ISNUMBER(SEARCH("|",IMDB_Movies!$D2440)),LEFT(IMDB_Movies!$D2440,SEARCH("|",IMDB_Movies!$D2440)-1),IMDB_Movies!$D2440)</f>
        <v>Comedy</v>
      </c>
      <c r="V2440" s="2"/>
      <c r="W2440" s="2"/>
    </row>
    <row r="2441" spans="1:23" ht="12.5" x14ac:dyDescent="0.25">
      <c r="A2441" s="2" t="s">
        <v>4185</v>
      </c>
      <c r="B2441" s="2">
        <v>88</v>
      </c>
      <c r="C2441" s="2">
        <v>6373693</v>
      </c>
      <c r="D2441" s="2" t="s">
        <v>600</v>
      </c>
      <c r="E2441" s="2" t="s">
        <v>4186</v>
      </c>
      <c r="F2441" s="2" t="s">
        <v>14</v>
      </c>
      <c r="G2441" s="2" t="s">
        <v>15</v>
      </c>
      <c r="H2441" s="2">
        <v>15000000</v>
      </c>
      <c r="I2441" s="2">
        <v>5.3</v>
      </c>
      <c r="J2441" s="2">
        <f t="shared" si="18"/>
        <v>-8626307</v>
      </c>
      <c r="K2441" s="2">
        <f t="shared" si="19"/>
        <v>-2.0988106846198239E-2</v>
      </c>
      <c r="L2441" s="2" t="str">
        <f>IF(ISNUMBER(SEARCH("|",IMDB_Movies!$D2441)),LEFT(IMDB_Movies!$D2441,SEARCH("|",IMDB_Movies!$D2441)-1),IMDB_Movies!$D2441)</f>
        <v>Comedy</v>
      </c>
      <c r="V2441" s="2"/>
      <c r="W2441" s="2"/>
    </row>
    <row r="2442" spans="1:23" ht="12.5" x14ac:dyDescent="0.25">
      <c r="A2442" s="2" t="s">
        <v>2035</v>
      </c>
      <c r="B2442" s="2">
        <v>106</v>
      </c>
      <c r="C2442" s="2">
        <v>7556708</v>
      </c>
      <c r="D2442" s="2" t="s">
        <v>1180</v>
      </c>
      <c r="E2442" s="2" t="s">
        <v>4187</v>
      </c>
      <c r="F2442" s="2" t="s">
        <v>14</v>
      </c>
      <c r="G2442" s="2" t="s">
        <v>15</v>
      </c>
      <c r="H2442" s="2">
        <v>15000000</v>
      </c>
      <c r="I2442" s="2">
        <v>6.6</v>
      </c>
      <c r="J2442" s="2">
        <f t="shared" si="18"/>
        <v>-7443292</v>
      </c>
      <c r="K2442" s="2">
        <f t="shared" si="19"/>
        <v>-2.0995752175544783E-2</v>
      </c>
      <c r="L2442" s="2" t="str">
        <f>IF(ISNUMBER(SEARCH("|",IMDB_Movies!$D2442)),LEFT(IMDB_Movies!$D2442,SEARCH("|",IMDB_Movies!$D2442)-1),IMDB_Movies!$D2442)</f>
        <v>Drama</v>
      </c>
      <c r="V2442" s="2"/>
      <c r="W2442" s="2"/>
    </row>
    <row r="2443" spans="1:23" ht="12.5" x14ac:dyDescent="0.25">
      <c r="A2443" s="2" t="s">
        <v>2732</v>
      </c>
      <c r="B2443" s="2">
        <v>92</v>
      </c>
      <c r="C2443" s="2">
        <v>5306447</v>
      </c>
      <c r="D2443" s="2" t="s">
        <v>600</v>
      </c>
      <c r="E2443" s="2" t="s">
        <v>4188</v>
      </c>
      <c r="F2443" s="2" t="s">
        <v>14</v>
      </c>
      <c r="G2443" s="2" t="s">
        <v>15</v>
      </c>
      <c r="H2443" s="2">
        <v>15000000</v>
      </c>
      <c r="I2443" s="2">
        <v>7.2</v>
      </c>
      <c r="J2443" s="2">
        <f t="shared" si="18"/>
        <v>-9693553</v>
      </c>
      <c r="K2443" s="2">
        <f t="shared" si="19"/>
        <v>-2.1002516810354952E-2</v>
      </c>
      <c r="L2443" s="2" t="str">
        <f>IF(ISNUMBER(SEARCH("|",IMDB_Movies!$D2443)),LEFT(IMDB_Movies!$D2443,SEARCH("|",IMDB_Movies!$D2443)-1),IMDB_Movies!$D2443)</f>
        <v>Comedy</v>
      </c>
      <c r="V2443" s="2"/>
      <c r="W2443" s="2"/>
    </row>
    <row r="2444" spans="1:23" ht="12.5" x14ac:dyDescent="0.25">
      <c r="A2444" s="2" t="s">
        <v>4189</v>
      </c>
      <c r="B2444" s="2">
        <v>105</v>
      </c>
      <c r="C2444" s="2">
        <v>5217498</v>
      </c>
      <c r="D2444" s="2" t="s">
        <v>690</v>
      </c>
      <c r="E2444" s="2" t="s">
        <v>4190</v>
      </c>
      <c r="F2444" s="2" t="s">
        <v>14</v>
      </c>
      <c r="G2444" s="2" t="s">
        <v>15</v>
      </c>
      <c r="H2444" s="2">
        <v>15000000</v>
      </c>
      <c r="I2444" s="2">
        <v>4.5999999999999996</v>
      </c>
      <c r="J2444" s="2">
        <f t="shared" si="18"/>
        <v>-9782502</v>
      </c>
      <c r="K2444" s="2">
        <f t="shared" si="19"/>
        <v>-2.1011008479571019E-2</v>
      </c>
      <c r="L2444" s="2" t="str">
        <f>IF(ISNUMBER(SEARCH("|",IMDB_Movies!$D2444)),LEFT(IMDB_Movies!$D2444,SEARCH("|",IMDB_Movies!$D2444)-1),IMDB_Movies!$D2444)</f>
        <v>Drama</v>
      </c>
      <c r="V2444" s="2"/>
      <c r="W2444" s="2"/>
    </row>
    <row r="2445" spans="1:23" ht="12.5" x14ac:dyDescent="0.25">
      <c r="A2445" s="2" t="s">
        <v>4013</v>
      </c>
      <c r="B2445" s="2">
        <v>107</v>
      </c>
      <c r="C2445" s="2">
        <v>5023275</v>
      </c>
      <c r="D2445" s="2" t="s">
        <v>4191</v>
      </c>
      <c r="E2445" s="2" t="s">
        <v>4192</v>
      </c>
      <c r="F2445" s="2" t="s">
        <v>14</v>
      </c>
      <c r="G2445" s="2" t="s">
        <v>686</v>
      </c>
      <c r="H2445" s="2">
        <v>15000000</v>
      </c>
      <c r="I2445" s="2">
        <v>7.5</v>
      </c>
      <c r="J2445" s="2">
        <f t="shared" si="18"/>
        <v>-9976725</v>
      </c>
      <c r="K2445" s="2">
        <f t="shared" si="19"/>
        <v>-2.1019583088753374E-2</v>
      </c>
      <c r="L2445" s="2" t="str">
        <f>IF(ISNUMBER(SEARCH("|",IMDB_Movies!$D2445)),LEFT(IMDB_Movies!$D2445,SEARCH("|",IMDB_Movies!$D2445)-1),IMDB_Movies!$D2445)</f>
        <v>Adventure</v>
      </c>
      <c r="V2445" s="2"/>
      <c r="W2445" s="2"/>
    </row>
    <row r="2446" spans="1:23" ht="12.5" x14ac:dyDescent="0.25">
      <c r="A2446" s="2" t="s">
        <v>4193</v>
      </c>
      <c r="B2446" s="2">
        <v>120</v>
      </c>
      <c r="C2446" s="2">
        <v>4956401</v>
      </c>
      <c r="D2446" s="2" t="s">
        <v>1175</v>
      </c>
      <c r="E2446" s="2" t="s">
        <v>4194</v>
      </c>
      <c r="F2446" s="2" t="s">
        <v>14</v>
      </c>
      <c r="G2446" s="2" t="s">
        <v>686</v>
      </c>
      <c r="H2446" s="2">
        <v>15000000</v>
      </c>
      <c r="I2446" s="2">
        <v>6.5</v>
      </c>
      <c r="J2446" s="2">
        <f t="shared" si="18"/>
        <v>-10043599</v>
      </c>
      <c r="K2446" s="2">
        <f t="shared" si="19"/>
        <v>-2.1028323431959508E-2</v>
      </c>
      <c r="L2446" s="2" t="str">
        <f>IF(ISNUMBER(SEARCH("|",IMDB_Movies!$D2446)),LEFT(IMDB_Movies!$D2446,SEARCH("|",IMDB_Movies!$D2446)-1),IMDB_Movies!$D2446)</f>
        <v>Drama</v>
      </c>
      <c r="V2446" s="2"/>
      <c r="W2446" s="2"/>
    </row>
    <row r="2447" spans="1:23" ht="12.5" x14ac:dyDescent="0.25">
      <c r="A2447" s="2" t="s">
        <v>97</v>
      </c>
      <c r="B2447" s="2">
        <v>103</v>
      </c>
      <c r="C2447" s="2">
        <v>4235837</v>
      </c>
      <c r="D2447" s="2" t="s">
        <v>3980</v>
      </c>
      <c r="E2447" s="2" t="s">
        <v>4195</v>
      </c>
      <c r="F2447" s="2" t="s">
        <v>14</v>
      </c>
      <c r="G2447" s="2" t="s">
        <v>15</v>
      </c>
      <c r="H2447" s="2">
        <v>15000000</v>
      </c>
      <c r="I2447" s="2">
        <v>7.6</v>
      </c>
      <c r="J2447" s="2">
        <f t="shared" si="18"/>
        <v>-10764163</v>
      </c>
      <c r="K2447" s="2">
        <f t="shared" si="19"/>
        <v>-2.1037130312924927E-2</v>
      </c>
      <c r="L2447" s="2" t="str">
        <f>IF(ISNUMBER(SEARCH("|",IMDB_Movies!$D2447)),LEFT(IMDB_Movies!$D2447,SEARCH("|",IMDB_Movies!$D2447)-1),IMDB_Movies!$D2447)</f>
        <v>Comedy</v>
      </c>
      <c r="V2447" s="2"/>
      <c r="W2447" s="2"/>
    </row>
    <row r="2448" spans="1:23" ht="12.5" x14ac:dyDescent="0.25">
      <c r="A2448" s="2" t="s">
        <v>4196</v>
      </c>
      <c r="B2448" s="2">
        <v>92</v>
      </c>
      <c r="C2448" s="2">
        <v>4002955</v>
      </c>
      <c r="D2448" s="2" t="s">
        <v>2667</v>
      </c>
      <c r="E2448" s="2" t="s">
        <v>4197</v>
      </c>
      <c r="F2448" s="2" t="s">
        <v>14</v>
      </c>
      <c r="G2448" s="2" t="s">
        <v>15</v>
      </c>
      <c r="H2448" s="2">
        <v>20000000</v>
      </c>
      <c r="I2448" s="2">
        <v>6.2</v>
      </c>
      <c r="J2448" s="2">
        <f t="shared" si="18"/>
        <v>-15997045</v>
      </c>
      <c r="K2448" s="2">
        <f t="shared" si="19"/>
        <v>-2.1046521687973482E-2</v>
      </c>
      <c r="L2448" s="2" t="str">
        <f>IF(ISNUMBER(SEARCH("|",IMDB_Movies!$D2448)),LEFT(IMDB_Movies!$D2448,SEARCH("|",IMDB_Movies!$D2448)-1),IMDB_Movies!$D2448)</f>
        <v>Comedy</v>
      </c>
      <c r="V2448" s="2"/>
      <c r="W2448" s="2"/>
    </row>
    <row r="2449" spans="1:23" ht="12.5" x14ac:dyDescent="0.25">
      <c r="A2449" s="2" t="s">
        <v>1976</v>
      </c>
      <c r="B2449" s="2">
        <v>147</v>
      </c>
      <c r="C2449" s="2">
        <v>7219578</v>
      </c>
      <c r="D2449" s="2" t="s">
        <v>690</v>
      </c>
      <c r="E2449" s="2" t="s">
        <v>4198</v>
      </c>
      <c r="F2449" s="2" t="s">
        <v>14</v>
      </c>
      <c r="G2449" s="2" t="s">
        <v>686</v>
      </c>
      <c r="H2449" s="2">
        <v>15000000</v>
      </c>
      <c r="I2449" s="2">
        <v>8</v>
      </c>
      <c r="J2449" s="2">
        <f t="shared" si="18"/>
        <v>-7780422</v>
      </c>
      <c r="K2449" s="2">
        <f t="shared" si="19"/>
        <v>-2.1051910564354945E-2</v>
      </c>
      <c r="L2449" s="2" t="str">
        <f>IF(ISNUMBER(SEARCH("|",IMDB_Movies!$D2449)),LEFT(IMDB_Movies!$D2449,SEARCH("|",IMDB_Movies!$D2449)-1),IMDB_Movies!$D2449)</f>
        <v>Drama</v>
      </c>
      <c r="V2449" s="2"/>
      <c r="W2449" s="2"/>
    </row>
    <row r="2450" spans="1:23" ht="12.5" x14ac:dyDescent="0.25">
      <c r="A2450" s="2" t="s">
        <v>2732</v>
      </c>
      <c r="B2450" s="2">
        <v>98</v>
      </c>
      <c r="C2450" s="2">
        <v>3247816</v>
      </c>
      <c r="D2450" s="2" t="s">
        <v>514</v>
      </c>
      <c r="E2450" s="2" t="s">
        <v>4199</v>
      </c>
      <c r="F2450" s="2" t="s">
        <v>14</v>
      </c>
      <c r="G2450" s="2" t="s">
        <v>15</v>
      </c>
      <c r="H2450" s="2">
        <v>22000000</v>
      </c>
      <c r="I2450" s="2">
        <v>6.3</v>
      </c>
      <c r="J2450" s="2">
        <f t="shared" si="18"/>
        <v>-18752184</v>
      </c>
      <c r="K2450" s="2">
        <f t="shared" si="19"/>
        <v>-2.1059011737667298E-2</v>
      </c>
      <c r="L2450" s="2" t="str">
        <f>IF(ISNUMBER(SEARCH("|",IMDB_Movies!$D2450)),LEFT(IMDB_Movies!$D2450,SEARCH("|",IMDB_Movies!$D2450)-1),IMDB_Movies!$D2450)</f>
        <v>Comedy</v>
      </c>
      <c r="V2450" s="2"/>
      <c r="W2450" s="2"/>
    </row>
    <row r="2451" spans="1:23" ht="12.5" x14ac:dyDescent="0.25">
      <c r="A2451" s="2" t="s">
        <v>4200</v>
      </c>
      <c r="B2451" s="2">
        <v>103</v>
      </c>
      <c r="C2451" s="2">
        <v>2412045</v>
      </c>
      <c r="D2451" s="2" t="s">
        <v>3124</v>
      </c>
      <c r="E2451" s="2" t="s">
        <v>4201</v>
      </c>
      <c r="F2451" s="2" t="s">
        <v>14</v>
      </c>
      <c r="G2451" s="2" t="s">
        <v>22</v>
      </c>
      <c r="H2451" s="2">
        <v>15000000</v>
      </c>
      <c r="I2451" s="2">
        <v>7.2</v>
      </c>
      <c r="J2451" s="2">
        <f t="shared" si="18"/>
        <v>-12587955</v>
      </c>
      <c r="K2451" s="2">
        <f t="shared" si="19"/>
        <v>-2.1063020263578786E-2</v>
      </c>
      <c r="L2451" s="2" t="str">
        <f>IF(ISNUMBER(SEARCH("|",IMDB_Movies!$D2451)),LEFT(IMDB_Movies!$D2451,SEARCH("|",IMDB_Movies!$D2451)-1),IMDB_Movies!$D2451)</f>
        <v>Drama</v>
      </c>
      <c r="V2451" s="2"/>
      <c r="W2451" s="2"/>
    </row>
    <row r="2452" spans="1:23" ht="12.5" x14ac:dyDescent="0.25">
      <c r="A2452" s="2" t="s">
        <v>4202</v>
      </c>
      <c r="B2452" s="2">
        <v>111</v>
      </c>
      <c r="C2452" s="2">
        <v>2203641</v>
      </c>
      <c r="D2452" s="2" t="s">
        <v>770</v>
      </c>
      <c r="E2452" s="2" t="s">
        <v>4203</v>
      </c>
      <c r="F2452" s="2" t="s">
        <v>14</v>
      </c>
      <c r="G2452" s="2" t="s">
        <v>1239</v>
      </c>
      <c r="H2452" s="2">
        <v>15000000</v>
      </c>
      <c r="I2452" s="2">
        <v>6.7</v>
      </c>
      <c r="J2452" s="2">
        <f t="shared" si="18"/>
        <v>-12796359</v>
      </c>
      <c r="K2452" s="2">
        <f t="shared" si="19"/>
        <v>-2.107394400983582E-2</v>
      </c>
      <c r="L2452" s="2" t="str">
        <f>IF(ISNUMBER(SEARCH("|",IMDB_Movies!$D2452)),LEFT(IMDB_Movies!$D2452,SEARCH("|",IMDB_Movies!$D2452)-1),IMDB_Movies!$D2452)</f>
        <v>Crime</v>
      </c>
      <c r="V2452" s="2"/>
      <c r="W2452" s="2"/>
    </row>
    <row r="2453" spans="1:23" ht="12.5" x14ac:dyDescent="0.25">
      <c r="A2453" s="2" t="s">
        <v>4204</v>
      </c>
      <c r="B2453" s="2">
        <v>98</v>
      </c>
      <c r="C2453" s="2">
        <v>1953732</v>
      </c>
      <c r="D2453" s="2" t="s">
        <v>492</v>
      </c>
      <c r="E2453" s="2" t="s">
        <v>4205</v>
      </c>
      <c r="F2453" s="2" t="s">
        <v>14</v>
      </c>
      <c r="G2453" s="2" t="s">
        <v>15</v>
      </c>
      <c r="H2453" s="2">
        <v>15000000</v>
      </c>
      <c r="I2453" s="2">
        <v>5.3</v>
      </c>
      <c r="J2453" s="2">
        <f t="shared" si="18"/>
        <v>-13046268</v>
      </c>
      <c r="K2453" s="2">
        <f t="shared" si="19"/>
        <v>-2.108505830830347E-2</v>
      </c>
      <c r="L2453" s="2" t="str">
        <f>IF(ISNUMBER(SEARCH("|",IMDB_Movies!$D2453)),LEFT(IMDB_Movies!$D2453,SEARCH("|",IMDB_Movies!$D2453)-1),IMDB_Movies!$D2453)</f>
        <v>Adventure</v>
      </c>
      <c r="V2453" s="2"/>
      <c r="W2453" s="2"/>
    </row>
    <row r="2454" spans="1:23" ht="12.5" x14ac:dyDescent="0.25">
      <c r="A2454" s="2" t="s">
        <v>4206</v>
      </c>
      <c r="B2454" s="2">
        <v>111</v>
      </c>
      <c r="C2454" s="2">
        <v>1954202</v>
      </c>
      <c r="D2454" s="2" t="s">
        <v>3003</v>
      </c>
      <c r="E2454" s="2" t="s">
        <v>4207</v>
      </c>
      <c r="F2454" s="2" t="s">
        <v>14</v>
      </c>
      <c r="G2454" s="2" t="s">
        <v>15</v>
      </c>
      <c r="H2454" s="2">
        <v>15000000</v>
      </c>
      <c r="I2454" s="2">
        <v>6.3</v>
      </c>
      <c r="J2454" s="2">
        <f t="shared" si="18"/>
        <v>-13045798</v>
      </c>
      <c r="K2454" s="2">
        <f t="shared" si="19"/>
        <v>-2.1096398886845238E-2</v>
      </c>
      <c r="L2454" s="2" t="str">
        <f>IF(ISNUMBER(SEARCH("|",IMDB_Movies!$D2454)),LEFT(IMDB_Movies!$D2454,SEARCH("|",IMDB_Movies!$D2454)-1),IMDB_Movies!$D2454)</f>
        <v>Comedy</v>
      </c>
      <c r="V2454" s="2"/>
      <c r="W2454" s="2"/>
    </row>
    <row r="2455" spans="1:23" ht="12.5" x14ac:dyDescent="0.25">
      <c r="A2455" s="2" t="s">
        <v>3845</v>
      </c>
      <c r="B2455" s="2">
        <v>111</v>
      </c>
      <c r="C2455" s="2">
        <v>1294640</v>
      </c>
      <c r="D2455" s="2" t="s">
        <v>2219</v>
      </c>
      <c r="E2455" s="2" t="s">
        <v>4208</v>
      </c>
      <c r="F2455" s="2" t="s">
        <v>14</v>
      </c>
      <c r="G2455" s="2" t="s">
        <v>15</v>
      </c>
      <c r="H2455" s="2">
        <v>15000000</v>
      </c>
      <c r="I2455" s="2">
        <v>6.5</v>
      </c>
      <c r="J2455" s="2">
        <f t="shared" si="18"/>
        <v>-13705360</v>
      </c>
      <c r="K2455" s="2">
        <f t="shared" si="19"/>
        <v>-2.1107758122692114E-2</v>
      </c>
      <c r="L2455" s="2" t="str">
        <f>IF(ISNUMBER(SEARCH("|",IMDB_Movies!$D2455)),LEFT(IMDB_Movies!$D2455,SEARCH("|",IMDB_Movies!$D2455)-1),IMDB_Movies!$D2455)</f>
        <v>Crime</v>
      </c>
      <c r="V2455" s="2"/>
      <c r="W2455" s="2"/>
    </row>
    <row r="2456" spans="1:23" ht="12.5" x14ac:dyDescent="0.25">
      <c r="A2456" s="2" t="s">
        <v>4209</v>
      </c>
      <c r="B2456" s="2">
        <v>145</v>
      </c>
      <c r="C2456" s="2">
        <v>26435</v>
      </c>
      <c r="D2456" s="2" t="s">
        <v>660</v>
      </c>
      <c r="E2456" s="2" t="s">
        <v>4210</v>
      </c>
      <c r="F2456" s="2" t="s">
        <v>3713</v>
      </c>
      <c r="G2456" s="2" t="s">
        <v>287</v>
      </c>
      <c r="H2456" s="2">
        <v>6000000</v>
      </c>
      <c r="I2456" s="2">
        <v>8.3000000000000007</v>
      </c>
      <c r="J2456" s="2">
        <f t="shared" si="18"/>
        <v>-5973565</v>
      </c>
      <c r="K2456" s="2">
        <f t="shared" si="19"/>
        <v>-2.1119689949794063E-2</v>
      </c>
      <c r="L2456" s="2" t="str">
        <f>IF(ISNUMBER(SEARCH("|",IMDB_Movies!$D2456)),LEFT(IMDB_Movies!$D2456,SEARCH("|",IMDB_Movies!$D2456)-1),IMDB_Movies!$D2456)</f>
        <v>Drama</v>
      </c>
      <c r="V2456" s="2"/>
      <c r="W2456" s="2"/>
    </row>
    <row r="2457" spans="1:23" ht="12.5" x14ac:dyDescent="0.25">
      <c r="A2457" s="2" t="s">
        <v>1690</v>
      </c>
      <c r="B2457" s="2">
        <v>84</v>
      </c>
      <c r="C2457" s="2">
        <v>1197786</v>
      </c>
      <c r="D2457" s="2" t="s">
        <v>125</v>
      </c>
      <c r="E2457" s="2" t="s">
        <v>4211</v>
      </c>
      <c r="F2457" s="2" t="s">
        <v>1006</v>
      </c>
      <c r="G2457" s="2" t="s">
        <v>686</v>
      </c>
      <c r="H2457" s="2">
        <v>12000000</v>
      </c>
      <c r="I2457" s="2">
        <v>7.2</v>
      </c>
      <c r="J2457" s="2">
        <f t="shared" si="18"/>
        <v>-10802214</v>
      </c>
      <c r="K2457" s="2">
        <f t="shared" si="19"/>
        <v>-2.1142562844909167E-2</v>
      </c>
      <c r="L2457" s="2" t="str">
        <f>IF(ISNUMBER(SEARCH("|",IMDB_Movies!$D2457)),LEFT(IMDB_Movies!$D2457,SEARCH("|",IMDB_Movies!$D2457)-1),IMDB_Movies!$D2457)</f>
        <v>Action</v>
      </c>
      <c r="V2457" s="2"/>
      <c r="W2457" s="2"/>
    </row>
    <row r="2458" spans="1:23" ht="12.5" x14ac:dyDescent="0.25">
      <c r="A2458" s="2" t="s">
        <v>1754</v>
      </c>
      <c r="B2458" s="2">
        <v>115</v>
      </c>
      <c r="C2458" s="2">
        <v>529766</v>
      </c>
      <c r="D2458" s="2" t="s">
        <v>694</v>
      </c>
      <c r="E2458" s="2" t="s">
        <v>4212</v>
      </c>
      <c r="F2458" s="2" t="s">
        <v>14</v>
      </c>
      <c r="G2458" s="2" t="s">
        <v>15</v>
      </c>
      <c r="H2458" s="2">
        <v>7000000</v>
      </c>
      <c r="I2458" s="2">
        <v>6.8</v>
      </c>
      <c r="J2458" s="2">
        <f t="shared" si="18"/>
        <v>-6470234</v>
      </c>
      <c r="K2458" s="2">
        <f t="shared" si="19"/>
        <v>-2.1157690166305424E-2</v>
      </c>
      <c r="L2458" s="2" t="str">
        <f>IF(ISNUMBER(SEARCH("|",IMDB_Movies!$D2458)),LEFT(IMDB_Movies!$D2458,SEARCH("|",IMDB_Movies!$D2458)-1),IMDB_Movies!$D2458)</f>
        <v>Crime</v>
      </c>
      <c r="V2458" s="2"/>
      <c r="W2458" s="2"/>
    </row>
    <row r="2459" spans="1:23" ht="12.5" x14ac:dyDescent="0.25">
      <c r="A2459" s="2" t="s">
        <v>4213</v>
      </c>
      <c r="B2459" s="2">
        <v>105</v>
      </c>
      <c r="C2459" s="2">
        <v>613556</v>
      </c>
      <c r="D2459" s="2" t="s">
        <v>290</v>
      </c>
      <c r="E2459" s="2" t="s">
        <v>4214</v>
      </c>
      <c r="F2459" s="2" t="s">
        <v>699</v>
      </c>
      <c r="G2459" s="2" t="s">
        <v>4029</v>
      </c>
      <c r="H2459" s="2">
        <v>15000000</v>
      </c>
      <c r="I2459" s="2">
        <v>6.4</v>
      </c>
      <c r="J2459" s="2">
        <f t="shared" si="18"/>
        <v>-14386444</v>
      </c>
      <c r="K2459" s="2">
        <f t="shared" si="19"/>
        <v>-2.117885685792207E-2</v>
      </c>
      <c r="L2459" s="2" t="str">
        <f>IF(ISNUMBER(SEARCH("|",IMDB_Movies!$D2459)),LEFT(IMDB_Movies!$D2459,SEARCH("|",IMDB_Movies!$D2459)-1),IMDB_Movies!$D2459)</f>
        <v>Action</v>
      </c>
      <c r="V2459" s="2"/>
      <c r="W2459" s="2"/>
    </row>
    <row r="2460" spans="1:23" ht="12.5" x14ac:dyDescent="0.25">
      <c r="A2460" s="2" t="s">
        <v>4215</v>
      </c>
      <c r="B2460" s="2">
        <v>98</v>
      </c>
      <c r="C2460" s="2">
        <v>353743</v>
      </c>
      <c r="D2460" s="2" t="s">
        <v>4216</v>
      </c>
      <c r="E2460" s="2" t="s">
        <v>4217</v>
      </c>
      <c r="F2460" s="2" t="s">
        <v>14</v>
      </c>
      <c r="G2460" s="2" t="s">
        <v>22</v>
      </c>
      <c r="H2460" s="2">
        <v>15000000</v>
      </c>
      <c r="I2460" s="2">
        <v>6.9</v>
      </c>
      <c r="J2460" s="2">
        <f t="shared" si="18"/>
        <v>-14646257</v>
      </c>
      <c r="K2460" s="2">
        <f t="shared" si="19"/>
        <v>-2.1191470451008006E-2</v>
      </c>
      <c r="L2460" s="2" t="str">
        <f>IF(ISNUMBER(SEARCH("|",IMDB_Movies!$D2460)),LEFT(IMDB_Movies!$D2460,SEARCH("|",IMDB_Movies!$D2460)-1),IMDB_Movies!$D2460)</f>
        <v>Comedy</v>
      </c>
      <c r="V2460" s="2"/>
      <c r="W2460" s="2"/>
    </row>
    <row r="2461" spans="1:23" ht="12.5" x14ac:dyDescent="0.25">
      <c r="A2461" s="2" t="s">
        <v>4218</v>
      </c>
      <c r="B2461" s="2">
        <v>110</v>
      </c>
      <c r="C2461" s="2">
        <v>102055</v>
      </c>
      <c r="D2461" s="2" t="s">
        <v>483</v>
      </c>
      <c r="E2461" s="2" t="s">
        <v>4219</v>
      </c>
      <c r="F2461" s="2" t="s">
        <v>4220</v>
      </c>
      <c r="G2461" s="2" t="s">
        <v>4221</v>
      </c>
      <c r="H2461" s="2">
        <v>300000000</v>
      </c>
      <c r="I2461" s="2">
        <v>6.2</v>
      </c>
      <c r="J2461" s="2">
        <f t="shared" si="18"/>
        <v>-299897945</v>
      </c>
      <c r="K2461" s="2">
        <f t="shared" si="19"/>
        <v>-2.1204329469387346E-2</v>
      </c>
      <c r="L2461" s="2" t="str">
        <f>IF(ISNUMBER(SEARCH("|",IMDB_Movies!$D2461)),LEFT(IMDB_Movies!$D2461,SEARCH("|",IMDB_Movies!$D2461)-1),IMDB_Movies!$D2461)</f>
        <v>Action</v>
      </c>
      <c r="V2461" s="2"/>
      <c r="W2461" s="2"/>
    </row>
    <row r="2462" spans="1:23" ht="12.5" x14ac:dyDescent="0.25">
      <c r="A2462" s="2" t="s">
        <v>4222</v>
      </c>
      <c r="B2462" s="2">
        <v>103</v>
      </c>
      <c r="C2462" s="2">
        <v>73548</v>
      </c>
      <c r="D2462" s="2" t="s">
        <v>4223</v>
      </c>
      <c r="E2462" s="2" t="s">
        <v>4224</v>
      </c>
      <c r="F2462" s="2" t="s">
        <v>14</v>
      </c>
      <c r="G2462" s="2" t="s">
        <v>15</v>
      </c>
      <c r="H2462" s="2">
        <v>15000000</v>
      </c>
      <c r="I2462" s="2">
        <v>6.1</v>
      </c>
      <c r="J2462" s="2">
        <f t="shared" si="18"/>
        <v>-14926452</v>
      </c>
      <c r="K2462" s="2">
        <f t="shared" si="19"/>
        <v>-2.09109043266664E-2</v>
      </c>
      <c r="L2462" s="2" t="str">
        <f>IF(ISNUMBER(SEARCH("|",IMDB_Movies!$D2462)),LEFT(IMDB_Movies!$D2462,SEARCH("|",IMDB_Movies!$D2462)-1),IMDB_Movies!$D2462)</f>
        <v>Fantasy</v>
      </c>
      <c r="V2462" s="2"/>
      <c r="W2462" s="2"/>
    </row>
    <row r="2463" spans="1:23" ht="12.5" x14ac:dyDescent="0.25">
      <c r="A2463" s="2" t="s">
        <v>4225</v>
      </c>
      <c r="B2463" s="2">
        <v>90</v>
      </c>
      <c r="C2463" s="2">
        <v>28870</v>
      </c>
      <c r="D2463" s="2" t="s">
        <v>763</v>
      </c>
      <c r="E2463" s="2" t="s">
        <v>4226</v>
      </c>
      <c r="F2463" s="2" t="s">
        <v>14</v>
      </c>
      <c r="G2463" s="2" t="s">
        <v>15</v>
      </c>
      <c r="H2463" s="2">
        <v>15000000</v>
      </c>
      <c r="I2463" s="2">
        <v>5.0999999999999996</v>
      </c>
      <c r="J2463" s="2">
        <f t="shared" si="18"/>
        <v>-14971130</v>
      </c>
      <c r="K2463" s="2">
        <f t="shared" si="19"/>
        <v>-2.0923785498126551E-2</v>
      </c>
      <c r="L2463" s="2" t="str">
        <f>IF(ISNUMBER(SEARCH("|",IMDB_Movies!$D2463)),LEFT(IMDB_Movies!$D2463,SEARCH("|",IMDB_Movies!$D2463)-1),IMDB_Movies!$D2463)</f>
        <v>Crime</v>
      </c>
      <c r="V2463" s="2"/>
      <c r="W2463" s="2"/>
    </row>
    <row r="2464" spans="1:23" ht="12.5" x14ac:dyDescent="0.25">
      <c r="A2464" s="2" t="s">
        <v>4227</v>
      </c>
      <c r="B2464" s="2">
        <v>105</v>
      </c>
      <c r="C2464" s="2">
        <v>22723</v>
      </c>
      <c r="D2464" s="2" t="s">
        <v>4228</v>
      </c>
      <c r="E2464" s="2" t="s">
        <v>4229</v>
      </c>
      <c r="F2464" s="2" t="s">
        <v>14</v>
      </c>
      <c r="G2464" s="2" t="s">
        <v>287</v>
      </c>
      <c r="H2464" s="2">
        <v>25000000</v>
      </c>
      <c r="I2464" s="2">
        <v>4.5</v>
      </c>
      <c r="J2464" s="2">
        <f t="shared" si="18"/>
        <v>-24977277</v>
      </c>
      <c r="K2464" s="2">
        <f t="shared" si="19"/>
        <v>-2.0936727206150384E-2</v>
      </c>
      <c r="L2464" s="2" t="str">
        <f>IF(ISNUMBER(SEARCH("|",IMDB_Movies!$D2464)),LEFT(IMDB_Movies!$D2464,SEARCH("|",IMDB_Movies!$D2464)-1),IMDB_Movies!$D2464)</f>
        <v>Action</v>
      </c>
      <c r="V2464" s="2"/>
      <c r="W2464" s="2"/>
    </row>
    <row r="2465" spans="1:23" ht="12.5" x14ac:dyDescent="0.25">
      <c r="A2465" s="2" t="s">
        <v>4230</v>
      </c>
      <c r="B2465" s="2">
        <v>93</v>
      </c>
      <c r="C2465" s="2">
        <v>20380</v>
      </c>
      <c r="D2465" s="2" t="s">
        <v>4231</v>
      </c>
      <c r="E2465" s="2" t="s">
        <v>4232</v>
      </c>
      <c r="F2465" s="2" t="s">
        <v>14</v>
      </c>
      <c r="G2465" s="2" t="s">
        <v>15</v>
      </c>
      <c r="H2465" s="2">
        <v>15000000</v>
      </c>
      <c r="I2465" s="2">
        <v>5.9</v>
      </c>
      <c r="J2465" s="2">
        <f t="shared" si="18"/>
        <v>-14979620</v>
      </c>
      <c r="K2465" s="2">
        <f t="shared" si="19"/>
        <v>-2.093869879426442E-2</v>
      </c>
      <c r="L2465" s="2" t="str">
        <f>IF(ISNUMBER(SEARCH("|",IMDB_Movies!$D2465)),LEFT(IMDB_Movies!$D2465,SEARCH("|",IMDB_Movies!$D2465)-1),IMDB_Movies!$D2465)</f>
        <v>Comedy</v>
      </c>
      <c r="V2465" s="2"/>
      <c r="W2465" s="2"/>
    </row>
    <row r="2466" spans="1:23" ht="12.5" x14ac:dyDescent="0.25">
      <c r="A2466" s="2" t="s">
        <v>1449</v>
      </c>
      <c r="B2466" s="2">
        <v>101</v>
      </c>
      <c r="C2466" s="2">
        <v>70906973</v>
      </c>
      <c r="D2466" s="2" t="s">
        <v>1256</v>
      </c>
      <c r="E2466" s="2" t="s">
        <v>4233</v>
      </c>
      <c r="F2466" s="2" t="s">
        <v>14</v>
      </c>
      <c r="G2466" s="2" t="s">
        <v>15</v>
      </c>
      <c r="H2466" s="2">
        <v>14600000</v>
      </c>
      <c r="I2466" s="2">
        <v>8.1</v>
      </c>
      <c r="J2466" s="2">
        <f t="shared" si="18"/>
        <v>56306973</v>
      </c>
      <c r="K2466" s="2">
        <f t="shared" si="19"/>
        <v>-2.0951683445000726E-2</v>
      </c>
      <c r="L2466" s="2" t="str">
        <f>IF(ISNUMBER(SEARCH("|",IMDB_Movies!$D2466)),LEFT(IMDB_Movies!$D2466,SEARCH("|",IMDB_Movies!$D2466)-1),IMDB_Movies!$D2466)</f>
        <v>Comedy</v>
      </c>
      <c r="V2466" s="2"/>
      <c r="W2466" s="2"/>
    </row>
    <row r="2467" spans="1:23" ht="12.5" x14ac:dyDescent="0.25">
      <c r="A2467" s="2" t="s">
        <v>4234</v>
      </c>
      <c r="B2467" s="2">
        <v>115</v>
      </c>
      <c r="C2467" s="2">
        <v>66009973</v>
      </c>
      <c r="D2467" s="2" t="s">
        <v>2912</v>
      </c>
      <c r="E2467" s="2" t="s">
        <v>4235</v>
      </c>
      <c r="F2467" s="2" t="s">
        <v>14</v>
      </c>
      <c r="G2467" s="2" t="s">
        <v>15</v>
      </c>
      <c r="H2467" s="2">
        <v>14800000</v>
      </c>
      <c r="I2467" s="2">
        <v>5.7</v>
      </c>
      <c r="J2467" s="2">
        <f t="shared" si="18"/>
        <v>51209973</v>
      </c>
      <c r="K2467" s="2">
        <f t="shared" si="19"/>
        <v>-2.0938159612585425E-2</v>
      </c>
      <c r="L2467" s="2" t="str">
        <f>IF(ISNUMBER(SEARCH("|",IMDB_Movies!$D2467)),LEFT(IMDB_Movies!$D2467,SEARCH("|",IMDB_Movies!$D2467)-1),IMDB_Movies!$D2467)</f>
        <v>Comedy</v>
      </c>
      <c r="V2467" s="2"/>
      <c r="W2467" s="2"/>
    </row>
    <row r="2468" spans="1:23" ht="12.5" x14ac:dyDescent="0.25">
      <c r="A2468" s="2" t="s">
        <v>133</v>
      </c>
      <c r="B2468" s="2">
        <v>120</v>
      </c>
      <c r="C2468" s="2">
        <v>46338728</v>
      </c>
      <c r="D2468" s="2" t="s">
        <v>85</v>
      </c>
      <c r="E2468" s="2" t="s">
        <v>4236</v>
      </c>
      <c r="F2468" s="2" t="s">
        <v>14</v>
      </c>
      <c r="G2468" s="2" t="s">
        <v>15</v>
      </c>
      <c r="H2468" s="2">
        <v>14500000</v>
      </c>
      <c r="I2468" s="2">
        <v>6.8</v>
      </c>
      <c r="J2468" s="2">
        <f t="shared" si="18"/>
        <v>31838728</v>
      </c>
      <c r="K2468" s="2">
        <f t="shared" si="19"/>
        <v>-2.0924787022954684E-2</v>
      </c>
      <c r="L2468" s="2" t="str">
        <f>IF(ISNUMBER(SEARCH("|",IMDB_Movies!$D2468)),LEFT(IMDB_Movies!$D2468,SEARCH("|",IMDB_Movies!$D2468)-1),IMDB_Movies!$D2468)</f>
        <v>Drama</v>
      </c>
      <c r="V2468" s="2"/>
      <c r="W2468" s="2"/>
    </row>
    <row r="2469" spans="1:23" ht="12.5" x14ac:dyDescent="0.25">
      <c r="A2469" s="2" t="s">
        <v>4237</v>
      </c>
      <c r="B2469" s="2">
        <v>111</v>
      </c>
      <c r="C2469" s="2">
        <v>7691700</v>
      </c>
      <c r="D2469" s="2" t="s">
        <v>1175</v>
      </c>
      <c r="E2469" s="2" t="s">
        <v>4238</v>
      </c>
      <c r="F2469" s="2" t="s">
        <v>1006</v>
      </c>
      <c r="G2469" s="2" t="s">
        <v>686</v>
      </c>
      <c r="H2469" s="2">
        <v>10000000</v>
      </c>
      <c r="I2469" s="2">
        <v>7.5</v>
      </c>
      <c r="J2469" s="2">
        <f t="shared" si="18"/>
        <v>-2308300</v>
      </c>
      <c r="K2469" s="2">
        <f t="shared" si="19"/>
        <v>-2.0912347123294941E-2</v>
      </c>
      <c r="L2469" s="2" t="str">
        <f>IF(ISNUMBER(SEARCH("|",IMDB_Movies!$D2469)),LEFT(IMDB_Movies!$D2469,SEARCH("|",IMDB_Movies!$D2469)-1),IMDB_Movies!$D2469)</f>
        <v>Drama</v>
      </c>
      <c r="V2469" s="2"/>
      <c r="W2469" s="2"/>
    </row>
    <row r="2470" spans="1:23" ht="12.5" x14ac:dyDescent="0.25">
      <c r="A2470" s="2" t="s">
        <v>1279</v>
      </c>
      <c r="B2470" s="2">
        <v>131</v>
      </c>
      <c r="C2470" s="2">
        <v>101157447</v>
      </c>
      <c r="D2470" s="2" t="s">
        <v>629</v>
      </c>
      <c r="E2470" s="2" t="s">
        <v>4239</v>
      </c>
      <c r="F2470" s="2" t="s">
        <v>14</v>
      </c>
      <c r="G2470" s="2" t="s">
        <v>15</v>
      </c>
      <c r="H2470" s="2">
        <v>14400000</v>
      </c>
      <c r="I2470" s="2">
        <v>8.3000000000000007</v>
      </c>
      <c r="J2470" s="2">
        <f t="shared" si="18"/>
        <v>86757447</v>
      </c>
      <c r="K2470" s="2">
        <f t="shared" si="19"/>
        <v>-2.0922277596796986E-2</v>
      </c>
      <c r="L2470" s="2" t="str">
        <f>IF(ISNUMBER(SEARCH("|",IMDB_Movies!$D2470)),LEFT(IMDB_Movies!$D2470,SEARCH("|",IMDB_Movies!$D2470)-1),IMDB_Movies!$D2470)</f>
        <v>Drama</v>
      </c>
      <c r="V2470" s="2"/>
      <c r="W2470" s="2"/>
    </row>
    <row r="2471" spans="1:23" ht="12.5" x14ac:dyDescent="0.25">
      <c r="A2471" s="2" t="s">
        <v>4240</v>
      </c>
      <c r="B2471" s="2">
        <v>139</v>
      </c>
      <c r="C2471" s="2">
        <v>74205</v>
      </c>
      <c r="D2471" s="2" t="s">
        <v>1180</v>
      </c>
      <c r="E2471" s="2" t="s">
        <v>4241</v>
      </c>
      <c r="F2471" s="2" t="s">
        <v>14</v>
      </c>
      <c r="G2471" s="2" t="s">
        <v>2553</v>
      </c>
      <c r="H2471" s="2">
        <v>14200000</v>
      </c>
      <c r="I2471" s="2">
        <v>7.4</v>
      </c>
      <c r="J2471" s="2">
        <f t="shared" si="18"/>
        <v>-14125795</v>
      </c>
      <c r="K2471" s="2">
        <f t="shared" si="19"/>
        <v>-2.0917730716123538E-2</v>
      </c>
      <c r="L2471" s="2" t="str">
        <f>IF(ISNUMBER(SEARCH("|",IMDB_Movies!$D2471)),LEFT(IMDB_Movies!$D2471,SEARCH("|",IMDB_Movies!$D2471)-1),IMDB_Movies!$D2471)</f>
        <v>Drama</v>
      </c>
      <c r="V2471" s="2"/>
      <c r="W2471" s="2"/>
    </row>
    <row r="2472" spans="1:23" ht="12.5" x14ac:dyDescent="0.25">
      <c r="A2472" s="2" t="s">
        <v>1796</v>
      </c>
      <c r="B2472" s="2">
        <v>120</v>
      </c>
      <c r="C2472" s="2">
        <v>141319195</v>
      </c>
      <c r="D2472" s="2" t="s">
        <v>85</v>
      </c>
      <c r="E2472" s="2" t="s">
        <v>4242</v>
      </c>
      <c r="F2472" s="2" t="s">
        <v>14</v>
      </c>
      <c r="G2472" s="2" t="s">
        <v>22</v>
      </c>
      <c r="H2472" s="2">
        <v>15000000</v>
      </c>
      <c r="I2472" s="2">
        <v>8</v>
      </c>
      <c r="J2472" s="2">
        <f t="shared" si="18"/>
        <v>126319195</v>
      </c>
      <c r="K2472" s="2">
        <f t="shared" si="19"/>
        <v>-2.0931544860187102E-2</v>
      </c>
      <c r="L2472" s="2" t="str">
        <f>IF(ISNUMBER(SEARCH("|",IMDB_Movies!$D2472)),LEFT(IMDB_Movies!$D2472,SEARCH("|",IMDB_Movies!$D2472)-1),IMDB_Movies!$D2472)</f>
        <v>Drama</v>
      </c>
      <c r="V2472" s="2"/>
      <c r="W2472" s="2"/>
    </row>
    <row r="2473" spans="1:23" ht="12.5" x14ac:dyDescent="0.25">
      <c r="A2473" s="2" t="s">
        <v>1758</v>
      </c>
      <c r="B2473" s="2">
        <v>119</v>
      </c>
      <c r="C2473" s="2">
        <v>156645693</v>
      </c>
      <c r="D2473" s="2" t="s">
        <v>2924</v>
      </c>
      <c r="E2473" s="2" t="s">
        <v>4243</v>
      </c>
      <c r="F2473" s="2" t="s">
        <v>14</v>
      </c>
      <c r="G2473" s="2" t="s">
        <v>15</v>
      </c>
      <c r="H2473" s="2">
        <v>14000000</v>
      </c>
      <c r="I2473" s="2">
        <v>6.9</v>
      </c>
      <c r="J2473" s="2">
        <f t="shared" si="18"/>
        <v>142645693</v>
      </c>
      <c r="K2473" s="2">
        <f t="shared" si="19"/>
        <v>-2.0965205164674039E-2</v>
      </c>
      <c r="L2473" s="2" t="str">
        <f>IF(ISNUMBER(SEARCH("|",IMDB_Movies!$D2473)),LEFT(IMDB_Movies!$D2473,SEARCH("|",IMDB_Movies!$D2473)-1),IMDB_Movies!$D2473)</f>
        <v>Drama</v>
      </c>
      <c r="V2473" s="2"/>
      <c r="W2473" s="2"/>
    </row>
    <row r="2474" spans="1:23" ht="12.5" x14ac:dyDescent="0.25">
      <c r="A2474" s="2" t="s">
        <v>1145</v>
      </c>
      <c r="B2474" s="2">
        <v>125</v>
      </c>
      <c r="C2474" s="2">
        <v>178406268</v>
      </c>
      <c r="D2474" s="2" t="s">
        <v>600</v>
      </c>
      <c r="E2474" s="2" t="s">
        <v>4244</v>
      </c>
      <c r="F2474" s="2" t="s">
        <v>14</v>
      </c>
      <c r="G2474" s="2" t="s">
        <v>15</v>
      </c>
      <c r="H2474" s="2">
        <v>14000000</v>
      </c>
      <c r="I2474" s="2">
        <v>6.9</v>
      </c>
      <c r="J2474" s="2">
        <f t="shared" si="18"/>
        <v>164406268</v>
      </c>
      <c r="K2474" s="2">
        <f t="shared" si="19"/>
        <v>-2.1011033696094635E-2</v>
      </c>
      <c r="L2474" s="2" t="str">
        <f>IF(ISNUMBER(SEARCH("|",IMDB_Movies!$D2474)),LEFT(IMDB_Movies!$D2474,SEARCH("|",IMDB_Movies!$D2474)-1),IMDB_Movies!$D2474)</f>
        <v>Comedy</v>
      </c>
      <c r="V2474" s="2"/>
      <c r="W2474" s="2"/>
    </row>
    <row r="2475" spans="1:23" ht="12.5" x14ac:dyDescent="0.25">
      <c r="A2475" s="2" t="s">
        <v>4245</v>
      </c>
      <c r="B2475" s="2">
        <v>108</v>
      </c>
      <c r="C2475" s="2">
        <v>109306210</v>
      </c>
      <c r="D2475" s="2" t="s">
        <v>582</v>
      </c>
      <c r="E2475" s="2" t="s">
        <v>4246</v>
      </c>
      <c r="F2475" s="2" t="s">
        <v>14</v>
      </c>
      <c r="G2475" s="2" t="s">
        <v>135</v>
      </c>
      <c r="H2475" s="2">
        <v>15800000</v>
      </c>
      <c r="I2475" s="2">
        <v>5.5</v>
      </c>
      <c r="J2475" s="2">
        <f t="shared" si="18"/>
        <v>93506210</v>
      </c>
      <c r="K2475" s="2">
        <f t="shared" si="19"/>
        <v>-2.1092188144365791E-2</v>
      </c>
      <c r="L2475" s="2" t="str">
        <f>IF(ISNUMBER(SEARCH("|",IMDB_Movies!$D2475)),LEFT(IMDB_Movies!$D2475,SEARCH("|",IMDB_Movies!$D2475)-1),IMDB_Movies!$D2475)</f>
        <v>Action</v>
      </c>
      <c r="V2475" s="2"/>
      <c r="W2475" s="2"/>
    </row>
    <row r="2476" spans="1:23" ht="12.5" x14ac:dyDescent="0.25">
      <c r="A2476" s="2" t="s">
        <v>284</v>
      </c>
      <c r="B2476" s="2">
        <v>145</v>
      </c>
      <c r="C2476" s="2">
        <v>70001698</v>
      </c>
      <c r="D2476" s="2" t="s">
        <v>2416</v>
      </c>
      <c r="E2476" s="2" t="s">
        <v>4247</v>
      </c>
      <c r="F2476" s="2" t="s">
        <v>14</v>
      </c>
      <c r="G2476" s="2" t="s">
        <v>15</v>
      </c>
      <c r="H2476" s="2">
        <v>14000000</v>
      </c>
      <c r="I2476" s="2">
        <v>7.2</v>
      </c>
      <c r="J2476" s="2">
        <f t="shared" si="18"/>
        <v>56001698</v>
      </c>
      <c r="K2476" s="2">
        <f t="shared" si="19"/>
        <v>-2.1102688414960703E-2</v>
      </c>
      <c r="L2476" s="2" t="str">
        <f>IF(ISNUMBER(SEARCH("|",IMDB_Movies!$D2476)),LEFT(IMDB_Movies!$D2476,SEARCH("|",IMDB_Movies!$D2476)-1),IMDB_Movies!$D2476)</f>
        <v>Biography</v>
      </c>
      <c r="V2476" s="2"/>
      <c r="W2476" s="2"/>
    </row>
    <row r="2477" spans="1:23" ht="12.5" x14ac:dyDescent="0.25">
      <c r="A2477" s="2" t="s">
        <v>264</v>
      </c>
      <c r="B2477" s="2">
        <v>98</v>
      </c>
      <c r="C2477" s="2">
        <v>68856263</v>
      </c>
      <c r="D2477" s="2" t="s">
        <v>2607</v>
      </c>
      <c r="E2477" s="2" t="s">
        <v>4248</v>
      </c>
      <c r="F2477" s="2" t="s">
        <v>14</v>
      </c>
      <c r="G2477" s="2" t="s">
        <v>15</v>
      </c>
      <c r="H2477" s="2">
        <v>15000000</v>
      </c>
      <c r="I2477" s="2">
        <v>6.9</v>
      </c>
      <c r="J2477" s="2">
        <f t="shared" si="18"/>
        <v>53856263</v>
      </c>
      <c r="K2477" s="2">
        <f t="shared" si="19"/>
        <v>-2.1087176214991683E-2</v>
      </c>
      <c r="L2477" s="2" t="str">
        <f>IF(ISNUMBER(SEARCH("|",IMDB_Movies!$D2477)),LEFT(IMDB_Movies!$D2477,SEARCH("|",IMDB_Movies!$D2477)-1),IMDB_Movies!$D2477)</f>
        <v>Adventure</v>
      </c>
      <c r="V2477" s="2"/>
      <c r="W2477" s="2"/>
    </row>
    <row r="2478" spans="1:23" ht="12.5" x14ac:dyDescent="0.25">
      <c r="A2478" s="2" t="s">
        <v>1860</v>
      </c>
      <c r="B2478" s="2">
        <v>101</v>
      </c>
      <c r="C2478" s="2">
        <v>51527787</v>
      </c>
      <c r="D2478" s="2" t="s">
        <v>2228</v>
      </c>
      <c r="E2478" s="2" t="s">
        <v>4249</v>
      </c>
      <c r="F2478" s="2" t="s">
        <v>14</v>
      </c>
      <c r="G2478" s="2" t="s">
        <v>15</v>
      </c>
      <c r="H2478" s="2">
        <v>15000000</v>
      </c>
      <c r="I2478" s="2">
        <v>5.5</v>
      </c>
      <c r="J2478" s="2">
        <f t="shared" si="18"/>
        <v>36527787</v>
      </c>
      <c r="K2478" s="2">
        <f t="shared" si="19"/>
        <v>-2.1074810227996895E-2</v>
      </c>
      <c r="L2478" s="2" t="str">
        <f>IF(ISNUMBER(SEARCH("|",IMDB_Movies!$D2478)),LEFT(IMDB_Movies!$D2478,SEARCH("|",IMDB_Movies!$D2478)-1),IMDB_Movies!$D2478)</f>
        <v>Horror</v>
      </c>
      <c r="V2478" s="2"/>
      <c r="W2478" s="2"/>
    </row>
    <row r="2479" spans="1:23" ht="12.5" x14ac:dyDescent="0.25">
      <c r="A2479" s="2" t="s">
        <v>3169</v>
      </c>
      <c r="B2479" s="2">
        <v>109</v>
      </c>
      <c r="C2479" s="2">
        <v>61356221</v>
      </c>
      <c r="D2479" s="2" t="s">
        <v>2586</v>
      </c>
      <c r="E2479" s="2" t="s">
        <v>4250</v>
      </c>
      <c r="F2479" s="2" t="s">
        <v>14</v>
      </c>
      <c r="G2479" s="2" t="s">
        <v>15</v>
      </c>
      <c r="H2479" s="2">
        <v>14000000</v>
      </c>
      <c r="I2479" s="2">
        <v>5.2</v>
      </c>
      <c r="J2479" s="2">
        <f t="shared" si="18"/>
        <v>47356221</v>
      </c>
      <c r="K2479" s="2">
        <f t="shared" si="19"/>
        <v>-2.106209727264681E-2</v>
      </c>
      <c r="L2479" s="2" t="str">
        <f>IF(ISNUMBER(SEARCH("|",IMDB_Movies!$D2479)),LEFT(IMDB_Movies!$D2479,SEARCH("|",IMDB_Movies!$D2479)-1),IMDB_Movies!$D2479)</f>
        <v>Drama</v>
      </c>
      <c r="V2479" s="2"/>
      <c r="W2479" s="2"/>
    </row>
    <row r="2480" spans="1:23" ht="12.5" x14ac:dyDescent="0.25">
      <c r="A2480" s="2" t="s">
        <v>2661</v>
      </c>
      <c r="B2480" s="2">
        <v>123</v>
      </c>
      <c r="C2480" s="2">
        <v>46800000</v>
      </c>
      <c r="D2480" s="2" t="s">
        <v>90</v>
      </c>
      <c r="E2480" s="2" t="s">
        <v>4251</v>
      </c>
      <c r="F2480" s="2" t="s">
        <v>14</v>
      </c>
      <c r="G2480" s="2" t="s">
        <v>22</v>
      </c>
      <c r="H2480" s="2">
        <v>14000000</v>
      </c>
      <c r="I2480" s="2">
        <v>7.1</v>
      </c>
      <c r="J2480" s="2">
        <f t="shared" si="18"/>
        <v>32800000</v>
      </c>
      <c r="K2480" s="2">
        <f t="shared" si="19"/>
        <v>-2.1046165693014894E-2</v>
      </c>
      <c r="L2480" s="2" t="str">
        <f>IF(ISNUMBER(SEARCH("|",IMDB_Movies!$D2480)),LEFT(IMDB_Movies!$D2480,SEARCH("|",IMDB_Movies!$D2480)-1),IMDB_Movies!$D2480)</f>
        <v>Action</v>
      </c>
      <c r="V2480" s="2"/>
      <c r="W2480" s="2"/>
    </row>
    <row r="2481" spans="1:23" ht="12.5" x14ac:dyDescent="0.25">
      <c r="A2481" s="2" t="s">
        <v>4252</v>
      </c>
      <c r="B2481" s="2">
        <v>99</v>
      </c>
      <c r="C2481" s="2">
        <v>38048637</v>
      </c>
      <c r="D2481" s="2" t="s">
        <v>1050</v>
      </c>
      <c r="E2481" s="2" t="s">
        <v>4253</v>
      </c>
      <c r="F2481" s="2" t="s">
        <v>14</v>
      </c>
      <c r="G2481" s="2" t="s">
        <v>15</v>
      </c>
      <c r="H2481" s="2">
        <v>14000000</v>
      </c>
      <c r="I2481" s="2">
        <v>5.5</v>
      </c>
      <c r="J2481" s="2">
        <f t="shared" si="18"/>
        <v>24048637</v>
      </c>
      <c r="K2481" s="2">
        <f t="shared" si="19"/>
        <v>-2.1032204654840233E-2</v>
      </c>
      <c r="L2481" s="2" t="str">
        <f>IF(ISNUMBER(SEARCH("|",IMDB_Movies!$D2481)),LEFT(IMDB_Movies!$D2481,SEARCH("|",IMDB_Movies!$D2481)-1),IMDB_Movies!$D2481)</f>
        <v>Horror</v>
      </c>
      <c r="V2481" s="2"/>
      <c r="W2481" s="2"/>
    </row>
    <row r="2482" spans="1:23" ht="12.5" x14ac:dyDescent="0.25">
      <c r="A2482" s="2" t="s">
        <v>4254</v>
      </c>
      <c r="B2482" s="2">
        <v>107</v>
      </c>
      <c r="C2482" s="2">
        <v>34793160</v>
      </c>
      <c r="D2482" s="2" t="s">
        <v>2349</v>
      </c>
      <c r="E2482" s="2" t="s">
        <v>4255</v>
      </c>
      <c r="F2482" s="2" t="s">
        <v>14</v>
      </c>
      <c r="G2482" s="2" t="s">
        <v>15</v>
      </c>
      <c r="H2482" s="2">
        <v>14000000</v>
      </c>
      <c r="I2482" s="2">
        <v>6.7</v>
      </c>
      <c r="J2482" s="2">
        <f t="shared" si="18"/>
        <v>20793160</v>
      </c>
      <c r="K2482" s="2">
        <f t="shared" si="19"/>
        <v>-2.1020964786651903E-2</v>
      </c>
      <c r="L2482" s="2" t="str">
        <f>IF(ISNUMBER(SEARCH("|",IMDB_Movies!$D2482)),LEFT(IMDB_Movies!$D2482,SEARCH("|",IMDB_Movies!$D2482)-1),IMDB_Movies!$D2482)</f>
        <v>Adventure</v>
      </c>
      <c r="V2482" s="2"/>
      <c r="W2482" s="2"/>
    </row>
    <row r="2483" spans="1:23" ht="12.5" x14ac:dyDescent="0.25">
      <c r="A2483" s="2" t="s">
        <v>3200</v>
      </c>
      <c r="B2483" s="2">
        <v>81</v>
      </c>
      <c r="C2483" s="2">
        <v>30628981</v>
      </c>
      <c r="D2483" s="2" t="s">
        <v>600</v>
      </c>
      <c r="E2483" s="2" t="s">
        <v>4256</v>
      </c>
      <c r="F2483" s="2" t="s">
        <v>14</v>
      </c>
      <c r="G2483" s="2" t="s">
        <v>15</v>
      </c>
      <c r="H2483" s="2">
        <v>14000000</v>
      </c>
      <c r="I2483" s="2">
        <v>5</v>
      </c>
      <c r="J2483" s="2">
        <f t="shared" si="18"/>
        <v>16628981</v>
      </c>
      <c r="K2483" s="2">
        <f t="shared" si="19"/>
        <v>-2.1011023603048736E-2</v>
      </c>
      <c r="L2483" s="2" t="str">
        <f>IF(ISNUMBER(SEARCH("|",IMDB_Movies!$D2483)),LEFT(IMDB_Movies!$D2483,SEARCH("|",IMDB_Movies!$D2483)-1),IMDB_Movies!$D2483)</f>
        <v>Comedy</v>
      </c>
      <c r="V2483" s="2"/>
      <c r="W2483" s="2"/>
    </row>
    <row r="2484" spans="1:23" ht="12.5" x14ac:dyDescent="0.25">
      <c r="A2484" s="2" t="s">
        <v>1677</v>
      </c>
      <c r="B2484" s="2">
        <v>105</v>
      </c>
      <c r="C2484" s="2">
        <v>29959436</v>
      </c>
      <c r="D2484" s="2" t="s">
        <v>2000</v>
      </c>
      <c r="E2484" s="2" t="s">
        <v>4257</v>
      </c>
      <c r="F2484" s="2" t="s">
        <v>14</v>
      </c>
      <c r="G2484" s="2" t="s">
        <v>22</v>
      </c>
      <c r="H2484" s="2">
        <v>13000000</v>
      </c>
      <c r="I2484" s="2">
        <v>6.4</v>
      </c>
      <c r="J2484" s="2">
        <f t="shared" si="18"/>
        <v>16959436</v>
      </c>
      <c r="K2484" s="2">
        <f t="shared" si="19"/>
        <v>-2.1002987077240888E-2</v>
      </c>
      <c r="L2484" s="2" t="str">
        <f>IF(ISNUMBER(SEARCH("|",IMDB_Movies!$D2484)),LEFT(IMDB_Movies!$D2484,SEARCH("|",IMDB_Movies!$D2484)-1),IMDB_Movies!$D2484)</f>
        <v>Biography</v>
      </c>
      <c r="V2484" s="2"/>
      <c r="W2484" s="2"/>
    </row>
    <row r="2485" spans="1:23" ht="12.5" x14ac:dyDescent="0.25">
      <c r="A2485" s="2" t="s">
        <v>4138</v>
      </c>
      <c r="B2485" s="2">
        <v>82</v>
      </c>
      <c r="C2485" s="2">
        <v>25571351</v>
      </c>
      <c r="D2485" s="2" t="s">
        <v>2904</v>
      </c>
      <c r="E2485" s="2" t="s">
        <v>4258</v>
      </c>
      <c r="F2485" s="2" t="s">
        <v>14</v>
      </c>
      <c r="G2485" s="2" t="s">
        <v>15</v>
      </c>
      <c r="H2485" s="2">
        <v>14000000</v>
      </c>
      <c r="I2485" s="2">
        <v>6.6</v>
      </c>
      <c r="J2485" s="2">
        <f t="shared" si="18"/>
        <v>11571351</v>
      </c>
      <c r="K2485" s="2">
        <f t="shared" si="19"/>
        <v>-2.0994450899272137E-2</v>
      </c>
      <c r="L2485" s="2" t="str">
        <f>IF(ISNUMBER(SEARCH("|",IMDB_Movies!$D2485)),LEFT(IMDB_Movies!$D2485,SEARCH("|",IMDB_Movies!$D2485)-1),IMDB_Movies!$D2485)</f>
        <v>Adventure</v>
      </c>
      <c r="V2485" s="2"/>
      <c r="W2485" s="2"/>
    </row>
    <row r="2486" spans="1:23" ht="12.5" x14ac:dyDescent="0.25">
      <c r="A2486" s="2" t="s">
        <v>1020</v>
      </c>
      <c r="B2486" s="2">
        <v>109</v>
      </c>
      <c r="C2486" s="2">
        <v>27515786</v>
      </c>
      <c r="D2486" s="2" t="s">
        <v>85</v>
      </c>
      <c r="E2486" s="2" t="s">
        <v>4259</v>
      </c>
      <c r="F2486" s="2" t="s">
        <v>14</v>
      </c>
      <c r="G2486" s="2" t="s">
        <v>15</v>
      </c>
      <c r="H2486" s="2">
        <v>14000000</v>
      </c>
      <c r="I2486" s="2">
        <v>5.9</v>
      </c>
      <c r="J2486" s="2">
        <f t="shared" si="18"/>
        <v>13515786</v>
      </c>
      <c r="K2486" s="2">
        <f t="shared" si="19"/>
        <v>-2.098907798335873E-2</v>
      </c>
      <c r="L2486" s="2" t="str">
        <f>IF(ISNUMBER(SEARCH("|",IMDB_Movies!$D2486)),LEFT(IMDB_Movies!$D2486,SEARCH("|",IMDB_Movies!$D2486)-1),IMDB_Movies!$D2486)</f>
        <v>Drama</v>
      </c>
      <c r="V2486" s="2"/>
      <c r="W2486" s="2"/>
    </row>
    <row r="2487" spans="1:23" ht="12.5" x14ac:dyDescent="0.25">
      <c r="A2487" s="2" t="s">
        <v>1557</v>
      </c>
      <c r="B2487" s="2">
        <v>95</v>
      </c>
      <c r="C2487" s="2">
        <v>25482931</v>
      </c>
      <c r="D2487" s="2" t="s">
        <v>150</v>
      </c>
      <c r="E2487" s="2" t="s">
        <v>4260</v>
      </c>
      <c r="F2487" s="2" t="s">
        <v>14</v>
      </c>
      <c r="G2487" s="2" t="s">
        <v>15</v>
      </c>
      <c r="H2487" s="2">
        <v>14000000</v>
      </c>
      <c r="I2487" s="2">
        <v>5.7</v>
      </c>
      <c r="J2487" s="2">
        <f t="shared" si="18"/>
        <v>11482931</v>
      </c>
      <c r="K2487" s="2">
        <f t="shared" si="19"/>
        <v>-2.0982615568987065E-2</v>
      </c>
      <c r="L2487" s="2" t="str">
        <f>IF(ISNUMBER(SEARCH("|",IMDB_Movies!$D2487)),LEFT(IMDB_Movies!$D2487,SEARCH("|",IMDB_Movies!$D2487)-1),IMDB_Movies!$D2487)</f>
        <v>Action</v>
      </c>
      <c r="V2487" s="2"/>
      <c r="W2487" s="2"/>
    </row>
    <row r="2488" spans="1:23" ht="12.5" x14ac:dyDescent="0.25">
      <c r="A2488" s="2" t="s">
        <v>2115</v>
      </c>
      <c r="B2488" s="2">
        <v>100</v>
      </c>
      <c r="C2488" s="2">
        <v>19900000</v>
      </c>
      <c r="D2488" s="2" t="s">
        <v>3143</v>
      </c>
      <c r="E2488" s="2" t="s">
        <v>4261</v>
      </c>
      <c r="F2488" s="2" t="s">
        <v>14</v>
      </c>
      <c r="G2488" s="2" t="s">
        <v>15</v>
      </c>
      <c r="H2488" s="2">
        <v>20000000</v>
      </c>
      <c r="I2488" s="2">
        <v>4.5</v>
      </c>
      <c r="J2488" s="2">
        <f t="shared" si="18"/>
        <v>-100000</v>
      </c>
      <c r="K2488" s="2">
        <f t="shared" si="19"/>
        <v>-2.0977275181257259E-2</v>
      </c>
      <c r="L2488" s="2" t="str">
        <f>IF(ISNUMBER(SEARCH("|",IMDB_Movies!$D2488)),LEFT(IMDB_Movies!$D2488,SEARCH("|",IMDB_Movies!$D2488)-1),IMDB_Movies!$D2488)</f>
        <v>Comedy</v>
      </c>
      <c r="V2488" s="2"/>
      <c r="W2488" s="2"/>
    </row>
    <row r="2489" spans="1:23" ht="12.5" x14ac:dyDescent="0.25">
      <c r="A2489" s="2" t="s">
        <v>3818</v>
      </c>
      <c r="B2489" s="2">
        <v>91</v>
      </c>
      <c r="C2489" s="2">
        <v>16298046</v>
      </c>
      <c r="D2489" s="2" t="s">
        <v>1050</v>
      </c>
      <c r="E2489" s="2" t="s">
        <v>4262</v>
      </c>
      <c r="F2489" s="2" t="s">
        <v>14</v>
      </c>
      <c r="G2489" s="2" t="s">
        <v>22</v>
      </c>
      <c r="H2489" s="2">
        <v>14000000</v>
      </c>
      <c r="I2489" s="2">
        <v>5</v>
      </c>
      <c r="J2489" s="2">
        <f t="shared" si="18"/>
        <v>2298046</v>
      </c>
      <c r="K2489" s="2">
        <f t="shared" si="19"/>
        <v>-2.0976439909337893E-2</v>
      </c>
      <c r="L2489" s="2" t="str">
        <f>IF(ISNUMBER(SEARCH("|",IMDB_Movies!$D2489)),LEFT(IMDB_Movies!$D2489,SEARCH("|",IMDB_Movies!$D2489)-1),IMDB_Movies!$D2489)</f>
        <v>Horror</v>
      </c>
      <c r="V2489" s="2"/>
      <c r="W2489" s="2"/>
    </row>
    <row r="2490" spans="1:23" ht="12.5" x14ac:dyDescent="0.25">
      <c r="A2490" s="2" t="s">
        <v>1918</v>
      </c>
      <c r="B2490" s="2">
        <v>90</v>
      </c>
      <c r="C2490" s="2">
        <v>15549702</v>
      </c>
      <c r="D2490" s="2" t="s">
        <v>600</v>
      </c>
      <c r="E2490" s="2" t="s">
        <v>4263</v>
      </c>
      <c r="F2490" s="2" t="s">
        <v>14</v>
      </c>
      <c r="G2490" s="2" t="s">
        <v>15</v>
      </c>
      <c r="H2490" s="2">
        <v>14000000</v>
      </c>
      <c r="I2490" s="2">
        <v>4.5999999999999996</v>
      </c>
      <c r="J2490" s="2">
        <f t="shared" si="18"/>
        <v>1549702</v>
      </c>
      <c r="K2490" s="2">
        <f t="shared" si="19"/>
        <v>-2.0976986408072718E-2</v>
      </c>
      <c r="L2490" s="2" t="str">
        <f>IF(ISNUMBER(SEARCH("|",IMDB_Movies!$D2490)),LEFT(IMDB_Movies!$D2490,SEARCH("|",IMDB_Movies!$D2490)-1),IMDB_Movies!$D2490)</f>
        <v>Comedy</v>
      </c>
      <c r="V2490" s="2"/>
      <c r="W2490" s="2"/>
    </row>
    <row r="2491" spans="1:23" ht="12.5" x14ac:dyDescent="0.25">
      <c r="A2491" s="2" t="s">
        <v>506</v>
      </c>
      <c r="B2491" s="2">
        <v>108</v>
      </c>
      <c r="C2491" s="2">
        <v>15483540</v>
      </c>
      <c r="D2491" s="2" t="s">
        <v>4264</v>
      </c>
      <c r="E2491" s="2" t="s">
        <v>4265</v>
      </c>
      <c r="F2491" s="2" t="s">
        <v>14</v>
      </c>
      <c r="G2491" s="2" t="s">
        <v>15</v>
      </c>
      <c r="H2491" s="2">
        <v>14000000</v>
      </c>
      <c r="I2491" s="2">
        <v>6.5</v>
      </c>
      <c r="J2491" s="2">
        <f t="shared" si="18"/>
        <v>1483540</v>
      </c>
      <c r="K2491" s="2">
        <f t="shared" si="19"/>
        <v>-2.0978070732994101E-2</v>
      </c>
      <c r="L2491" s="2" t="str">
        <f>IF(ISNUMBER(SEARCH("|",IMDB_Movies!$D2491)),LEFT(IMDB_Movies!$D2491,SEARCH("|",IMDB_Movies!$D2491)-1),IMDB_Movies!$D2491)</f>
        <v>Adventure</v>
      </c>
      <c r="V2491" s="2"/>
      <c r="W2491" s="2"/>
    </row>
    <row r="2492" spans="1:23" ht="12.5" x14ac:dyDescent="0.25">
      <c r="A2492" s="2" t="s">
        <v>4266</v>
      </c>
      <c r="B2492" s="2">
        <v>103</v>
      </c>
      <c r="C2492" s="2">
        <v>20246959</v>
      </c>
      <c r="D2492" s="2" t="s">
        <v>600</v>
      </c>
      <c r="E2492" s="2" t="s">
        <v>4267</v>
      </c>
      <c r="F2492" s="2" t="s">
        <v>14</v>
      </c>
      <c r="G2492" s="2" t="s">
        <v>15</v>
      </c>
      <c r="H2492" s="2">
        <v>14000000</v>
      </c>
      <c r="I2492" s="2">
        <v>4.9000000000000004</v>
      </c>
      <c r="J2492" s="2">
        <f t="shared" si="18"/>
        <v>6246959</v>
      </c>
      <c r="K2492" s="2">
        <f t="shared" si="19"/>
        <v>-2.0979204652055626E-2</v>
      </c>
      <c r="L2492" s="2" t="str">
        <f>IF(ISNUMBER(SEARCH("|",IMDB_Movies!$D2492)),LEFT(IMDB_Movies!$D2492,SEARCH("|",IMDB_Movies!$D2492)-1),IMDB_Movies!$D2492)</f>
        <v>Comedy</v>
      </c>
      <c r="V2492" s="2"/>
      <c r="W2492" s="2"/>
    </row>
    <row r="2493" spans="1:23" ht="12.5" x14ac:dyDescent="0.25">
      <c r="A2493" s="2" t="s">
        <v>4268</v>
      </c>
      <c r="B2493" s="2">
        <v>96</v>
      </c>
      <c r="C2493" s="2">
        <v>15062898</v>
      </c>
      <c r="D2493" s="2" t="s">
        <v>709</v>
      </c>
      <c r="E2493" s="2" t="s">
        <v>4269</v>
      </c>
      <c r="F2493" s="2" t="s">
        <v>14</v>
      </c>
      <c r="G2493" s="2" t="s">
        <v>15</v>
      </c>
      <c r="H2493" s="2">
        <v>14000000</v>
      </c>
      <c r="I2493" s="2">
        <v>6</v>
      </c>
      <c r="J2493" s="2">
        <f t="shared" si="18"/>
        <v>1062898</v>
      </c>
      <c r="K2493" s="2">
        <f t="shared" si="19"/>
        <v>-2.0977056239068658E-2</v>
      </c>
      <c r="L2493" s="2" t="str">
        <f>IF(ISNUMBER(SEARCH("|",IMDB_Movies!$D2493)),LEFT(IMDB_Movies!$D2493,SEARCH("|",IMDB_Movies!$D2493)-1),IMDB_Movies!$D2493)</f>
        <v>Comedy</v>
      </c>
      <c r="V2493" s="2"/>
      <c r="W2493" s="2"/>
    </row>
    <row r="2494" spans="1:23" ht="12.5" x14ac:dyDescent="0.25">
      <c r="A2494" s="2" t="s">
        <v>4270</v>
      </c>
      <c r="B2494" s="2">
        <v>117</v>
      </c>
      <c r="C2494" s="2">
        <v>14348123</v>
      </c>
      <c r="D2494" s="2" t="s">
        <v>4271</v>
      </c>
      <c r="E2494" s="2" t="s">
        <v>4272</v>
      </c>
      <c r="F2494" s="2" t="s">
        <v>14</v>
      </c>
      <c r="G2494" s="2" t="s">
        <v>2862</v>
      </c>
      <c r="H2494" s="2">
        <v>12000000</v>
      </c>
      <c r="I2494" s="2">
        <v>6.9</v>
      </c>
      <c r="J2494" s="2">
        <f t="shared" si="18"/>
        <v>2348123</v>
      </c>
      <c r="K2494" s="2">
        <f t="shared" si="19"/>
        <v>-2.0978497643692671E-2</v>
      </c>
      <c r="L2494" s="2" t="str">
        <f>IF(ISNUMBER(SEARCH("|",IMDB_Movies!$D2494)),LEFT(IMDB_Movies!$D2494,SEARCH("|",IMDB_Movies!$D2494)-1),IMDB_Movies!$D2494)</f>
        <v>Comedy</v>
      </c>
      <c r="V2494" s="2"/>
      <c r="W2494" s="2"/>
    </row>
    <row r="2495" spans="1:23" ht="12.5" x14ac:dyDescent="0.25">
      <c r="A2495" s="2" t="s">
        <v>4273</v>
      </c>
      <c r="B2495" s="2">
        <v>93</v>
      </c>
      <c r="C2495" s="2">
        <v>15171475</v>
      </c>
      <c r="D2495" s="2" t="s">
        <v>2465</v>
      </c>
      <c r="E2495" s="2" t="s">
        <v>4274</v>
      </c>
      <c r="F2495" s="2" t="s">
        <v>14</v>
      </c>
      <c r="G2495" s="2" t="s">
        <v>15</v>
      </c>
      <c r="H2495" s="2">
        <v>8500000</v>
      </c>
      <c r="I2495" s="2">
        <v>5.7</v>
      </c>
      <c r="J2495" s="2">
        <f t="shared" si="18"/>
        <v>6671475</v>
      </c>
      <c r="K2495" s="2">
        <f t="shared" si="19"/>
        <v>-2.0980818668337894E-2</v>
      </c>
      <c r="L2495" s="2" t="str">
        <f>IF(ISNUMBER(SEARCH("|",IMDB_Movies!$D2495)),LEFT(IMDB_Movies!$D2495,SEARCH("|",IMDB_Movies!$D2495)-1),IMDB_Movies!$D2495)</f>
        <v>Fantasy</v>
      </c>
      <c r="V2495" s="2"/>
      <c r="W2495" s="2"/>
    </row>
    <row r="2496" spans="1:23" ht="12.5" x14ac:dyDescent="0.25">
      <c r="A2496" s="2" t="s">
        <v>1725</v>
      </c>
      <c r="B2496" s="2">
        <v>115</v>
      </c>
      <c r="C2496" s="2">
        <v>13640000</v>
      </c>
      <c r="D2496" s="2" t="s">
        <v>891</v>
      </c>
      <c r="E2496" s="2" t="s">
        <v>4275</v>
      </c>
      <c r="F2496" s="2" t="s">
        <v>14</v>
      </c>
      <c r="G2496" s="2" t="s">
        <v>15</v>
      </c>
      <c r="H2496" s="2">
        <v>14000000</v>
      </c>
      <c r="I2496" s="2">
        <v>6.9</v>
      </c>
      <c r="J2496" s="2">
        <f t="shared" si="18"/>
        <v>-360000</v>
      </c>
      <c r="K2496" s="2">
        <f t="shared" si="19"/>
        <v>-2.0982860264531718E-2</v>
      </c>
      <c r="L2496" s="2" t="str">
        <f>IF(ISNUMBER(SEARCH("|",IMDB_Movies!$D2496)),LEFT(IMDB_Movies!$D2496,SEARCH("|",IMDB_Movies!$D2496)-1),IMDB_Movies!$D2496)</f>
        <v>Comedy</v>
      </c>
      <c r="V2496" s="2"/>
      <c r="W2496" s="2"/>
    </row>
    <row r="2497" spans="1:23" ht="12.5" x14ac:dyDescent="0.25">
      <c r="A2497" s="2" t="s">
        <v>4276</v>
      </c>
      <c r="B2497" s="2">
        <v>85</v>
      </c>
      <c r="C2497" s="2">
        <v>12610731</v>
      </c>
      <c r="D2497" s="2" t="s">
        <v>790</v>
      </c>
      <c r="E2497" s="2" t="s">
        <v>4277</v>
      </c>
      <c r="F2497" s="2" t="s">
        <v>14</v>
      </c>
      <c r="G2497" s="2" t="s">
        <v>15</v>
      </c>
      <c r="H2497" s="2">
        <v>11000000</v>
      </c>
      <c r="I2497" s="2">
        <v>4.4000000000000004</v>
      </c>
      <c r="J2497" s="2">
        <f t="shared" si="18"/>
        <v>1610731</v>
      </c>
      <c r="K2497" s="2">
        <f t="shared" si="19"/>
        <v>-2.0985369512001514E-2</v>
      </c>
      <c r="L2497" s="2" t="str">
        <f>IF(ISNUMBER(SEARCH("|",IMDB_Movies!$D2497)),LEFT(IMDB_Movies!$D2497,SEARCH("|",IMDB_Movies!$D2497)-1),IMDB_Movies!$D2497)</f>
        <v>Action</v>
      </c>
      <c r="V2497" s="2"/>
      <c r="W2497" s="2"/>
    </row>
    <row r="2498" spans="1:23" ht="12.5" x14ac:dyDescent="0.25">
      <c r="A2498" s="2" t="s">
        <v>4278</v>
      </c>
      <c r="B2498" s="2">
        <v>112</v>
      </c>
      <c r="C2498" s="2">
        <v>11204499</v>
      </c>
      <c r="D2498" s="2" t="s">
        <v>2182</v>
      </c>
      <c r="E2498" s="2" t="s">
        <v>4279</v>
      </c>
      <c r="F2498" s="2" t="s">
        <v>14</v>
      </c>
      <c r="G2498" s="2" t="s">
        <v>15</v>
      </c>
      <c r="H2498" s="2">
        <v>14000000</v>
      </c>
      <c r="I2498" s="2">
        <v>7</v>
      </c>
      <c r="J2498" s="2">
        <f t="shared" si="18"/>
        <v>-2795501</v>
      </c>
      <c r="K2498" s="2">
        <f t="shared" si="19"/>
        <v>-2.0989528042181405E-2</v>
      </c>
      <c r="L2498" s="2" t="str">
        <f>IF(ISNUMBER(SEARCH("|",IMDB_Movies!$D2498)),LEFT(IMDB_Movies!$D2498,SEARCH("|",IMDB_Movies!$D2498)-1),IMDB_Movies!$D2498)</f>
        <v>Drama</v>
      </c>
      <c r="V2498" s="2"/>
      <c r="W2498" s="2"/>
    </row>
    <row r="2499" spans="1:23" ht="12.5" x14ac:dyDescent="0.25">
      <c r="A2499" s="2" t="s">
        <v>735</v>
      </c>
      <c r="B2499" s="2">
        <v>86</v>
      </c>
      <c r="C2499" s="2">
        <v>10397365</v>
      </c>
      <c r="D2499" s="2" t="s">
        <v>4280</v>
      </c>
      <c r="E2499" s="2" t="s">
        <v>4281</v>
      </c>
      <c r="F2499" s="2" t="s">
        <v>14</v>
      </c>
      <c r="G2499" s="2" t="s">
        <v>15</v>
      </c>
      <c r="H2499" s="2">
        <v>14000000</v>
      </c>
      <c r="I2499" s="2">
        <v>5.4</v>
      </c>
      <c r="J2499" s="2">
        <f t="shared" si="18"/>
        <v>-3602635</v>
      </c>
      <c r="K2499" s="2">
        <f t="shared" si="19"/>
        <v>-2.0993934793776911E-2</v>
      </c>
      <c r="L2499" s="2" t="str">
        <f>IF(ISNUMBER(SEARCH("|",IMDB_Movies!$D2499)),LEFT(IMDB_Movies!$D2499,SEARCH("|",IMDB_Movies!$D2499)-1),IMDB_Movies!$D2499)</f>
        <v>Comedy</v>
      </c>
      <c r="V2499" s="2"/>
      <c r="W2499" s="2"/>
    </row>
    <row r="2500" spans="1:23" ht="12.5" x14ac:dyDescent="0.25">
      <c r="A2500" s="2" t="s">
        <v>4282</v>
      </c>
      <c r="B2500" s="2">
        <v>86</v>
      </c>
      <c r="C2500" s="2">
        <v>9402410</v>
      </c>
      <c r="D2500" s="2" t="s">
        <v>1450</v>
      </c>
      <c r="E2500" s="2" t="s">
        <v>4283</v>
      </c>
      <c r="F2500" s="2" t="s">
        <v>14</v>
      </c>
      <c r="G2500" s="2" t="s">
        <v>15</v>
      </c>
      <c r="H2500" s="2">
        <v>14000000</v>
      </c>
      <c r="I2500" s="2">
        <v>5.4</v>
      </c>
      <c r="J2500" s="2">
        <f t="shared" si="18"/>
        <v>-4597590</v>
      </c>
      <c r="K2500" s="2">
        <f t="shared" si="19"/>
        <v>-2.0998994629637353E-2</v>
      </c>
      <c r="L2500" s="2" t="str">
        <f>IF(ISNUMBER(SEARCH("|",IMDB_Movies!$D2500)),LEFT(IMDB_Movies!$D2500,SEARCH("|",IMDB_Movies!$D2500)-1),IMDB_Movies!$D2500)</f>
        <v>Adventure</v>
      </c>
      <c r="V2500" s="2"/>
      <c r="W2500" s="2"/>
    </row>
    <row r="2501" spans="1:23" ht="12.5" x14ac:dyDescent="0.25">
      <c r="A2501" s="2" t="s">
        <v>4284</v>
      </c>
      <c r="B2501" s="2">
        <v>137</v>
      </c>
      <c r="C2501" s="2">
        <v>5459824</v>
      </c>
      <c r="D2501" s="2" t="s">
        <v>85</v>
      </c>
      <c r="E2501" s="2" t="s">
        <v>4285</v>
      </c>
      <c r="F2501" s="2" t="s">
        <v>14</v>
      </c>
      <c r="G2501" s="2" t="s">
        <v>15</v>
      </c>
      <c r="H2501" s="2">
        <v>26000000</v>
      </c>
      <c r="I2501" s="2">
        <v>7.6</v>
      </c>
      <c r="J2501" s="2">
        <f t="shared" si="18"/>
        <v>-20540176</v>
      </c>
      <c r="K2501" s="2">
        <f t="shared" si="19"/>
        <v>-2.1004873171123404E-2</v>
      </c>
      <c r="L2501" s="2" t="str">
        <f>IF(ISNUMBER(SEARCH("|",IMDB_Movies!$D2501)),LEFT(IMDB_Movies!$D2501,SEARCH("|",IMDB_Movies!$D2501)-1),IMDB_Movies!$D2501)</f>
        <v>Drama</v>
      </c>
      <c r="V2501" s="2"/>
      <c r="W2501" s="2"/>
    </row>
    <row r="2502" spans="1:23" ht="12.5" x14ac:dyDescent="0.25">
      <c r="A2502" s="2" t="s">
        <v>4286</v>
      </c>
      <c r="B2502" s="2">
        <v>90</v>
      </c>
      <c r="C2502" s="2">
        <v>5108820</v>
      </c>
      <c r="D2502" s="2" t="s">
        <v>690</v>
      </c>
      <c r="E2502" s="2" t="s">
        <v>4287</v>
      </c>
      <c r="F2502" s="2" t="s">
        <v>14</v>
      </c>
      <c r="G2502" s="2" t="s">
        <v>15</v>
      </c>
      <c r="H2502" s="2">
        <v>24000000</v>
      </c>
      <c r="I2502" s="2">
        <v>5.9</v>
      </c>
      <c r="J2502" s="2">
        <f t="shared" si="18"/>
        <v>-18891180</v>
      </c>
      <c r="K2502" s="2">
        <f t="shared" si="19"/>
        <v>-2.1005202324729782E-2</v>
      </c>
      <c r="L2502" s="2" t="str">
        <f>IF(ISNUMBER(SEARCH("|",IMDB_Movies!$D2502)),LEFT(IMDB_Movies!$D2502,SEARCH("|",IMDB_Movies!$D2502)-1),IMDB_Movies!$D2502)</f>
        <v>Drama</v>
      </c>
      <c r="V2502" s="2"/>
      <c r="W2502" s="2"/>
    </row>
    <row r="2503" spans="1:23" ht="12.5" x14ac:dyDescent="0.25">
      <c r="A2503" s="2" t="s">
        <v>3317</v>
      </c>
      <c r="B2503" s="2">
        <v>107</v>
      </c>
      <c r="C2503" s="2">
        <v>4741987</v>
      </c>
      <c r="D2503" s="2" t="s">
        <v>1180</v>
      </c>
      <c r="E2503" s="2" t="s">
        <v>4288</v>
      </c>
      <c r="F2503" s="2" t="s">
        <v>14</v>
      </c>
      <c r="G2503" s="2" t="s">
        <v>15</v>
      </c>
      <c r="H2503" s="2">
        <v>14000000</v>
      </c>
      <c r="I2503" s="2">
        <v>6.6</v>
      </c>
      <c r="J2503" s="2">
        <f t="shared" si="18"/>
        <v>-9258013</v>
      </c>
      <c r="K2503" s="2">
        <f t="shared" si="19"/>
        <v>-2.1007105451903266E-2</v>
      </c>
      <c r="L2503" s="2" t="str">
        <f>IF(ISNUMBER(SEARCH("|",IMDB_Movies!$D2503)),LEFT(IMDB_Movies!$D2503,SEARCH("|",IMDB_Movies!$D2503)-1),IMDB_Movies!$D2503)</f>
        <v>Drama</v>
      </c>
      <c r="V2503" s="2"/>
      <c r="W2503" s="2"/>
    </row>
    <row r="2504" spans="1:23" ht="12.5" x14ac:dyDescent="0.25">
      <c r="A2504" s="2" t="s">
        <v>439</v>
      </c>
      <c r="B2504" s="2">
        <v>98</v>
      </c>
      <c r="C2504" s="2">
        <v>4291965</v>
      </c>
      <c r="D2504" s="2" t="s">
        <v>2000</v>
      </c>
      <c r="E2504" s="2" t="s">
        <v>4289</v>
      </c>
      <c r="F2504" s="2" t="s">
        <v>14</v>
      </c>
      <c r="G2504" s="2" t="s">
        <v>686</v>
      </c>
      <c r="H2504" s="2">
        <v>14000000</v>
      </c>
      <c r="I2504" s="2">
        <v>6.7</v>
      </c>
      <c r="J2504" s="2">
        <f t="shared" si="18"/>
        <v>-9708035</v>
      </c>
      <c r="K2504" s="2">
        <f t="shared" si="19"/>
        <v>-2.1017010605774232E-2</v>
      </c>
      <c r="L2504" s="2" t="str">
        <f>IF(ISNUMBER(SEARCH("|",IMDB_Movies!$D2504)),LEFT(IMDB_Movies!$D2504,SEARCH("|",IMDB_Movies!$D2504)-1),IMDB_Movies!$D2504)</f>
        <v>Biography</v>
      </c>
      <c r="V2504" s="2"/>
      <c r="W2504" s="2"/>
    </row>
    <row r="2505" spans="1:23" ht="12.5" x14ac:dyDescent="0.25">
      <c r="A2505" s="2" t="s">
        <v>4290</v>
      </c>
      <c r="B2505" s="2">
        <v>84</v>
      </c>
      <c r="C2505" s="2">
        <v>3100650</v>
      </c>
      <c r="D2505" s="2" t="s">
        <v>2061</v>
      </c>
      <c r="E2505" s="2" t="s">
        <v>4291</v>
      </c>
      <c r="F2505" s="2" t="s">
        <v>14</v>
      </c>
      <c r="G2505" s="2" t="s">
        <v>15</v>
      </c>
      <c r="H2505" s="2">
        <v>14000000</v>
      </c>
      <c r="I2505" s="2">
        <v>3.9</v>
      </c>
      <c r="J2505" s="2">
        <f t="shared" si="18"/>
        <v>-10899350</v>
      </c>
      <c r="K2505" s="2">
        <f t="shared" si="19"/>
        <v>-2.1027336497952631E-2</v>
      </c>
      <c r="L2505" s="2" t="str">
        <f>IF(ISNUMBER(SEARCH("|",IMDB_Movies!$D2505)),LEFT(IMDB_Movies!$D2505,SEARCH("|",IMDB_Movies!$D2505)-1),IMDB_Movies!$D2505)</f>
        <v>Drama</v>
      </c>
      <c r="V2505" s="2"/>
      <c r="W2505" s="2"/>
    </row>
    <row r="2506" spans="1:23" ht="12.5" x14ac:dyDescent="0.25">
      <c r="A2506" s="2" t="s">
        <v>4003</v>
      </c>
      <c r="B2506" s="2">
        <v>139</v>
      </c>
      <c r="C2506" s="2">
        <v>2474000</v>
      </c>
      <c r="D2506" s="2" t="s">
        <v>2054</v>
      </c>
      <c r="E2506" s="2" t="s">
        <v>4292</v>
      </c>
      <c r="F2506" s="2" t="s">
        <v>14</v>
      </c>
      <c r="G2506" s="2" t="s">
        <v>686</v>
      </c>
      <c r="H2506" s="2">
        <v>14000000</v>
      </c>
      <c r="I2506" s="2">
        <v>5.7</v>
      </c>
      <c r="J2506" s="2">
        <f t="shared" si="18"/>
        <v>-11526000</v>
      </c>
      <c r="K2506" s="2">
        <f t="shared" si="19"/>
        <v>-2.103876547375615E-2</v>
      </c>
      <c r="L2506" s="2" t="str">
        <f>IF(ISNUMBER(SEARCH("|",IMDB_Movies!$D2506)),LEFT(IMDB_Movies!$D2506,SEARCH("|",IMDB_Movies!$D2506)-1),IMDB_Movies!$D2506)</f>
        <v>Biography</v>
      </c>
      <c r="V2506" s="2"/>
      <c r="W2506" s="2"/>
    </row>
    <row r="2507" spans="1:23" ht="12.5" x14ac:dyDescent="0.25">
      <c r="A2507" s="2" t="s">
        <v>4293</v>
      </c>
      <c r="B2507" s="2">
        <v>127</v>
      </c>
      <c r="C2507" s="2">
        <v>1000000</v>
      </c>
      <c r="D2507" s="2" t="s">
        <v>478</v>
      </c>
      <c r="E2507" s="2" t="s">
        <v>4294</v>
      </c>
      <c r="F2507" s="2" t="s">
        <v>14</v>
      </c>
      <c r="G2507" s="2" t="s">
        <v>4295</v>
      </c>
      <c r="H2507" s="2">
        <v>14000000</v>
      </c>
      <c r="I2507" s="2">
        <v>6.5</v>
      </c>
      <c r="J2507" s="2">
        <f t="shared" si="18"/>
        <v>-13000000</v>
      </c>
      <c r="K2507" s="2">
        <f t="shared" si="19"/>
        <v>-2.1050794303037294E-2</v>
      </c>
      <c r="L2507" s="2" t="str">
        <f>IF(ISNUMBER(SEARCH("|",IMDB_Movies!$D2507)),LEFT(IMDB_Movies!$D2507,SEARCH("|",IMDB_Movies!$D2507)-1),IMDB_Movies!$D2507)</f>
        <v>Action</v>
      </c>
      <c r="V2507" s="2"/>
      <c r="W2507" s="2"/>
    </row>
    <row r="2508" spans="1:23" ht="12.5" x14ac:dyDescent="0.25">
      <c r="A2508" s="2" t="s">
        <v>3652</v>
      </c>
      <c r="B2508" s="2">
        <v>150</v>
      </c>
      <c r="C2508" s="2">
        <v>3958500</v>
      </c>
      <c r="D2508" s="2" t="s">
        <v>2000</v>
      </c>
      <c r="E2508" s="2" t="s">
        <v>4296</v>
      </c>
      <c r="F2508" s="2" t="s">
        <v>14</v>
      </c>
      <c r="G2508" s="2" t="s">
        <v>22</v>
      </c>
      <c r="H2508" s="2">
        <v>8200000</v>
      </c>
      <c r="I2508" s="2">
        <v>6.8</v>
      </c>
      <c r="J2508" s="2">
        <f t="shared" si="18"/>
        <v>-4241500</v>
      </c>
      <c r="K2508" s="2">
        <f t="shared" si="19"/>
        <v>-2.1064233707470355E-2</v>
      </c>
      <c r="L2508" s="2" t="str">
        <f>IF(ISNUMBER(SEARCH("|",IMDB_Movies!$D2508)),LEFT(IMDB_Movies!$D2508,SEARCH("|",IMDB_Movies!$D2508)-1),IMDB_Movies!$D2508)</f>
        <v>Biography</v>
      </c>
      <c r="V2508" s="2"/>
      <c r="W2508" s="2"/>
    </row>
    <row r="2509" spans="1:23" ht="12.5" x14ac:dyDescent="0.25">
      <c r="A2509" s="2" t="s">
        <v>1839</v>
      </c>
      <c r="B2509" s="2">
        <v>132</v>
      </c>
      <c r="C2509" s="2">
        <v>274299</v>
      </c>
      <c r="D2509" s="2" t="s">
        <v>4297</v>
      </c>
      <c r="E2509" s="2" t="s">
        <v>4298</v>
      </c>
      <c r="F2509" s="2" t="s">
        <v>14</v>
      </c>
      <c r="G2509" s="2" t="s">
        <v>686</v>
      </c>
      <c r="H2509" s="2">
        <v>103000000</v>
      </c>
      <c r="I2509" s="2">
        <v>7.3</v>
      </c>
      <c r="J2509" s="2">
        <f t="shared" si="18"/>
        <v>-102725701</v>
      </c>
      <c r="K2509" s="2">
        <f t="shared" si="19"/>
        <v>-2.1079841217502129E-2</v>
      </c>
      <c r="L2509" s="2" t="str">
        <f>IF(ISNUMBER(SEARCH("|",IMDB_Movies!$D2509)),LEFT(IMDB_Movies!$D2509,SEARCH("|",IMDB_Movies!$D2509)-1),IMDB_Movies!$D2509)</f>
        <v>Biography</v>
      </c>
      <c r="V2509" s="2"/>
      <c r="W2509" s="2"/>
    </row>
    <row r="2510" spans="1:23" ht="12.5" x14ac:dyDescent="0.25">
      <c r="A2510" s="2" t="s">
        <v>851</v>
      </c>
      <c r="B2510" s="2">
        <v>115</v>
      </c>
      <c r="C2510" s="2">
        <v>183088</v>
      </c>
      <c r="D2510" s="2" t="s">
        <v>4271</v>
      </c>
      <c r="E2510" s="2" t="s">
        <v>4299</v>
      </c>
      <c r="F2510" s="2" t="s">
        <v>14</v>
      </c>
      <c r="G2510" s="2" t="s">
        <v>15</v>
      </c>
      <c r="H2510" s="2">
        <v>15000000</v>
      </c>
      <c r="I2510" s="2">
        <v>7</v>
      </c>
      <c r="J2510" s="2">
        <f t="shared" si="18"/>
        <v>-14816912</v>
      </c>
      <c r="K2510" s="2">
        <f t="shared" si="19"/>
        <v>-2.0998267738029913E-2</v>
      </c>
      <c r="L2510" s="2" t="str">
        <f>IF(ISNUMBER(SEARCH("|",IMDB_Movies!$D2510)),LEFT(IMDB_Movies!$D2510,SEARCH("|",IMDB_Movies!$D2510)-1),IMDB_Movies!$D2510)</f>
        <v>Comedy</v>
      </c>
      <c r="V2510" s="2"/>
      <c r="W2510" s="2"/>
    </row>
    <row r="2511" spans="1:23" ht="12.5" x14ac:dyDescent="0.25">
      <c r="A2511" s="2" t="s">
        <v>4300</v>
      </c>
      <c r="B2511" s="2">
        <v>186</v>
      </c>
      <c r="C2511" s="2">
        <v>46495</v>
      </c>
      <c r="D2511" s="2" t="s">
        <v>1180</v>
      </c>
      <c r="E2511" s="2" t="s">
        <v>4301</v>
      </c>
      <c r="F2511" s="2" t="s">
        <v>14</v>
      </c>
      <c r="G2511" s="2" t="s">
        <v>15</v>
      </c>
      <c r="H2511" s="2">
        <v>14000000</v>
      </c>
      <c r="I2511" s="2">
        <v>6.5</v>
      </c>
      <c r="J2511" s="2">
        <f t="shared" si="18"/>
        <v>-13953505</v>
      </c>
      <c r="K2511" s="2">
        <f t="shared" si="19"/>
        <v>-2.1011395077745642E-2</v>
      </c>
      <c r="L2511" s="2" t="str">
        <f>IF(ISNUMBER(SEARCH("|",IMDB_Movies!$D2511)),LEFT(IMDB_Movies!$D2511,SEARCH("|",IMDB_Movies!$D2511)-1),IMDB_Movies!$D2511)</f>
        <v>Drama</v>
      </c>
      <c r="V2511" s="2"/>
      <c r="W2511" s="2"/>
    </row>
    <row r="2512" spans="1:23" ht="12.5" x14ac:dyDescent="0.25">
      <c r="A2512" s="2" t="s">
        <v>1340</v>
      </c>
      <c r="B2512" s="2">
        <v>90</v>
      </c>
      <c r="C2512" s="2">
        <v>1752214</v>
      </c>
      <c r="D2512" s="2" t="s">
        <v>514</v>
      </c>
      <c r="E2512" s="2" t="s">
        <v>4302</v>
      </c>
      <c r="F2512" s="2" t="s">
        <v>14</v>
      </c>
      <c r="G2512" s="2" t="s">
        <v>15</v>
      </c>
      <c r="H2512" s="2">
        <v>14000000</v>
      </c>
      <c r="I2512" s="2">
        <v>7.7</v>
      </c>
      <c r="J2512" s="2">
        <f t="shared" si="18"/>
        <v>-12247786</v>
      </c>
      <c r="K2512" s="2">
        <f t="shared" si="19"/>
        <v>-2.1025766916718962E-2</v>
      </c>
      <c r="L2512" s="2" t="str">
        <f>IF(ISNUMBER(SEARCH("|",IMDB_Movies!$D2512)),LEFT(IMDB_Movies!$D2512,SEARCH("|",IMDB_Movies!$D2512)-1),IMDB_Movies!$D2512)</f>
        <v>Comedy</v>
      </c>
      <c r="V2512" s="2"/>
      <c r="W2512" s="2"/>
    </row>
    <row r="2513" spans="1:23" ht="12.5" x14ac:dyDescent="0.25">
      <c r="A2513" s="2" t="s">
        <v>393</v>
      </c>
      <c r="B2513" s="2">
        <v>134</v>
      </c>
      <c r="C2513" s="2">
        <v>83025853</v>
      </c>
      <c r="D2513" s="2" t="s">
        <v>85</v>
      </c>
      <c r="E2513" s="2" t="s">
        <v>4303</v>
      </c>
      <c r="F2513" s="2" t="s">
        <v>14</v>
      </c>
      <c r="G2513" s="2" t="s">
        <v>15</v>
      </c>
      <c r="H2513" s="2">
        <v>14000000</v>
      </c>
      <c r="I2513" s="2">
        <v>7.7</v>
      </c>
      <c r="J2513" s="2">
        <f t="shared" si="18"/>
        <v>69025853</v>
      </c>
      <c r="K2513" s="2">
        <f t="shared" si="19"/>
        <v>-2.1038534996352953E-2</v>
      </c>
      <c r="L2513" s="2" t="str">
        <f>IF(ISNUMBER(SEARCH("|",IMDB_Movies!$D2513)),LEFT(IMDB_Movies!$D2513,SEARCH("|",IMDB_Movies!$D2513)-1),IMDB_Movies!$D2513)</f>
        <v>Drama</v>
      </c>
      <c r="V2513" s="2"/>
      <c r="W2513" s="2"/>
    </row>
    <row r="2514" spans="1:23" ht="12.5" x14ac:dyDescent="0.25">
      <c r="A2514" s="2" t="s">
        <v>3595</v>
      </c>
      <c r="B2514" s="2">
        <v>97</v>
      </c>
      <c r="C2514" s="2">
        <v>56631572</v>
      </c>
      <c r="D2514" s="2" t="s">
        <v>600</v>
      </c>
      <c r="E2514" s="2" t="s">
        <v>4304</v>
      </c>
      <c r="F2514" s="2" t="s">
        <v>14</v>
      </c>
      <c r="G2514" s="2" t="s">
        <v>15</v>
      </c>
      <c r="H2514" s="2">
        <v>12000000</v>
      </c>
      <c r="I2514" s="2">
        <v>6.8</v>
      </c>
      <c r="J2514" s="2">
        <f t="shared" si="18"/>
        <v>44631572</v>
      </c>
      <c r="K2514" s="2">
        <f t="shared" si="19"/>
        <v>-2.102466394939255E-2</v>
      </c>
      <c r="L2514" s="2" t="str">
        <f>IF(ISNUMBER(SEARCH("|",IMDB_Movies!$D2514)),LEFT(IMDB_Movies!$D2514,SEARCH("|",IMDB_Movies!$D2514)-1),IMDB_Movies!$D2514)</f>
        <v>Comedy</v>
      </c>
      <c r="V2514" s="2"/>
      <c r="W2514" s="2"/>
    </row>
    <row r="2515" spans="1:23" ht="12.5" x14ac:dyDescent="0.25">
      <c r="A2515" s="2" t="s">
        <v>3670</v>
      </c>
      <c r="B2515" s="2">
        <v>107</v>
      </c>
      <c r="C2515" s="2">
        <v>15854988</v>
      </c>
      <c r="D2515" s="2" t="s">
        <v>85</v>
      </c>
      <c r="E2515" s="2" t="s">
        <v>4305</v>
      </c>
      <c r="F2515" s="2" t="s">
        <v>14</v>
      </c>
      <c r="G2515" s="2" t="s">
        <v>15</v>
      </c>
      <c r="H2515" s="2">
        <v>13500000</v>
      </c>
      <c r="I2515" s="2">
        <v>7.4</v>
      </c>
      <c r="J2515" s="2">
        <f t="shared" si="18"/>
        <v>2354988</v>
      </c>
      <c r="K2515" s="2">
        <f t="shared" si="19"/>
        <v>-2.1003384880071741E-2</v>
      </c>
      <c r="L2515" s="2" t="str">
        <f>IF(ISNUMBER(SEARCH("|",IMDB_Movies!$D2515)),LEFT(IMDB_Movies!$D2515,SEARCH("|",IMDB_Movies!$D2515)-1),IMDB_Movies!$D2515)</f>
        <v>Drama</v>
      </c>
      <c r="V2515" s="2"/>
      <c r="W2515" s="2"/>
    </row>
    <row r="2516" spans="1:23" ht="12.5" x14ac:dyDescent="0.25">
      <c r="A2516" s="2" t="s">
        <v>2392</v>
      </c>
      <c r="B2516" s="2">
        <v>99</v>
      </c>
      <c r="C2516" s="2">
        <v>12282677</v>
      </c>
      <c r="D2516" s="2" t="s">
        <v>1858</v>
      </c>
      <c r="E2516" s="2" t="s">
        <v>4306</v>
      </c>
      <c r="F2516" s="2" t="s">
        <v>14</v>
      </c>
      <c r="G2516" s="2" t="s">
        <v>15</v>
      </c>
      <c r="H2516" s="2">
        <v>14000000</v>
      </c>
      <c r="I2516" s="2">
        <v>5.0999999999999996</v>
      </c>
      <c r="J2516" s="2">
        <f t="shared" si="18"/>
        <v>-1717323</v>
      </c>
      <c r="K2516" s="2">
        <f t="shared" si="19"/>
        <v>-2.1004363172827702E-2</v>
      </c>
      <c r="L2516" s="2" t="str">
        <f>IF(ISNUMBER(SEARCH("|",IMDB_Movies!$D2516)),LEFT(IMDB_Movies!$D2516,SEARCH("|",IMDB_Movies!$D2516)-1),IMDB_Movies!$D2516)</f>
        <v>Comedy</v>
      </c>
      <c r="V2516" s="2"/>
      <c r="W2516" s="2"/>
    </row>
    <row r="2517" spans="1:23" ht="12.5" x14ac:dyDescent="0.25">
      <c r="A2517" s="2" t="s">
        <v>2984</v>
      </c>
      <c r="B2517" s="2">
        <v>124</v>
      </c>
      <c r="C2517" s="2">
        <v>7060876</v>
      </c>
      <c r="D2517" s="2" t="s">
        <v>555</v>
      </c>
      <c r="E2517" s="2" t="s">
        <v>4307</v>
      </c>
      <c r="F2517" s="2" t="s">
        <v>14</v>
      </c>
      <c r="G2517" s="2" t="s">
        <v>22</v>
      </c>
      <c r="H2517" s="2">
        <v>13500000</v>
      </c>
      <c r="I2517" s="2">
        <v>7.4</v>
      </c>
      <c r="J2517" s="2">
        <f t="shared" si="18"/>
        <v>-6439124</v>
      </c>
      <c r="K2517" s="2">
        <f t="shared" si="19"/>
        <v>-2.1008012278572012E-2</v>
      </c>
      <c r="L2517" s="2" t="str">
        <f>IF(ISNUMBER(SEARCH("|",IMDB_Movies!$D2517)),LEFT(IMDB_Movies!$D2517,SEARCH("|",IMDB_Movies!$D2517)-1),IMDB_Movies!$D2517)</f>
        <v>Biography</v>
      </c>
      <c r="V2517" s="2"/>
      <c r="W2517" s="2"/>
    </row>
    <row r="2518" spans="1:23" ht="12.5" x14ac:dyDescent="0.25">
      <c r="A2518" s="2" t="s">
        <v>4179</v>
      </c>
      <c r="B2518" s="2">
        <v>110</v>
      </c>
      <c r="C2518" s="2">
        <v>14989761</v>
      </c>
      <c r="D2518" s="2" t="s">
        <v>375</v>
      </c>
      <c r="E2518" s="2" t="s">
        <v>4308</v>
      </c>
      <c r="F2518" s="2" t="s">
        <v>14</v>
      </c>
      <c r="G2518" s="2" t="s">
        <v>22</v>
      </c>
      <c r="H2518" s="2">
        <v>15000000</v>
      </c>
      <c r="I2518" s="2">
        <v>7.2</v>
      </c>
      <c r="J2518" s="2">
        <f t="shared" si="18"/>
        <v>-10239</v>
      </c>
      <c r="K2518" s="2">
        <f t="shared" si="19"/>
        <v>-2.101630615941057E-2</v>
      </c>
      <c r="L2518" s="2" t="str">
        <f>IF(ISNUMBER(SEARCH("|",IMDB_Movies!$D2518)),LEFT(IMDB_Movies!$D2518,SEARCH("|",IMDB_Movies!$D2518)-1),IMDB_Movies!$D2518)</f>
        <v>Comedy</v>
      </c>
      <c r="V2518" s="2"/>
      <c r="W2518" s="2"/>
    </row>
    <row r="2519" spans="1:23" ht="12.5" x14ac:dyDescent="0.25">
      <c r="A2519" s="2" t="s">
        <v>1024</v>
      </c>
      <c r="B2519" s="2">
        <v>178</v>
      </c>
      <c r="C2519" s="2">
        <v>5501940</v>
      </c>
      <c r="D2519" s="2" t="s">
        <v>1125</v>
      </c>
      <c r="E2519" s="2" t="s">
        <v>4309</v>
      </c>
      <c r="F2519" s="2" t="s">
        <v>3713</v>
      </c>
      <c r="G2519" s="2" t="s">
        <v>287</v>
      </c>
      <c r="H2519" s="2">
        <v>13500000</v>
      </c>
      <c r="I2519" s="2">
        <v>8.3000000000000007</v>
      </c>
      <c r="J2519" s="2">
        <f t="shared" si="18"/>
        <v>-7998060</v>
      </c>
      <c r="K2519" s="2">
        <f t="shared" si="19"/>
        <v>-2.101775428900211E-2</v>
      </c>
      <c r="L2519" s="2" t="str">
        <f>IF(ISNUMBER(SEARCH("|",IMDB_Movies!$D2519)),LEFT(IMDB_Movies!$D2519,SEARCH("|",IMDB_Movies!$D2519)-1),IMDB_Movies!$D2519)</f>
        <v>Biography</v>
      </c>
      <c r="V2519" s="2"/>
      <c r="W2519" s="2"/>
    </row>
    <row r="2520" spans="1:23" ht="12.5" x14ac:dyDescent="0.25">
      <c r="A2520" s="2" t="s">
        <v>1236</v>
      </c>
      <c r="B2520" s="2">
        <v>125</v>
      </c>
      <c r="C2520" s="2">
        <v>2086345</v>
      </c>
      <c r="D2520" s="2" t="s">
        <v>2124</v>
      </c>
      <c r="E2520" s="2" t="s">
        <v>4310</v>
      </c>
      <c r="F2520" s="2" t="s">
        <v>971</v>
      </c>
      <c r="G2520" s="2" t="s">
        <v>1239</v>
      </c>
      <c r="H2520" s="2">
        <v>10000000</v>
      </c>
      <c r="I2520" s="2">
        <v>8.1</v>
      </c>
      <c r="J2520" s="2">
        <f t="shared" si="18"/>
        <v>-7913655</v>
      </c>
      <c r="K2520" s="2">
        <f t="shared" si="19"/>
        <v>-2.1027489336056551E-2</v>
      </c>
      <c r="L2520" s="2" t="str">
        <f>IF(ISNUMBER(SEARCH("|",IMDB_Movies!$D2520)),LEFT(IMDB_Movies!$D2520,SEARCH("|",IMDB_Movies!$D2520)-1),IMDB_Movies!$D2520)</f>
        <v>Biography</v>
      </c>
      <c r="V2520" s="2"/>
      <c r="W2520" s="2"/>
    </row>
    <row r="2521" spans="1:23" ht="12.5" x14ac:dyDescent="0.25">
      <c r="A2521" s="2" t="s">
        <v>1081</v>
      </c>
      <c r="B2521" s="2">
        <v>121</v>
      </c>
      <c r="C2521" s="2">
        <v>123922370</v>
      </c>
      <c r="D2521" s="2" t="s">
        <v>4311</v>
      </c>
      <c r="E2521" s="2" t="s">
        <v>4312</v>
      </c>
      <c r="F2521" s="2" t="s">
        <v>14</v>
      </c>
      <c r="G2521" s="2" t="s">
        <v>15</v>
      </c>
      <c r="H2521" s="2">
        <v>13000000</v>
      </c>
      <c r="I2521" s="2">
        <v>7.3</v>
      </c>
      <c r="J2521" s="2">
        <f t="shared" si="18"/>
        <v>110922370</v>
      </c>
      <c r="K2521" s="2">
        <f t="shared" si="19"/>
        <v>-2.1043873096943923E-2</v>
      </c>
      <c r="L2521" s="2" t="str">
        <f>IF(ISNUMBER(SEARCH("|",IMDB_Movies!$D2521)),LEFT(IMDB_Movies!$D2521,SEARCH("|",IMDB_Movies!$D2521)-1),IMDB_Movies!$D2521)</f>
        <v>Biography</v>
      </c>
      <c r="V2521" s="2"/>
      <c r="W2521" s="2"/>
    </row>
    <row r="2522" spans="1:23" ht="12.5" x14ac:dyDescent="0.25">
      <c r="A2522" s="2" t="s">
        <v>2641</v>
      </c>
      <c r="B2522" s="2">
        <v>100</v>
      </c>
      <c r="C2522" s="2">
        <v>163591</v>
      </c>
      <c r="D2522" s="2" t="s">
        <v>709</v>
      </c>
      <c r="E2522" s="2" t="s">
        <v>4313</v>
      </c>
      <c r="F2522" s="2" t="s">
        <v>14</v>
      </c>
      <c r="G2522" s="2" t="s">
        <v>2305</v>
      </c>
      <c r="H2522" s="2">
        <v>13400000</v>
      </c>
      <c r="I2522" s="2">
        <v>3.6</v>
      </c>
      <c r="J2522" s="2">
        <f t="shared" si="18"/>
        <v>-13236409</v>
      </c>
      <c r="K2522" s="2">
        <f t="shared" si="19"/>
        <v>-2.1047524404704424E-2</v>
      </c>
      <c r="L2522" s="2" t="str">
        <f>IF(ISNUMBER(SEARCH("|",IMDB_Movies!$D2522)),LEFT(IMDB_Movies!$D2522,SEARCH("|",IMDB_Movies!$D2522)-1),IMDB_Movies!$D2522)</f>
        <v>Comedy</v>
      </c>
      <c r="V2522" s="2"/>
      <c r="W2522" s="2"/>
    </row>
    <row r="2523" spans="1:23" ht="12.5" x14ac:dyDescent="0.25">
      <c r="A2523" s="2" t="s">
        <v>395</v>
      </c>
      <c r="B2523" s="2">
        <v>115</v>
      </c>
      <c r="C2523" s="2">
        <v>73000942</v>
      </c>
      <c r="D2523" s="2" t="s">
        <v>1398</v>
      </c>
      <c r="E2523" s="2" t="s">
        <v>4314</v>
      </c>
      <c r="F2523" s="2" t="s">
        <v>14</v>
      </c>
      <c r="G2523" s="2" t="s">
        <v>15</v>
      </c>
      <c r="H2523" s="2">
        <v>13000000</v>
      </c>
      <c r="I2523" s="2">
        <v>1.6</v>
      </c>
      <c r="J2523" s="2">
        <f t="shared" si="18"/>
        <v>60000942</v>
      </c>
      <c r="K2523" s="2">
        <f t="shared" si="19"/>
        <v>-2.1062559430989343E-2</v>
      </c>
      <c r="L2523" s="2" t="str">
        <f>IF(ISNUMBER(SEARCH("|",IMDB_Movies!$D2523)),LEFT(IMDB_Movies!$D2523,SEARCH("|",IMDB_Movies!$D2523)-1),IMDB_Movies!$D2523)</f>
        <v>Documentary</v>
      </c>
      <c r="V2523" s="2"/>
      <c r="W2523" s="2"/>
    </row>
    <row r="2524" spans="1:23" ht="12.5" x14ac:dyDescent="0.25">
      <c r="A2524" s="2" t="s">
        <v>442</v>
      </c>
      <c r="B2524" s="2">
        <v>108</v>
      </c>
      <c r="C2524" s="2">
        <v>106952327</v>
      </c>
      <c r="D2524" s="2" t="s">
        <v>1400</v>
      </c>
      <c r="E2524" s="2" t="s">
        <v>4315</v>
      </c>
      <c r="F2524" s="2" t="s">
        <v>14</v>
      </c>
      <c r="G2524" s="2" t="s">
        <v>15</v>
      </c>
      <c r="H2524" s="2">
        <v>13000000</v>
      </c>
      <c r="I2524" s="2">
        <v>8</v>
      </c>
      <c r="J2524" s="2">
        <f t="shared" si="18"/>
        <v>93952327</v>
      </c>
      <c r="K2524" s="2">
        <f t="shared" si="19"/>
        <v>-2.1042719831022082E-2</v>
      </c>
      <c r="L2524" s="2" t="str">
        <f>IF(ISNUMBER(SEARCH("|",IMDB_Movies!$D2524)),LEFT(IMDB_Movies!$D2524,SEARCH("|",IMDB_Movies!$D2524)-1),IMDB_Movies!$D2524)</f>
        <v>Drama</v>
      </c>
      <c r="V2524" s="2"/>
      <c r="W2524" s="2"/>
    </row>
    <row r="2525" spans="1:23" ht="12.5" x14ac:dyDescent="0.25">
      <c r="A2525" s="2" t="s">
        <v>1648</v>
      </c>
      <c r="B2525" s="2">
        <v>220</v>
      </c>
      <c r="C2525" s="2">
        <v>57300000</v>
      </c>
      <c r="D2525" s="2" t="s">
        <v>694</v>
      </c>
      <c r="E2525" s="2" t="s">
        <v>4316</v>
      </c>
      <c r="F2525" s="2" t="s">
        <v>14</v>
      </c>
      <c r="G2525" s="2" t="s">
        <v>15</v>
      </c>
      <c r="H2525" s="2">
        <v>13000000</v>
      </c>
      <c r="I2525" s="2">
        <v>9</v>
      </c>
      <c r="J2525" s="2">
        <f t="shared" si="18"/>
        <v>44300000</v>
      </c>
      <c r="K2525" s="2">
        <f t="shared" si="19"/>
        <v>-2.1034295029545593E-2</v>
      </c>
      <c r="L2525" s="2" t="str">
        <f>IF(ISNUMBER(SEARCH("|",IMDB_Movies!$D2525)),LEFT(IMDB_Movies!$D2525,SEARCH("|",IMDB_Movies!$D2525)-1),IMDB_Movies!$D2525)</f>
        <v>Crime</v>
      </c>
      <c r="V2525" s="2"/>
      <c r="W2525" s="2"/>
    </row>
    <row r="2526" spans="1:23" ht="12.5" x14ac:dyDescent="0.25">
      <c r="A2526" s="2" t="s">
        <v>1939</v>
      </c>
      <c r="B2526" s="2">
        <v>112</v>
      </c>
      <c r="C2526" s="2">
        <v>91038276</v>
      </c>
      <c r="D2526" s="2" t="s">
        <v>2586</v>
      </c>
      <c r="E2526" s="2" t="s">
        <v>4317</v>
      </c>
      <c r="F2526" s="2" t="s">
        <v>14</v>
      </c>
      <c r="G2526" s="2" t="s">
        <v>15</v>
      </c>
      <c r="H2526" s="2">
        <v>13000000</v>
      </c>
      <c r="I2526" s="2">
        <v>6.1</v>
      </c>
      <c r="J2526" s="2">
        <f t="shared" si="18"/>
        <v>78038276</v>
      </c>
      <c r="K2526" s="2">
        <f t="shared" si="19"/>
        <v>-2.1015071746420269E-2</v>
      </c>
      <c r="L2526" s="2" t="str">
        <f>IF(ISNUMBER(SEARCH("|",IMDB_Movies!$D2526)),LEFT(IMDB_Movies!$D2526,SEARCH("|",IMDB_Movies!$D2526)-1),IMDB_Movies!$D2526)</f>
        <v>Drama</v>
      </c>
      <c r="V2526" s="2"/>
      <c r="W2526" s="2"/>
    </row>
    <row r="2527" spans="1:23" ht="12.5" x14ac:dyDescent="0.25">
      <c r="A2527" s="2" t="s">
        <v>744</v>
      </c>
      <c r="B2527" s="2">
        <v>99</v>
      </c>
      <c r="C2527" s="2">
        <v>49369900</v>
      </c>
      <c r="D2527" s="2" t="s">
        <v>3172</v>
      </c>
      <c r="E2527" s="2" t="s">
        <v>4318</v>
      </c>
      <c r="F2527" s="2" t="s">
        <v>14</v>
      </c>
      <c r="G2527" s="2" t="s">
        <v>15</v>
      </c>
      <c r="H2527" s="2">
        <v>7000000</v>
      </c>
      <c r="I2527" s="2">
        <v>5.7</v>
      </c>
      <c r="J2527" s="2">
        <f t="shared" si="18"/>
        <v>42369900</v>
      </c>
      <c r="K2527" s="2">
        <f t="shared" si="19"/>
        <v>-2.099902763822439E-2</v>
      </c>
      <c r="L2527" s="2" t="str">
        <f>IF(ISNUMBER(SEARCH("|",IMDB_Movies!$D2527)),LEFT(IMDB_Movies!$D2527,SEARCH("|",IMDB_Movies!$D2527)-1),IMDB_Movies!$D2527)</f>
        <v>Fantasy</v>
      </c>
      <c r="V2527" s="2"/>
      <c r="W2527" s="2"/>
    </row>
    <row r="2528" spans="1:23" ht="12.5" x14ac:dyDescent="0.25">
      <c r="A2528" s="2" t="s">
        <v>3210</v>
      </c>
      <c r="B2528" s="2">
        <v>109</v>
      </c>
      <c r="C2528" s="2">
        <v>61693523</v>
      </c>
      <c r="D2528" s="2" t="s">
        <v>1180</v>
      </c>
      <c r="E2528" s="2" t="s">
        <v>4319</v>
      </c>
      <c r="F2528" s="2" t="s">
        <v>14</v>
      </c>
      <c r="G2528" s="2" t="s">
        <v>15</v>
      </c>
      <c r="H2528" s="2">
        <v>13000000</v>
      </c>
      <c r="I2528" s="2">
        <v>6.8</v>
      </c>
      <c r="J2528" s="2">
        <f t="shared" si="18"/>
        <v>48693523</v>
      </c>
      <c r="K2528" s="2">
        <f t="shared" si="19"/>
        <v>-2.0968885385726759E-2</v>
      </c>
      <c r="L2528" s="2" t="str">
        <f>IF(ISNUMBER(SEARCH("|",IMDB_Movies!$D2528)),LEFT(IMDB_Movies!$D2528,SEARCH("|",IMDB_Movies!$D2528)-1),IMDB_Movies!$D2528)</f>
        <v>Drama</v>
      </c>
      <c r="V2528" s="2"/>
      <c r="W2528" s="2"/>
    </row>
    <row r="2529" spans="1:23" ht="12.5" x14ac:dyDescent="0.25">
      <c r="A2529" s="2" t="s">
        <v>4320</v>
      </c>
      <c r="B2529" s="2">
        <v>83</v>
      </c>
      <c r="C2529" s="2">
        <v>46729374</v>
      </c>
      <c r="D2529" s="2" t="s">
        <v>3374</v>
      </c>
      <c r="E2529" s="2" t="s">
        <v>4321</v>
      </c>
      <c r="F2529" s="2" t="s">
        <v>14</v>
      </c>
      <c r="G2529" s="2" t="s">
        <v>15</v>
      </c>
      <c r="H2529" s="2">
        <v>13000000</v>
      </c>
      <c r="I2529" s="2">
        <v>5.5</v>
      </c>
      <c r="J2529" s="2">
        <f t="shared" si="18"/>
        <v>33729374</v>
      </c>
      <c r="K2529" s="2">
        <f t="shared" si="19"/>
        <v>-2.0948912507530466E-2</v>
      </c>
      <c r="L2529" s="2" t="str">
        <f>IF(ISNUMBER(SEARCH("|",IMDB_Movies!$D2529)),LEFT(IMDB_Movies!$D2529,SEARCH("|",IMDB_Movies!$D2529)-1),IMDB_Movies!$D2529)</f>
        <v>Comedy</v>
      </c>
      <c r="V2529" s="2"/>
      <c r="W2529" s="2"/>
    </row>
    <row r="2530" spans="1:23" ht="12.5" x14ac:dyDescent="0.25">
      <c r="A2530" s="2" t="s">
        <v>4322</v>
      </c>
      <c r="B2530" s="2">
        <v>107</v>
      </c>
      <c r="C2530" s="2">
        <v>44726644</v>
      </c>
      <c r="D2530" s="2" t="s">
        <v>3335</v>
      </c>
      <c r="E2530" s="2" t="s">
        <v>4323</v>
      </c>
      <c r="F2530" s="2" t="s">
        <v>14</v>
      </c>
      <c r="G2530" s="2" t="s">
        <v>15</v>
      </c>
      <c r="H2530" s="2">
        <v>13000000</v>
      </c>
      <c r="I2530" s="2">
        <v>6.8</v>
      </c>
      <c r="J2530" s="2">
        <f t="shared" si="18"/>
        <v>31726644</v>
      </c>
      <c r="K2530" s="2">
        <f t="shared" si="19"/>
        <v>-2.0932105218515941E-2</v>
      </c>
      <c r="L2530" s="2" t="str">
        <f>IF(ISNUMBER(SEARCH("|",IMDB_Movies!$D2530)),LEFT(IMDB_Movies!$D2530,SEARCH("|",IMDB_Movies!$D2530)-1),IMDB_Movies!$D2530)</f>
        <v>Action</v>
      </c>
      <c r="V2530" s="2"/>
      <c r="W2530" s="2"/>
    </row>
    <row r="2531" spans="1:23" ht="12.5" x14ac:dyDescent="0.25">
      <c r="A2531" s="2" t="s">
        <v>4324</v>
      </c>
      <c r="B2531" s="2">
        <v>102</v>
      </c>
      <c r="C2531" s="2">
        <v>44134898</v>
      </c>
      <c r="D2531" s="2" t="s">
        <v>891</v>
      </c>
      <c r="E2531" s="2" t="s">
        <v>4325</v>
      </c>
      <c r="F2531" s="2" t="s">
        <v>14</v>
      </c>
      <c r="G2531" s="2" t="s">
        <v>15</v>
      </c>
      <c r="H2531" s="2">
        <v>13000000</v>
      </c>
      <c r="I2531" s="2">
        <v>7.3</v>
      </c>
      <c r="J2531" s="2">
        <f t="shared" si="18"/>
        <v>31134898</v>
      </c>
      <c r="K2531" s="2">
        <f t="shared" si="19"/>
        <v>-2.0915957419016723E-2</v>
      </c>
      <c r="L2531" s="2" t="str">
        <f>IF(ISNUMBER(SEARCH("|",IMDB_Movies!$D2531)),LEFT(IMDB_Movies!$D2531,SEARCH("|",IMDB_Movies!$D2531)-1),IMDB_Movies!$D2531)</f>
        <v>Comedy</v>
      </c>
      <c r="V2531" s="2"/>
      <c r="W2531" s="2"/>
    </row>
    <row r="2532" spans="1:23" ht="12.5" x14ac:dyDescent="0.25">
      <c r="A2532" s="2" t="s">
        <v>2392</v>
      </c>
      <c r="B2532" s="2">
        <v>100</v>
      </c>
      <c r="C2532" s="2">
        <v>48637684</v>
      </c>
      <c r="D2532" s="2" t="s">
        <v>600</v>
      </c>
      <c r="E2532" s="2" t="s">
        <v>4326</v>
      </c>
      <c r="F2532" s="2" t="s">
        <v>14</v>
      </c>
      <c r="G2532" s="2" t="s">
        <v>15</v>
      </c>
      <c r="H2532" s="2">
        <v>12500000</v>
      </c>
      <c r="I2532" s="2">
        <v>6.1</v>
      </c>
      <c r="J2532" s="2">
        <f t="shared" si="18"/>
        <v>36137684</v>
      </c>
      <c r="K2532" s="2">
        <f t="shared" si="19"/>
        <v>-2.0899993925206257E-2</v>
      </c>
      <c r="L2532" s="2" t="str">
        <f>IF(ISNUMBER(SEARCH("|",IMDB_Movies!$D2532)),LEFT(IMDB_Movies!$D2532,SEARCH("|",IMDB_Movies!$D2532)-1),IMDB_Movies!$D2532)</f>
        <v>Comedy</v>
      </c>
      <c r="V2532" s="2"/>
      <c r="W2532" s="2"/>
    </row>
    <row r="2533" spans="1:23" ht="12.5" x14ac:dyDescent="0.25">
      <c r="A2533" s="2" t="s">
        <v>2474</v>
      </c>
      <c r="B2533" s="2">
        <v>97</v>
      </c>
      <c r="C2533" s="2">
        <v>38176108</v>
      </c>
      <c r="D2533" s="2" t="s">
        <v>514</v>
      </c>
      <c r="E2533" s="2" t="s">
        <v>4327</v>
      </c>
      <c r="F2533" s="2" t="s">
        <v>14</v>
      </c>
      <c r="G2533" s="2" t="s">
        <v>15</v>
      </c>
      <c r="H2533" s="2">
        <v>16000000</v>
      </c>
      <c r="I2533" s="2">
        <v>7.2</v>
      </c>
      <c r="J2533" s="2">
        <f t="shared" si="18"/>
        <v>22176108</v>
      </c>
      <c r="K2533" s="2">
        <f t="shared" si="19"/>
        <v>-2.088144143726154E-2</v>
      </c>
      <c r="L2533" s="2" t="str">
        <f>IF(ISNUMBER(SEARCH("|",IMDB_Movies!$D2533)),LEFT(IMDB_Movies!$D2533,SEARCH("|",IMDB_Movies!$D2533)-1),IMDB_Movies!$D2533)</f>
        <v>Comedy</v>
      </c>
      <c r="V2533" s="2"/>
      <c r="W2533" s="2"/>
    </row>
    <row r="2534" spans="1:23" ht="12.5" x14ac:dyDescent="0.25">
      <c r="A2534" s="2" t="s">
        <v>4328</v>
      </c>
      <c r="B2534" s="2">
        <v>92</v>
      </c>
      <c r="C2534" s="2">
        <v>28972187</v>
      </c>
      <c r="D2534" s="2" t="s">
        <v>709</v>
      </c>
      <c r="E2534" s="2" t="s">
        <v>4329</v>
      </c>
      <c r="F2534" s="2" t="s">
        <v>14</v>
      </c>
      <c r="G2534" s="2" t="s">
        <v>15</v>
      </c>
      <c r="H2534" s="2">
        <v>13000000</v>
      </c>
      <c r="I2534" s="2">
        <v>5.9</v>
      </c>
      <c r="J2534" s="2">
        <f t="shared" si="18"/>
        <v>15972187</v>
      </c>
      <c r="K2534" s="2">
        <f t="shared" si="19"/>
        <v>-2.0872081471244388E-2</v>
      </c>
      <c r="L2534" s="2" t="str">
        <f>IF(ISNUMBER(SEARCH("|",IMDB_Movies!$D2534)),LEFT(IMDB_Movies!$D2534,SEARCH("|",IMDB_Movies!$D2534)-1),IMDB_Movies!$D2534)</f>
        <v>Comedy</v>
      </c>
      <c r="V2534" s="2"/>
      <c r="W2534" s="2"/>
    </row>
    <row r="2535" spans="1:23" ht="12.5" x14ac:dyDescent="0.25">
      <c r="A2535" s="2" t="s">
        <v>4330</v>
      </c>
      <c r="B2535" s="2">
        <v>84</v>
      </c>
      <c r="C2535" s="2">
        <v>27979400</v>
      </c>
      <c r="D2535" s="2" t="s">
        <v>623</v>
      </c>
      <c r="E2535" s="2" t="s">
        <v>4331</v>
      </c>
      <c r="F2535" s="2" t="s">
        <v>14</v>
      </c>
      <c r="G2535" s="2" t="s">
        <v>15</v>
      </c>
      <c r="H2535" s="2">
        <v>8200000</v>
      </c>
      <c r="I2535" s="2">
        <v>6.1</v>
      </c>
      <c r="J2535" s="2">
        <f t="shared" si="18"/>
        <v>19779400</v>
      </c>
      <c r="K2535" s="2">
        <f t="shared" si="19"/>
        <v>-2.0863476048020323E-2</v>
      </c>
      <c r="L2535" s="2" t="str">
        <f>IF(ISNUMBER(SEARCH("|",IMDB_Movies!$D2535)),LEFT(IMDB_Movies!$D2535,SEARCH("|",IMDB_Movies!$D2535)-1),IMDB_Movies!$D2535)</f>
        <v>Action</v>
      </c>
      <c r="V2535" s="2"/>
      <c r="W2535" s="2"/>
    </row>
    <row r="2536" spans="1:23" ht="12.5" x14ac:dyDescent="0.25">
      <c r="A2536" s="2" t="s">
        <v>1741</v>
      </c>
      <c r="B2536" s="2">
        <v>86</v>
      </c>
      <c r="C2536" s="2">
        <v>54257433</v>
      </c>
      <c r="D2536" s="2" t="s">
        <v>1507</v>
      </c>
      <c r="E2536" s="2" t="s">
        <v>4332</v>
      </c>
      <c r="F2536" s="2" t="s">
        <v>14</v>
      </c>
      <c r="G2536" s="2" t="s">
        <v>15</v>
      </c>
      <c r="H2536" s="2">
        <v>17000000</v>
      </c>
      <c r="I2536" s="2">
        <v>6.8</v>
      </c>
      <c r="J2536" s="2">
        <f t="shared" si="18"/>
        <v>37257433</v>
      </c>
      <c r="K2536" s="2">
        <f t="shared" si="19"/>
        <v>-2.0851966439555975E-2</v>
      </c>
      <c r="L2536" s="2" t="str">
        <f>IF(ISNUMBER(SEARCH("|",IMDB_Movies!$D2536)),LEFT(IMDB_Movies!$D2536,SEARCH("|",IMDB_Movies!$D2536)-1),IMDB_Movies!$D2536)</f>
        <v>Drama</v>
      </c>
      <c r="V2536" s="2"/>
      <c r="W2536" s="2"/>
    </row>
    <row r="2537" spans="1:23" ht="12.5" x14ac:dyDescent="0.25">
      <c r="A2537" s="2" t="s">
        <v>4333</v>
      </c>
      <c r="B2537" s="2">
        <v>120</v>
      </c>
      <c r="C2537" s="2">
        <v>23947</v>
      </c>
      <c r="D2537" s="2" t="s">
        <v>1025</v>
      </c>
      <c r="E2537" s="2" t="s">
        <v>4334</v>
      </c>
      <c r="F2537" s="2" t="s">
        <v>14</v>
      </c>
      <c r="G2537" s="2" t="s">
        <v>15</v>
      </c>
      <c r="H2537" s="2">
        <v>13000000</v>
      </c>
      <c r="I2537" s="2">
        <v>7.7</v>
      </c>
      <c r="J2537" s="2">
        <f t="shared" si="18"/>
        <v>-12976053</v>
      </c>
      <c r="K2537" s="2">
        <f t="shared" si="19"/>
        <v>-2.0842600419342775E-2</v>
      </c>
      <c r="L2537" s="2" t="str">
        <f>IF(ISNUMBER(SEARCH("|",IMDB_Movies!$D2537)),LEFT(IMDB_Movies!$D2537,SEARCH("|",IMDB_Movies!$D2537)-1),IMDB_Movies!$D2537)</f>
        <v>Sci-Fi</v>
      </c>
      <c r="V2537" s="2"/>
      <c r="W2537" s="2"/>
    </row>
    <row r="2538" spans="1:23" ht="12.5" x14ac:dyDescent="0.25">
      <c r="A2538" s="2" t="s">
        <v>3593</v>
      </c>
      <c r="B2538" s="2">
        <v>89</v>
      </c>
      <c r="C2538" s="2">
        <v>60008303</v>
      </c>
      <c r="D2538" s="2" t="s">
        <v>840</v>
      </c>
      <c r="E2538" s="2" t="s">
        <v>4335</v>
      </c>
      <c r="F2538" s="2" t="s">
        <v>14</v>
      </c>
      <c r="G2538" s="2" t="s">
        <v>15</v>
      </c>
      <c r="H2538" s="2">
        <v>13000000</v>
      </c>
      <c r="I2538" s="2">
        <v>4.9000000000000004</v>
      </c>
      <c r="J2538" s="2">
        <f t="shared" si="18"/>
        <v>47008303</v>
      </c>
      <c r="K2538" s="2">
        <f t="shared" si="19"/>
        <v>-2.0858102421000231E-2</v>
      </c>
      <c r="L2538" s="2" t="str">
        <f>IF(ISNUMBER(SEARCH("|",IMDB_Movies!$D2538)),LEFT(IMDB_Movies!$D2538,SEARCH("|",IMDB_Movies!$D2538)-1),IMDB_Movies!$D2538)</f>
        <v>Adventure</v>
      </c>
      <c r="V2538" s="2"/>
      <c r="W2538" s="2"/>
    </row>
    <row r="2539" spans="1:23" ht="12.5" x14ac:dyDescent="0.25">
      <c r="A2539" s="2" t="s">
        <v>4336</v>
      </c>
      <c r="B2539" s="2">
        <v>117</v>
      </c>
      <c r="C2539" s="2">
        <v>49121934</v>
      </c>
      <c r="D2539" s="2" t="s">
        <v>514</v>
      </c>
      <c r="E2539" s="2" t="s">
        <v>4337</v>
      </c>
      <c r="F2539" s="2" t="s">
        <v>14</v>
      </c>
      <c r="G2539" s="2" t="s">
        <v>15</v>
      </c>
      <c r="H2539" s="2">
        <v>13000000</v>
      </c>
      <c r="I2539" s="2">
        <v>6.1</v>
      </c>
      <c r="J2539" s="2">
        <f t="shared" si="18"/>
        <v>36121934</v>
      </c>
      <c r="K2539" s="2">
        <f t="shared" si="19"/>
        <v>-2.0837930322401246E-2</v>
      </c>
      <c r="L2539" s="2" t="str">
        <f>IF(ISNUMBER(SEARCH("|",IMDB_Movies!$D2539)),LEFT(IMDB_Movies!$D2539,SEARCH("|",IMDB_Movies!$D2539)-1),IMDB_Movies!$D2539)</f>
        <v>Comedy</v>
      </c>
      <c r="V2539" s="2"/>
      <c r="W2539" s="2"/>
    </row>
    <row r="2540" spans="1:23" ht="12.5" x14ac:dyDescent="0.25">
      <c r="A2540" s="2" t="s">
        <v>3635</v>
      </c>
      <c r="B2540" s="2">
        <v>97</v>
      </c>
      <c r="C2540" s="2">
        <v>27141959</v>
      </c>
      <c r="D2540" s="2" t="s">
        <v>4338</v>
      </c>
      <c r="E2540" s="2" t="s">
        <v>4339</v>
      </c>
      <c r="F2540" s="2" t="s">
        <v>14</v>
      </c>
      <c r="G2540" s="2" t="s">
        <v>15</v>
      </c>
      <c r="H2540" s="2">
        <v>18000000</v>
      </c>
      <c r="I2540" s="2">
        <v>2.5</v>
      </c>
      <c r="J2540" s="2">
        <f t="shared" si="18"/>
        <v>9141959</v>
      </c>
      <c r="K2540" s="2">
        <f t="shared" si="19"/>
        <v>-2.082004776442678E-2</v>
      </c>
      <c r="L2540" s="2" t="str">
        <f>IF(ISNUMBER(SEARCH("|",IMDB_Movies!$D2540)),LEFT(IMDB_Movies!$D2540,SEARCH("|",IMDB_Movies!$D2540)-1),IMDB_Movies!$D2540)</f>
        <v>Comedy</v>
      </c>
      <c r="V2540" s="2"/>
      <c r="W2540" s="2"/>
    </row>
    <row r="2541" spans="1:23" ht="12.5" x14ac:dyDescent="0.25">
      <c r="A2541" s="2" t="s">
        <v>4340</v>
      </c>
      <c r="B2541" s="2">
        <v>91</v>
      </c>
      <c r="C2541" s="2">
        <v>27052167</v>
      </c>
      <c r="D2541" s="2" t="s">
        <v>150</v>
      </c>
      <c r="E2541" s="2" t="s">
        <v>4341</v>
      </c>
      <c r="F2541" s="2" t="s">
        <v>14</v>
      </c>
      <c r="G2541" s="2" t="s">
        <v>15</v>
      </c>
      <c r="H2541" s="2">
        <v>13000000</v>
      </c>
      <c r="I2541" s="2">
        <v>6.1</v>
      </c>
      <c r="J2541" s="2">
        <f t="shared" si="18"/>
        <v>14052167</v>
      </c>
      <c r="K2541" s="2">
        <f t="shared" si="19"/>
        <v>-2.0815879320377581E-2</v>
      </c>
      <c r="L2541" s="2" t="str">
        <f>IF(ISNUMBER(SEARCH("|",IMDB_Movies!$D2541)),LEFT(IMDB_Movies!$D2541,SEARCH("|",IMDB_Movies!$D2541)-1),IMDB_Movies!$D2541)</f>
        <v>Action</v>
      </c>
      <c r="V2541" s="2"/>
      <c r="W2541" s="2"/>
    </row>
    <row r="2542" spans="1:23" ht="12.5" x14ac:dyDescent="0.25">
      <c r="A2542" s="2" t="s">
        <v>4342</v>
      </c>
      <c r="B2542" s="2">
        <v>100</v>
      </c>
      <c r="C2542" s="2">
        <v>26539321</v>
      </c>
      <c r="D2542" s="2" t="s">
        <v>1357</v>
      </c>
      <c r="E2542" s="2" t="s">
        <v>4343</v>
      </c>
      <c r="F2542" s="2" t="s">
        <v>14</v>
      </c>
      <c r="G2542" s="2" t="s">
        <v>15</v>
      </c>
      <c r="H2542" s="2">
        <v>13000000</v>
      </c>
      <c r="I2542" s="2">
        <v>5.9</v>
      </c>
      <c r="J2542" s="2">
        <f t="shared" si="18"/>
        <v>13539321</v>
      </c>
      <c r="K2542" s="2">
        <f t="shared" si="19"/>
        <v>-2.0808345535912508E-2</v>
      </c>
      <c r="L2542" s="2" t="str">
        <f>IF(ISNUMBER(SEARCH("|",IMDB_Movies!$D2542)),LEFT(IMDB_Movies!$D2542,SEARCH("|",IMDB_Movies!$D2542)-1),IMDB_Movies!$D2542)</f>
        <v>Comedy</v>
      </c>
      <c r="V2542" s="2"/>
      <c r="W2542" s="2"/>
    </row>
    <row r="2543" spans="1:23" ht="12.5" x14ac:dyDescent="0.25">
      <c r="A2543" s="2" t="s">
        <v>4344</v>
      </c>
      <c r="B2543" s="2">
        <v>72</v>
      </c>
      <c r="C2543" s="2">
        <v>28501605</v>
      </c>
      <c r="D2543" s="2" t="s">
        <v>2465</v>
      </c>
      <c r="E2543" s="2" t="s">
        <v>4345</v>
      </c>
      <c r="F2543" s="2" t="s">
        <v>14</v>
      </c>
      <c r="G2543" s="2" t="s">
        <v>15</v>
      </c>
      <c r="H2543" s="2">
        <v>13000000</v>
      </c>
      <c r="I2543" s="2">
        <v>5.7</v>
      </c>
      <c r="J2543" s="2">
        <f t="shared" si="18"/>
        <v>15501605</v>
      </c>
      <c r="K2543" s="2">
        <f t="shared" si="19"/>
        <v>-2.0801130932053994E-2</v>
      </c>
      <c r="L2543" s="2" t="str">
        <f>IF(ISNUMBER(SEARCH("|",IMDB_Movies!$D2543)),LEFT(IMDB_Movies!$D2543,SEARCH("|",IMDB_Movies!$D2543)-1),IMDB_Movies!$D2543)</f>
        <v>Fantasy</v>
      </c>
      <c r="V2543" s="2"/>
      <c r="W2543" s="2"/>
    </row>
    <row r="2544" spans="1:23" ht="12.5" x14ac:dyDescent="0.25">
      <c r="A2544" s="2" t="s">
        <v>4346</v>
      </c>
      <c r="B2544" s="2">
        <v>84</v>
      </c>
      <c r="C2544" s="2">
        <v>52543632</v>
      </c>
      <c r="D2544" s="2" t="s">
        <v>550</v>
      </c>
      <c r="E2544" s="2" t="s">
        <v>4347</v>
      </c>
      <c r="F2544" s="2" t="s">
        <v>14</v>
      </c>
      <c r="G2544" s="2" t="s">
        <v>15</v>
      </c>
      <c r="H2544" s="2">
        <v>13200000</v>
      </c>
      <c r="I2544" s="2">
        <v>5.6</v>
      </c>
      <c r="J2544" s="2">
        <f t="shared" si="18"/>
        <v>39343632</v>
      </c>
      <c r="K2544" s="2">
        <f t="shared" si="19"/>
        <v>-2.0792655268002599E-2</v>
      </c>
      <c r="L2544" s="2" t="str">
        <f>IF(ISNUMBER(SEARCH("|",IMDB_Movies!$D2544)),LEFT(IMDB_Movies!$D2544,SEARCH("|",IMDB_Movies!$D2544)-1),IMDB_Movies!$D2544)</f>
        <v>Crime</v>
      </c>
      <c r="V2544" s="2"/>
      <c r="W2544" s="2"/>
    </row>
    <row r="2545" spans="1:23" ht="12.5" x14ac:dyDescent="0.25">
      <c r="A2545" s="2" t="s">
        <v>1131</v>
      </c>
      <c r="B2545" s="2">
        <v>126</v>
      </c>
      <c r="C2545" s="2">
        <v>25592632</v>
      </c>
      <c r="D2545" s="2" t="s">
        <v>2148</v>
      </c>
      <c r="E2545" s="2" t="s">
        <v>4348</v>
      </c>
      <c r="F2545" s="2" t="s">
        <v>14</v>
      </c>
      <c r="G2545" s="2" t="s">
        <v>15</v>
      </c>
      <c r="H2545" s="2">
        <v>18000000</v>
      </c>
      <c r="I2545" s="2">
        <v>7.2</v>
      </c>
      <c r="J2545" s="2">
        <f t="shared" si="18"/>
        <v>7592632</v>
      </c>
      <c r="K2545" s="2">
        <f t="shared" si="19"/>
        <v>-2.0774158340853631E-2</v>
      </c>
      <c r="L2545" s="2" t="str">
        <f>IF(ISNUMBER(SEARCH("|",IMDB_Movies!$D2545)),LEFT(IMDB_Movies!$D2545,SEARCH("|",IMDB_Movies!$D2545)-1),IMDB_Movies!$D2545)</f>
        <v>Horror</v>
      </c>
      <c r="V2545" s="2"/>
      <c r="W2545" s="2"/>
    </row>
    <row r="2546" spans="1:23" ht="12.5" x14ac:dyDescent="0.25">
      <c r="A2546" s="2" t="s">
        <v>4349</v>
      </c>
      <c r="B2546" s="2">
        <v>108</v>
      </c>
      <c r="C2546" s="2">
        <v>25440971</v>
      </c>
      <c r="D2546" s="2" t="s">
        <v>788</v>
      </c>
      <c r="E2546" s="2" t="s">
        <v>4350</v>
      </c>
      <c r="F2546" s="2" t="s">
        <v>14</v>
      </c>
      <c r="G2546" s="2" t="s">
        <v>22</v>
      </c>
      <c r="H2546" s="2">
        <v>15000000</v>
      </c>
      <c r="I2546" s="2">
        <v>7.7</v>
      </c>
      <c r="J2546" s="2">
        <f t="shared" si="18"/>
        <v>10440971</v>
      </c>
      <c r="K2546" s="2">
        <f t="shared" si="19"/>
        <v>-2.077044572613115E-2</v>
      </c>
      <c r="L2546" s="2" t="str">
        <f>IF(ISNUMBER(SEARCH("|",IMDB_Movies!$D2546)),LEFT(IMDB_Movies!$D2546,SEARCH("|",IMDB_Movies!$D2546)-1),IMDB_Movies!$D2546)</f>
        <v>Drama</v>
      </c>
      <c r="V2546" s="2"/>
      <c r="W2546" s="2"/>
    </row>
    <row r="2547" spans="1:23" ht="12.5" x14ac:dyDescent="0.25">
      <c r="A2547" s="2" t="s">
        <v>642</v>
      </c>
      <c r="B2547" s="2">
        <v>112</v>
      </c>
      <c r="C2547" s="2">
        <v>22858926</v>
      </c>
      <c r="D2547" s="2" t="s">
        <v>2609</v>
      </c>
      <c r="E2547" s="2" t="s">
        <v>4351</v>
      </c>
      <c r="F2547" s="2" t="s">
        <v>14</v>
      </c>
      <c r="G2547" s="2" t="s">
        <v>15</v>
      </c>
      <c r="H2547" s="2">
        <v>13000000</v>
      </c>
      <c r="I2547" s="2">
        <v>7.8</v>
      </c>
      <c r="J2547" s="2">
        <f t="shared" si="18"/>
        <v>9858926</v>
      </c>
      <c r="K2547" s="2">
        <f t="shared" si="19"/>
        <v>-2.0765047914766174E-2</v>
      </c>
      <c r="L2547" s="2" t="str">
        <f>IF(ISNUMBER(SEARCH("|",IMDB_Movies!$D2547)),LEFT(IMDB_Movies!$D2547,SEARCH("|",IMDB_Movies!$D2547)-1),IMDB_Movies!$D2547)</f>
        <v>Comedy</v>
      </c>
      <c r="V2547" s="2"/>
      <c r="W2547" s="2"/>
    </row>
    <row r="2548" spans="1:23" ht="12.5" x14ac:dyDescent="0.25">
      <c r="A2548" s="2" t="s">
        <v>4352</v>
      </c>
      <c r="B2548" s="2">
        <v>90</v>
      </c>
      <c r="C2548" s="2">
        <v>22235901</v>
      </c>
      <c r="D2548" s="2" t="s">
        <v>600</v>
      </c>
      <c r="E2548" s="2" t="s">
        <v>4353</v>
      </c>
      <c r="F2548" s="2" t="s">
        <v>14</v>
      </c>
      <c r="G2548" s="2" t="s">
        <v>15</v>
      </c>
      <c r="H2548" s="2">
        <v>6000000</v>
      </c>
      <c r="I2548" s="2">
        <v>6.1</v>
      </c>
      <c r="J2548" s="2">
        <f t="shared" si="18"/>
        <v>16235901</v>
      </c>
      <c r="K2548" s="2">
        <f t="shared" si="19"/>
        <v>-2.0760269958568833E-2</v>
      </c>
      <c r="L2548" s="2" t="str">
        <f>IF(ISNUMBER(SEARCH("|",IMDB_Movies!$D2548)),LEFT(IMDB_Movies!$D2548,SEARCH("|",IMDB_Movies!$D2548)-1),IMDB_Movies!$D2548)</f>
        <v>Comedy</v>
      </c>
      <c r="V2548" s="2"/>
      <c r="W2548" s="2"/>
    </row>
    <row r="2549" spans="1:23" ht="12.5" x14ac:dyDescent="0.25">
      <c r="A2549" s="2" t="s">
        <v>538</v>
      </c>
      <c r="B2549" s="2">
        <v>91</v>
      </c>
      <c r="C2549" s="2">
        <v>38916903</v>
      </c>
      <c r="D2549" s="2" t="s">
        <v>4354</v>
      </c>
      <c r="E2549" s="2" t="s">
        <v>4355</v>
      </c>
      <c r="F2549" s="2" t="s">
        <v>14</v>
      </c>
      <c r="G2549" s="2" t="s">
        <v>15</v>
      </c>
      <c r="H2549" s="2">
        <v>13000000</v>
      </c>
      <c r="I2549" s="2">
        <v>5.8</v>
      </c>
      <c r="J2549" s="2">
        <f t="shared" si="18"/>
        <v>25916903</v>
      </c>
      <c r="K2549" s="2">
        <f t="shared" si="19"/>
        <v>-2.0753352076996502E-2</v>
      </c>
      <c r="L2549" s="2" t="str">
        <f>IF(ISNUMBER(SEARCH("|",IMDB_Movies!$D2549)),LEFT(IMDB_Movies!$D2549,SEARCH("|",IMDB_Movies!$D2549)-1),IMDB_Movies!$D2549)</f>
        <v>Adventure</v>
      </c>
      <c r="V2549" s="2"/>
      <c r="W2549" s="2"/>
    </row>
    <row r="2550" spans="1:23" ht="12.5" x14ac:dyDescent="0.25">
      <c r="A2550" s="2" t="s">
        <v>1831</v>
      </c>
      <c r="B2550" s="2">
        <v>135</v>
      </c>
      <c r="C2550" s="2">
        <v>16929123</v>
      </c>
      <c r="D2550" s="2" t="s">
        <v>85</v>
      </c>
      <c r="E2550" s="2" t="s">
        <v>4356</v>
      </c>
      <c r="F2550" s="2" t="s">
        <v>14</v>
      </c>
      <c r="G2550" s="2" t="s">
        <v>15</v>
      </c>
      <c r="H2550" s="2">
        <v>14000000</v>
      </c>
      <c r="I2550" s="2">
        <v>6.5</v>
      </c>
      <c r="J2550" s="2">
        <f t="shared" si="18"/>
        <v>2929123</v>
      </c>
      <c r="K2550" s="2">
        <f t="shared" si="19"/>
        <v>-2.0739114738048289E-2</v>
      </c>
      <c r="L2550" s="2" t="str">
        <f>IF(ISNUMBER(SEARCH("|",IMDB_Movies!$D2550)),LEFT(IMDB_Movies!$D2550,SEARCH("|",IMDB_Movies!$D2550)-1),IMDB_Movies!$D2550)</f>
        <v>Drama</v>
      </c>
      <c r="V2550" s="2"/>
      <c r="W2550" s="2"/>
    </row>
    <row r="2551" spans="1:23" ht="12.5" x14ac:dyDescent="0.25">
      <c r="A2551" s="2" t="s">
        <v>1279</v>
      </c>
      <c r="B2551" s="2">
        <v>141</v>
      </c>
      <c r="C2551" s="2">
        <v>13753931</v>
      </c>
      <c r="D2551" s="2" t="s">
        <v>706</v>
      </c>
      <c r="E2551" s="2" t="s">
        <v>4357</v>
      </c>
      <c r="F2551" s="2" t="s">
        <v>2568</v>
      </c>
      <c r="G2551" s="2" t="s">
        <v>15</v>
      </c>
      <c r="H2551" s="2">
        <v>19000000</v>
      </c>
      <c r="I2551" s="2">
        <v>7.9</v>
      </c>
      <c r="J2551" s="2">
        <f t="shared" si="18"/>
        <v>-5246069</v>
      </c>
      <c r="K2551" s="2">
        <f t="shared" si="19"/>
        <v>-2.0738824665840021E-2</v>
      </c>
      <c r="L2551" s="2" t="str">
        <f>IF(ISNUMBER(SEARCH("|",IMDB_Movies!$D2551)),LEFT(IMDB_Movies!$D2551,SEARCH("|",IMDB_Movies!$D2551)-1),IMDB_Movies!$D2551)</f>
        <v>Drama</v>
      </c>
      <c r="V2551" s="2"/>
      <c r="W2551" s="2"/>
    </row>
    <row r="2552" spans="1:23" ht="12.5" x14ac:dyDescent="0.25">
      <c r="A2552" s="2" t="s">
        <v>4358</v>
      </c>
      <c r="B2552" s="2">
        <v>104</v>
      </c>
      <c r="C2552" s="2">
        <v>10996440</v>
      </c>
      <c r="D2552" s="2" t="s">
        <v>250</v>
      </c>
      <c r="E2552" s="2" t="s">
        <v>4359</v>
      </c>
      <c r="F2552" s="2" t="s">
        <v>14</v>
      </c>
      <c r="G2552" s="2" t="s">
        <v>15</v>
      </c>
      <c r="H2552" s="2">
        <v>13000000</v>
      </c>
      <c r="I2552" s="2">
        <v>6.3</v>
      </c>
      <c r="J2552" s="2">
        <f t="shared" ref="J2552:J2806" si="20">(C2552-H2552)</f>
        <v>-2003560</v>
      </c>
      <c r="K2552" s="2">
        <f t="shared" si="19"/>
        <v>-2.0740053520720614E-2</v>
      </c>
      <c r="L2552" s="2" t="str">
        <f>IF(ISNUMBER(SEARCH("|",IMDB_Movies!$D2552)),LEFT(IMDB_Movies!$D2552,SEARCH("|",IMDB_Movies!$D2552)-1),IMDB_Movies!$D2552)</f>
        <v>Adventure</v>
      </c>
      <c r="V2552" s="2"/>
      <c r="W2552" s="2"/>
    </row>
    <row r="2553" spans="1:23" ht="12.5" x14ac:dyDescent="0.25">
      <c r="A2553" s="2" t="s">
        <v>4360</v>
      </c>
      <c r="B2553" s="2">
        <v>84</v>
      </c>
      <c r="C2553" s="2">
        <v>8026971</v>
      </c>
      <c r="D2553" s="2" t="s">
        <v>600</v>
      </c>
      <c r="E2553" s="2" t="s">
        <v>4361</v>
      </c>
      <c r="F2553" s="2" t="s">
        <v>14</v>
      </c>
      <c r="G2553" s="2" t="s">
        <v>15</v>
      </c>
      <c r="H2553" s="2">
        <v>13000000</v>
      </c>
      <c r="I2553" s="2">
        <v>3.8</v>
      </c>
      <c r="J2553" s="2">
        <f t="shared" si="20"/>
        <v>-4973029</v>
      </c>
      <c r="K2553" s="2">
        <f t="shared" ref="K2553:K2807" si="21">CORREL(H2553:H6338,C2553:C6338)</f>
        <v>-2.0744791792554233E-2</v>
      </c>
      <c r="L2553" s="2" t="str">
        <f>IF(ISNUMBER(SEARCH("|",IMDB_Movies!$D2553)),LEFT(IMDB_Movies!$D2553,SEARCH("|",IMDB_Movies!$D2553)-1),IMDB_Movies!$D2553)</f>
        <v>Comedy</v>
      </c>
      <c r="V2553" s="2"/>
      <c r="W2553" s="2"/>
    </row>
    <row r="2554" spans="1:23" ht="12.5" x14ac:dyDescent="0.25">
      <c r="A2554" s="2" t="s">
        <v>4362</v>
      </c>
      <c r="B2554" s="2">
        <v>118</v>
      </c>
      <c r="C2554" s="2">
        <v>14677654</v>
      </c>
      <c r="D2554" s="2" t="s">
        <v>1180</v>
      </c>
      <c r="E2554" s="2" t="s">
        <v>4363</v>
      </c>
      <c r="F2554" s="2" t="s">
        <v>14</v>
      </c>
      <c r="G2554" s="2" t="s">
        <v>2637</v>
      </c>
      <c r="H2554" s="2">
        <v>13000000</v>
      </c>
      <c r="I2554" s="2">
        <v>8.3000000000000007</v>
      </c>
      <c r="J2554" s="2">
        <f t="shared" si="20"/>
        <v>1677654</v>
      </c>
      <c r="K2554" s="2">
        <f t="shared" si="21"/>
        <v>-2.075227355246222E-2</v>
      </c>
      <c r="L2554" s="2" t="str">
        <f>IF(ISNUMBER(SEARCH("|",IMDB_Movies!$D2554)),LEFT(IMDB_Movies!$D2554,SEARCH("|",IMDB_Movies!$D2554)-1),IMDB_Movies!$D2554)</f>
        <v>Drama</v>
      </c>
      <c r="V2554" s="2"/>
      <c r="W2554" s="2"/>
    </row>
    <row r="2555" spans="1:23" ht="12.5" x14ac:dyDescent="0.25">
      <c r="A2555" s="2" t="s">
        <v>4364</v>
      </c>
      <c r="B2555" s="2">
        <v>82</v>
      </c>
      <c r="C2555" s="2">
        <v>9975684</v>
      </c>
      <c r="D2555" s="2" t="s">
        <v>709</v>
      </c>
      <c r="E2555" s="2" t="s">
        <v>4365</v>
      </c>
      <c r="F2555" s="2" t="s">
        <v>14</v>
      </c>
      <c r="G2555" s="2" t="s">
        <v>104</v>
      </c>
      <c r="H2555" s="2">
        <v>13000000</v>
      </c>
      <c r="I2555" s="2">
        <v>6.4</v>
      </c>
      <c r="J2555" s="2">
        <f t="shared" si="20"/>
        <v>-3024316</v>
      </c>
      <c r="K2555" s="2">
        <f t="shared" si="21"/>
        <v>-2.0753825083191162E-2</v>
      </c>
      <c r="L2555" s="2" t="str">
        <f>IF(ISNUMBER(SEARCH("|",IMDB_Movies!$D2555)),LEFT(IMDB_Movies!$D2555,SEARCH("|",IMDB_Movies!$D2555)-1),IMDB_Movies!$D2555)</f>
        <v>Comedy</v>
      </c>
      <c r="V2555" s="2"/>
      <c r="W2555" s="2"/>
    </row>
    <row r="2556" spans="1:23" ht="12.5" x14ac:dyDescent="0.25">
      <c r="A2556" s="2" t="s">
        <v>4366</v>
      </c>
      <c r="B2556" s="2">
        <v>95</v>
      </c>
      <c r="C2556" s="2">
        <v>7881335</v>
      </c>
      <c r="D2556" s="2" t="s">
        <v>2009</v>
      </c>
      <c r="E2556" s="2" t="s">
        <v>4367</v>
      </c>
      <c r="F2556" s="2" t="s">
        <v>14</v>
      </c>
      <c r="G2556" s="2" t="s">
        <v>15</v>
      </c>
      <c r="H2556" s="2">
        <v>13000000</v>
      </c>
      <c r="I2556" s="2">
        <v>6.7</v>
      </c>
      <c r="J2556" s="2">
        <f t="shared" si="20"/>
        <v>-5118665</v>
      </c>
      <c r="K2556" s="2">
        <f t="shared" si="21"/>
        <v>-2.0759512823542711E-2</v>
      </c>
      <c r="L2556" s="2" t="str">
        <f>IF(ISNUMBER(SEARCH("|",IMDB_Movies!$D2556)),LEFT(IMDB_Movies!$D2556,SEARCH("|",IMDB_Movies!$D2556)-1),IMDB_Movies!$D2556)</f>
        <v>Comedy</v>
      </c>
      <c r="V2556" s="2"/>
      <c r="W2556" s="2"/>
    </row>
    <row r="2557" spans="1:23" ht="12.5" x14ac:dyDescent="0.25">
      <c r="A2557" s="2" t="s">
        <v>3536</v>
      </c>
      <c r="B2557" s="2">
        <v>94</v>
      </c>
      <c r="C2557" s="2">
        <v>6241697</v>
      </c>
      <c r="D2557" s="2" t="s">
        <v>709</v>
      </c>
      <c r="E2557" s="2" t="s">
        <v>4368</v>
      </c>
      <c r="F2557" s="2" t="s">
        <v>14</v>
      </c>
      <c r="G2557" s="2" t="s">
        <v>686</v>
      </c>
      <c r="H2557" s="2">
        <v>13000000</v>
      </c>
      <c r="I2557" s="2">
        <v>6.1</v>
      </c>
      <c r="J2557" s="2">
        <f t="shared" si="20"/>
        <v>-6758303</v>
      </c>
      <c r="K2557" s="2">
        <f t="shared" si="21"/>
        <v>-2.0767163275903375E-2</v>
      </c>
      <c r="L2557" s="2" t="str">
        <f>IF(ISNUMBER(SEARCH("|",IMDB_Movies!$D2557)),LEFT(IMDB_Movies!$D2557,SEARCH("|",IMDB_Movies!$D2557)-1),IMDB_Movies!$D2557)</f>
        <v>Comedy</v>
      </c>
      <c r="V2557" s="2"/>
      <c r="W2557" s="2"/>
    </row>
    <row r="2558" spans="1:23" ht="12.5" x14ac:dyDescent="0.25">
      <c r="A2558" s="2" t="s">
        <v>4369</v>
      </c>
      <c r="B2558" s="2">
        <v>99</v>
      </c>
      <c r="C2558" s="2">
        <v>5871603</v>
      </c>
      <c r="D2558" s="2" t="s">
        <v>1400</v>
      </c>
      <c r="E2558" s="2" t="s">
        <v>4370</v>
      </c>
      <c r="F2558" s="2" t="s">
        <v>14</v>
      </c>
      <c r="G2558" s="2" t="s">
        <v>15</v>
      </c>
      <c r="H2558" s="2">
        <v>13000000</v>
      </c>
      <c r="I2558" s="2">
        <v>6</v>
      </c>
      <c r="J2558" s="2">
        <f t="shared" si="20"/>
        <v>-7128397</v>
      </c>
      <c r="K2558" s="2">
        <f t="shared" si="21"/>
        <v>-2.0776404740563102E-2</v>
      </c>
      <c r="L2558" s="2" t="str">
        <f>IF(ISNUMBER(SEARCH("|",IMDB_Movies!$D2558)),LEFT(IMDB_Movies!$D2558,SEARCH("|",IMDB_Movies!$D2558)-1),IMDB_Movies!$D2558)</f>
        <v>Drama</v>
      </c>
      <c r="V2558" s="2"/>
      <c r="W2558" s="2"/>
    </row>
    <row r="2559" spans="1:23" ht="12.5" x14ac:dyDescent="0.25">
      <c r="A2559" s="2" t="s">
        <v>4371</v>
      </c>
      <c r="B2559" s="2">
        <v>121</v>
      </c>
      <c r="C2559" s="2">
        <v>16574731</v>
      </c>
      <c r="D2559" s="2" t="s">
        <v>2082</v>
      </c>
      <c r="E2559" s="2" t="s">
        <v>4372</v>
      </c>
      <c r="F2559" s="2" t="s">
        <v>14</v>
      </c>
      <c r="G2559" s="2" t="s">
        <v>15</v>
      </c>
      <c r="H2559" s="2">
        <v>13000000</v>
      </c>
      <c r="I2559" s="2">
        <v>5.8</v>
      </c>
      <c r="J2559" s="2">
        <f t="shared" si="20"/>
        <v>3574731</v>
      </c>
      <c r="K2559" s="2">
        <f t="shared" si="21"/>
        <v>-2.0786024343236623E-2</v>
      </c>
      <c r="L2559" s="2" t="str">
        <f>IF(ISNUMBER(SEARCH("|",IMDB_Movies!$D2559)),LEFT(IMDB_Movies!$D2559,SEARCH("|",IMDB_Movies!$D2559)-1),IMDB_Movies!$D2559)</f>
        <v>Drama</v>
      </c>
      <c r="V2559" s="2"/>
      <c r="W2559" s="2"/>
    </row>
    <row r="2560" spans="1:23" ht="12.5" x14ac:dyDescent="0.25">
      <c r="A2560" s="2" t="s">
        <v>4373</v>
      </c>
      <c r="B2560" s="2">
        <v>84</v>
      </c>
      <c r="C2560" s="2">
        <v>5002310</v>
      </c>
      <c r="D2560" s="2" t="s">
        <v>4374</v>
      </c>
      <c r="E2560" s="2" t="s">
        <v>4375</v>
      </c>
      <c r="F2560" s="2" t="s">
        <v>14</v>
      </c>
      <c r="G2560" s="2" t="s">
        <v>15</v>
      </c>
      <c r="H2560" s="2">
        <v>13000000</v>
      </c>
      <c r="I2560" s="2">
        <v>5.6</v>
      </c>
      <c r="J2560" s="2">
        <f t="shared" si="20"/>
        <v>-7997690</v>
      </c>
      <c r="K2560" s="2">
        <f t="shared" si="21"/>
        <v>-2.0786031683875921E-2</v>
      </c>
      <c r="L2560" s="2" t="str">
        <f>IF(ISNUMBER(SEARCH("|",IMDB_Movies!$D2560)),LEFT(IMDB_Movies!$D2560,SEARCH("|",IMDB_Movies!$D2560)-1),IMDB_Movies!$D2560)</f>
        <v>Adventure</v>
      </c>
      <c r="V2560" s="2"/>
      <c r="W2560" s="2"/>
    </row>
    <row r="2561" spans="1:23" ht="12.5" x14ac:dyDescent="0.25">
      <c r="A2561" s="2" t="s">
        <v>4376</v>
      </c>
      <c r="B2561" s="2">
        <v>93</v>
      </c>
      <c r="C2561" s="2">
        <v>4919896</v>
      </c>
      <c r="D2561" s="2" t="s">
        <v>2009</v>
      </c>
      <c r="E2561" s="2" t="s">
        <v>4377</v>
      </c>
      <c r="F2561" s="2" t="s">
        <v>14</v>
      </c>
      <c r="G2561" s="2" t="s">
        <v>22</v>
      </c>
      <c r="H2561" s="2">
        <v>13000000</v>
      </c>
      <c r="I2561" s="2">
        <v>6.1</v>
      </c>
      <c r="J2561" s="2">
        <f t="shared" si="20"/>
        <v>-8080104</v>
      </c>
      <c r="K2561" s="2">
        <f t="shared" si="21"/>
        <v>-2.0796535762466973E-2</v>
      </c>
      <c r="L2561" s="2" t="str">
        <f>IF(ISNUMBER(SEARCH("|",IMDB_Movies!$D2561)),LEFT(IMDB_Movies!$D2561,SEARCH("|",IMDB_Movies!$D2561)-1),IMDB_Movies!$D2561)</f>
        <v>Comedy</v>
      </c>
      <c r="V2561" s="2"/>
      <c r="W2561" s="2"/>
    </row>
    <row r="2562" spans="1:23" ht="12.5" x14ac:dyDescent="0.25">
      <c r="A2562" s="2" t="s">
        <v>3475</v>
      </c>
      <c r="B2562" s="2">
        <v>93</v>
      </c>
      <c r="C2562" s="2">
        <v>25675765</v>
      </c>
      <c r="D2562" s="2" t="s">
        <v>709</v>
      </c>
      <c r="E2562" s="2" t="s">
        <v>4378</v>
      </c>
      <c r="F2562" s="2" t="s">
        <v>14</v>
      </c>
      <c r="G2562" s="2" t="s">
        <v>15</v>
      </c>
      <c r="H2562" s="2">
        <v>13000000</v>
      </c>
      <c r="I2562" s="2">
        <v>5.9</v>
      </c>
      <c r="J2562" s="2">
        <f t="shared" si="20"/>
        <v>12675765</v>
      </c>
      <c r="K2562" s="2">
        <f t="shared" si="21"/>
        <v>-2.0807140388569012E-2</v>
      </c>
      <c r="L2562" s="2" t="str">
        <f>IF(ISNUMBER(SEARCH("|",IMDB_Movies!$D2562)),LEFT(IMDB_Movies!$D2562,SEARCH("|",IMDB_Movies!$D2562)-1),IMDB_Movies!$D2562)</f>
        <v>Comedy</v>
      </c>
      <c r="V2562" s="2"/>
      <c r="W2562" s="2"/>
    </row>
    <row r="2563" spans="1:23" ht="12.5" x14ac:dyDescent="0.25">
      <c r="A2563" s="2" t="s">
        <v>4379</v>
      </c>
      <c r="B2563" s="2">
        <v>120</v>
      </c>
      <c r="C2563" s="2">
        <v>4857376</v>
      </c>
      <c r="D2563" s="2" t="s">
        <v>514</v>
      </c>
      <c r="E2563" s="2" t="s">
        <v>4380</v>
      </c>
      <c r="F2563" s="2" t="s">
        <v>1006</v>
      </c>
      <c r="G2563" s="2" t="s">
        <v>686</v>
      </c>
      <c r="H2563" s="2">
        <v>13000000</v>
      </c>
      <c r="I2563" s="2">
        <v>7.3</v>
      </c>
      <c r="J2563" s="2">
        <f t="shared" si="20"/>
        <v>-8142624</v>
      </c>
      <c r="K2563" s="2">
        <f t="shared" si="21"/>
        <v>-2.0800354355825515E-2</v>
      </c>
      <c r="L2563" s="2" t="str">
        <f>IF(ISNUMBER(SEARCH("|",IMDB_Movies!$D2563)),LEFT(IMDB_Movies!$D2563,SEARCH("|",IMDB_Movies!$D2563)-1),IMDB_Movies!$D2563)</f>
        <v>Comedy</v>
      </c>
      <c r="V2563" s="2"/>
      <c r="W2563" s="2"/>
    </row>
    <row r="2564" spans="1:23" ht="12.5" x14ac:dyDescent="0.25">
      <c r="A2564" s="2" t="s">
        <v>1494</v>
      </c>
      <c r="B2564" s="2">
        <v>112</v>
      </c>
      <c r="C2564" s="2">
        <v>3169424</v>
      </c>
      <c r="D2564" s="2" t="s">
        <v>1307</v>
      </c>
      <c r="E2564" s="2" t="s">
        <v>4381</v>
      </c>
      <c r="F2564" s="2" t="s">
        <v>14</v>
      </c>
      <c r="G2564" s="2" t="s">
        <v>15</v>
      </c>
      <c r="H2564" s="2">
        <v>13000000</v>
      </c>
      <c r="I2564" s="2">
        <v>6.8</v>
      </c>
      <c r="J2564" s="2">
        <f t="shared" si="20"/>
        <v>-9830576</v>
      </c>
      <c r="K2564" s="2">
        <f t="shared" si="21"/>
        <v>-2.0811040451216754E-2</v>
      </c>
      <c r="L2564" s="2" t="str">
        <f>IF(ISNUMBER(SEARCH("|",IMDB_Movies!$D2564)),LEFT(IMDB_Movies!$D2564,SEARCH("|",IMDB_Movies!$D2564)-1),IMDB_Movies!$D2564)</f>
        <v>Drama</v>
      </c>
      <c r="V2564" s="2"/>
      <c r="W2564" s="2"/>
    </row>
    <row r="2565" spans="1:23" ht="12.5" x14ac:dyDescent="0.25">
      <c r="A2565" s="2" t="s">
        <v>620</v>
      </c>
      <c r="B2565" s="2">
        <v>107</v>
      </c>
      <c r="C2565" s="2">
        <v>18004225</v>
      </c>
      <c r="D2565" s="2" t="s">
        <v>514</v>
      </c>
      <c r="E2565" s="2" t="s">
        <v>4382</v>
      </c>
      <c r="F2565" s="2" t="s">
        <v>14</v>
      </c>
      <c r="G2565" s="2" t="s">
        <v>15</v>
      </c>
      <c r="H2565" s="2">
        <v>13000000</v>
      </c>
      <c r="I2565" s="2">
        <v>5.7</v>
      </c>
      <c r="J2565" s="2">
        <f t="shared" si="20"/>
        <v>5004225</v>
      </c>
      <c r="K2565" s="2">
        <f t="shared" si="21"/>
        <v>-2.0823459868225744E-2</v>
      </c>
      <c r="L2565" s="2" t="str">
        <f>IF(ISNUMBER(SEARCH("|",IMDB_Movies!$D2565)),LEFT(IMDB_Movies!$D2565,SEARCH("|",IMDB_Movies!$D2565)-1),IMDB_Movies!$D2565)</f>
        <v>Comedy</v>
      </c>
      <c r="V2565" s="2"/>
      <c r="W2565" s="2"/>
    </row>
    <row r="2566" spans="1:23" ht="12.5" x14ac:dyDescent="0.25">
      <c r="A2566" s="2" t="s">
        <v>4383</v>
      </c>
      <c r="B2566" s="2">
        <v>112</v>
      </c>
      <c r="C2566" s="2">
        <v>3058380</v>
      </c>
      <c r="D2566" s="2" t="s">
        <v>85</v>
      </c>
      <c r="E2566" s="2" t="s">
        <v>4384</v>
      </c>
      <c r="F2566" s="2" t="s">
        <v>1006</v>
      </c>
      <c r="G2566" s="2" t="s">
        <v>686</v>
      </c>
      <c r="H2566" s="2">
        <v>100000000</v>
      </c>
      <c r="I2566" s="2">
        <v>7.3</v>
      </c>
      <c r="J2566" s="2">
        <f t="shared" si="20"/>
        <v>-96941620</v>
      </c>
      <c r="K2566" s="2">
        <f t="shared" si="21"/>
        <v>-2.0822335633331673E-2</v>
      </c>
      <c r="L2566" s="2" t="str">
        <f>IF(ISNUMBER(SEARCH("|",IMDB_Movies!$D2566)),LEFT(IMDB_Movies!$D2566,SEARCH("|",IMDB_Movies!$D2566)-1),IMDB_Movies!$D2566)</f>
        <v>Drama</v>
      </c>
      <c r="V2566" s="2"/>
      <c r="W2566" s="2"/>
    </row>
    <row r="2567" spans="1:23" ht="12.5" x14ac:dyDescent="0.25">
      <c r="A2567" s="2" t="s">
        <v>3244</v>
      </c>
      <c r="B2567" s="2">
        <v>96</v>
      </c>
      <c r="C2567" s="2">
        <v>3074838</v>
      </c>
      <c r="D2567" s="2" t="s">
        <v>1137</v>
      </c>
      <c r="E2567" s="2" t="s">
        <v>4385</v>
      </c>
      <c r="F2567" s="2" t="s">
        <v>14</v>
      </c>
      <c r="G2567" s="2" t="s">
        <v>15</v>
      </c>
      <c r="H2567" s="2">
        <v>11000000</v>
      </c>
      <c r="I2567" s="2">
        <v>6.3</v>
      </c>
      <c r="J2567" s="2">
        <f t="shared" si="20"/>
        <v>-7925162</v>
      </c>
      <c r="K2567" s="2">
        <f t="shared" si="21"/>
        <v>-2.0758430126124106E-2</v>
      </c>
      <c r="L2567" s="2" t="str">
        <f>IF(ISNUMBER(SEARCH("|",IMDB_Movies!$D2567)),LEFT(IMDB_Movies!$D2567,SEARCH("|",IMDB_Movies!$D2567)-1),IMDB_Movies!$D2567)</f>
        <v>Drama</v>
      </c>
      <c r="V2567" s="2"/>
      <c r="W2567" s="2"/>
    </row>
    <row r="2568" spans="1:23" ht="12.5" x14ac:dyDescent="0.25">
      <c r="A2568" s="2" t="s">
        <v>4386</v>
      </c>
      <c r="B2568" s="2">
        <v>91</v>
      </c>
      <c r="C2568" s="2">
        <v>2104000</v>
      </c>
      <c r="D2568" s="2" t="s">
        <v>3003</v>
      </c>
      <c r="E2568" s="2" t="s">
        <v>4387</v>
      </c>
      <c r="F2568" s="2" t="s">
        <v>14</v>
      </c>
      <c r="G2568" s="2" t="s">
        <v>15</v>
      </c>
      <c r="H2568" s="2">
        <v>13000000</v>
      </c>
      <c r="I2568" s="2">
        <v>5.9</v>
      </c>
      <c r="J2568" s="2">
        <f t="shared" si="20"/>
        <v>-10896000</v>
      </c>
      <c r="K2568" s="2">
        <f t="shared" si="21"/>
        <v>-2.0772699201530694E-2</v>
      </c>
      <c r="L2568" s="2" t="str">
        <f>IF(ISNUMBER(SEARCH("|",IMDB_Movies!$D2568)),LEFT(IMDB_Movies!$D2568,SEARCH("|",IMDB_Movies!$D2568)-1),IMDB_Movies!$D2568)</f>
        <v>Comedy</v>
      </c>
      <c r="V2568" s="2"/>
      <c r="W2568" s="2"/>
    </row>
    <row r="2569" spans="1:23" ht="12.5" x14ac:dyDescent="0.25">
      <c r="A2569" s="2" t="s">
        <v>3288</v>
      </c>
      <c r="B2569" s="2">
        <v>125</v>
      </c>
      <c r="C2569" s="2">
        <v>1172769</v>
      </c>
      <c r="D2569" s="2" t="s">
        <v>654</v>
      </c>
      <c r="E2569" s="2" t="s">
        <v>4388</v>
      </c>
      <c r="F2569" s="2" t="s">
        <v>14</v>
      </c>
      <c r="G2569" s="2" t="s">
        <v>287</v>
      </c>
      <c r="H2569" s="2">
        <v>13000000</v>
      </c>
      <c r="I2569" s="2">
        <v>7.1</v>
      </c>
      <c r="J2569" s="2">
        <f t="shared" si="20"/>
        <v>-11827231</v>
      </c>
      <c r="K2569" s="2">
        <f t="shared" si="21"/>
        <v>-2.0786230657126831E-2</v>
      </c>
      <c r="L2569" s="2" t="str">
        <f>IF(ISNUMBER(SEARCH("|",IMDB_Movies!$D2569)),LEFT(IMDB_Movies!$D2569,SEARCH("|",IMDB_Movies!$D2569)-1),IMDB_Movies!$D2569)</f>
        <v>Biography</v>
      </c>
      <c r="V2569" s="2"/>
      <c r="W2569" s="2"/>
    </row>
    <row r="2570" spans="1:23" ht="12.5" x14ac:dyDescent="0.25">
      <c r="A2570" s="2" t="s">
        <v>4389</v>
      </c>
      <c r="B2570" s="2">
        <v>102</v>
      </c>
      <c r="C2570" s="2">
        <v>17738570</v>
      </c>
      <c r="D2570" s="2" t="s">
        <v>85</v>
      </c>
      <c r="E2570" s="2" t="s">
        <v>4390</v>
      </c>
      <c r="F2570" s="2" t="s">
        <v>14</v>
      </c>
      <c r="G2570" s="2" t="s">
        <v>15</v>
      </c>
      <c r="H2570" s="2">
        <v>13000000</v>
      </c>
      <c r="I2570" s="2">
        <v>8</v>
      </c>
      <c r="J2570" s="2">
        <f t="shared" si="20"/>
        <v>4738570</v>
      </c>
      <c r="K2570" s="2">
        <f t="shared" si="21"/>
        <v>-2.0800766698099177E-2</v>
      </c>
      <c r="L2570" s="2" t="str">
        <f>IF(ISNUMBER(SEARCH("|",IMDB_Movies!$D2570)),LEFT(IMDB_Movies!$D2570,SEARCH("|",IMDB_Movies!$D2570)-1),IMDB_Movies!$D2570)</f>
        <v>Drama</v>
      </c>
      <c r="V2570" s="2"/>
      <c r="W2570" s="2"/>
    </row>
    <row r="2571" spans="1:23" ht="12.5" x14ac:dyDescent="0.25">
      <c r="A2571" s="2" t="s">
        <v>4391</v>
      </c>
      <c r="B2571" s="2">
        <v>87</v>
      </c>
      <c r="C2571" s="2">
        <v>1200000</v>
      </c>
      <c r="D2571" s="2" t="s">
        <v>483</v>
      </c>
      <c r="E2571" s="2" t="s">
        <v>4392</v>
      </c>
      <c r="F2571" s="2" t="s">
        <v>14</v>
      </c>
      <c r="G2571" s="2" t="s">
        <v>15</v>
      </c>
      <c r="H2571" s="2">
        <v>3000000</v>
      </c>
      <c r="I2571" s="2">
        <v>5.0999999999999996</v>
      </c>
      <c r="J2571" s="2">
        <f t="shared" si="20"/>
        <v>-1800000</v>
      </c>
      <c r="K2571" s="2">
        <f t="shared" si="21"/>
        <v>-2.0799892891283249E-2</v>
      </c>
      <c r="L2571" s="2" t="str">
        <f>IF(ISNUMBER(SEARCH("|",IMDB_Movies!$D2571)),LEFT(IMDB_Movies!$D2571,SEARCH("|",IMDB_Movies!$D2571)-1),IMDB_Movies!$D2571)</f>
        <v>Action</v>
      </c>
      <c r="V2571" s="2"/>
      <c r="W2571" s="2"/>
    </row>
    <row r="2572" spans="1:23" ht="12.5" x14ac:dyDescent="0.25">
      <c r="A2572" s="2" t="s">
        <v>3293</v>
      </c>
      <c r="B2572" s="2">
        <v>118</v>
      </c>
      <c r="C2572" s="2">
        <v>1150403</v>
      </c>
      <c r="D2572" s="2" t="s">
        <v>614</v>
      </c>
      <c r="E2572" s="2" t="s">
        <v>4393</v>
      </c>
      <c r="F2572" s="2" t="s">
        <v>14</v>
      </c>
      <c r="G2572" s="2" t="s">
        <v>15</v>
      </c>
      <c r="H2572" s="2">
        <v>13000000</v>
      </c>
      <c r="I2572" s="2">
        <v>7.1</v>
      </c>
      <c r="J2572" s="2">
        <f t="shared" si="20"/>
        <v>-11849597</v>
      </c>
      <c r="K2572" s="2">
        <f t="shared" si="21"/>
        <v>-2.0824527314287966E-2</v>
      </c>
      <c r="L2572" s="2" t="str">
        <f>IF(ISNUMBER(SEARCH("|",IMDB_Movies!$D2572)),LEFT(IMDB_Movies!$D2572,SEARCH("|",IMDB_Movies!$D2572)-1),IMDB_Movies!$D2572)</f>
        <v>Biography</v>
      </c>
      <c r="V2572" s="2"/>
      <c r="W2572" s="2"/>
    </row>
    <row r="2573" spans="1:23" ht="12.5" x14ac:dyDescent="0.25">
      <c r="A2573" s="2" t="s">
        <v>4169</v>
      </c>
      <c r="B2573" s="2">
        <v>115</v>
      </c>
      <c r="C2573" s="2">
        <v>403932</v>
      </c>
      <c r="D2573" s="2" t="s">
        <v>1389</v>
      </c>
      <c r="E2573" s="2" t="s">
        <v>4394</v>
      </c>
      <c r="F2573" s="2" t="s">
        <v>14</v>
      </c>
      <c r="G2573" s="2" t="s">
        <v>22</v>
      </c>
      <c r="H2573" s="2">
        <v>20000000</v>
      </c>
      <c r="I2573" s="2">
        <v>6.5</v>
      </c>
      <c r="J2573" s="2">
        <f t="shared" si="20"/>
        <v>-19596068</v>
      </c>
      <c r="K2573" s="2">
        <f t="shared" si="21"/>
        <v>-2.0839159242571646E-2</v>
      </c>
      <c r="L2573" s="2" t="str">
        <f>IF(ISNUMBER(SEARCH("|",IMDB_Movies!$D2573)),LEFT(IMDB_Movies!$D2573,SEARCH("|",IMDB_Movies!$D2573)-1),IMDB_Movies!$D2573)</f>
        <v>Drama</v>
      </c>
      <c r="V2573" s="2"/>
      <c r="W2573" s="2"/>
    </row>
    <row r="2574" spans="1:23" ht="12.5" x14ac:dyDescent="0.25">
      <c r="A2574" s="2" t="s">
        <v>1550</v>
      </c>
      <c r="B2574" s="2">
        <v>91</v>
      </c>
      <c r="C2574" s="2">
        <v>1712111</v>
      </c>
      <c r="D2574" s="2" t="s">
        <v>2228</v>
      </c>
      <c r="E2574" s="2" t="s">
        <v>4395</v>
      </c>
      <c r="F2574" s="2" t="s">
        <v>14</v>
      </c>
      <c r="G2574" s="2" t="s">
        <v>15</v>
      </c>
      <c r="H2574" s="2">
        <v>8495000</v>
      </c>
      <c r="I2574" s="2">
        <v>4.5</v>
      </c>
      <c r="J2574" s="2">
        <f t="shared" si="20"/>
        <v>-6782889</v>
      </c>
      <c r="K2574" s="2">
        <f t="shared" si="21"/>
        <v>-2.084718423605815E-2</v>
      </c>
      <c r="L2574" s="2" t="str">
        <f>IF(ISNUMBER(SEARCH("|",IMDB_Movies!$D2574)),LEFT(IMDB_Movies!$D2574,SEARCH("|",IMDB_Movies!$D2574)-1),IMDB_Movies!$D2574)</f>
        <v>Horror</v>
      </c>
      <c r="V2574" s="2"/>
      <c r="W2574" s="2"/>
    </row>
    <row r="2575" spans="1:23" ht="12.5" x14ac:dyDescent="0.25">
      <c r="A2575" s="2" t="s">
        <v>4396</v>
      </c>
      <c r="B2575" s="2">
        <v>88</v>
      </c>
      <c r="C2575" s="2">
        <v>1024175</v>
      </c>
      <c r="D2575" s="2" t="s">
        <v>2510</v>
      </c>
      <c r="E2575" s="2" t="s">
        <v>4397</v>
      </c>
      <c r="F2575" s="2" t="s">
        <v>14</v>
      </c>
      <c r="G2575" s="2" t="s">
        <v>22</v>
      </c>
      <c r="H2575" s="2">
        <v>13000000</v>
      </c>
      <c r="I2575" s="2">
        <v>6.6</v>
      </c>
      <c r="J2575" s="2">
        <f t="shared" si="20"/>
        <v>-11975825</v>
      </c>
      <c r="K2575" s="2">
        <f t="shared" si="21"/>
        <v>-2.0865675248734963E-2</v>
      </c>
      <c r="L2575" s="2" t="str">
        <f>IF(ISNUMBER(SEARCH("|",IMDB_Movies!$D2575)),LEFT(IMDB_Movies!$D2575,SEARCH("|",IMDB_Movies!$D2575)-1),IMDB_Movies!$D2575)</f>
        <v>Action</v>
      </c>
      <c r="V2575" s="2"/>
      <c r="W2575" s="2"/>
    </row>
    <row r="2576" spans="1:23" ht="12.5" x14ac:dyDescent="0.25">
      <c r="A2576" s="2" t="s">
        <v>1276</v>
      </c>
      <c r="B2576" s="2">
        <v>127</v>
      </c>
      <c r="C2576" s="2">
        <v>301305</v>
      </c>
      <c r="D2576" s="2" t="s">
        <v>2432</v>
      </c>
      <c r="E2576" s="2" t="s">
        <v>4398</v>
      </c>
      <c r="F2576" s="2" t="s">
        <v>4399</v>
      </c>
      <c r="G2576" s="2" t="s">
        <v>15</v>
      </c>
      <c r="H2576" s="2">
        <v>13000000</v>
      </c>
      <c r="I2576" s="2">
        <v>4.3</v>
      </c>
      <c r="J2576" s="2">
        <f t="shared" si="20"/>
        <v>-12698695</v>
      </c>
      <c r="K2576" s="2">
        <f t="shared" si="21"/>
        <v>-2.0880520852734029E-2</v>
      </c>
      <c r="L2576" s="2" t="str">
        <f>IF(ISNUMBER(SEARCH("|",IMDB_Movies!$D2576)),LEFT(IMDB_Movies!$D2576,SEARCH("|",IMDB_Movies!$D2576)-1),IMDB_Movies!$D2576)</f>
        <v>Drama</v>
      </c>
      <c r="V2576" s="2"/>
      <c r="W2576" s="2"/>
    </row>
    <row r="2577" spans="1:23" ht="12.5" x14ac:dyDescent="0.25">
      <c r="A2577" s="2" t="s">
        <v>4202</v>
      </c>
      <c r="B2577" s="2">
        <v>94</v>
      </c>
      <c r="C2577" s="2">
        <v>51872378</v>
      </c>
      <c r="D2577" s="2" t="s">
        <v>550</v>
      </c>
      <c r="E2577" s="2" t="s">
        <v>4400</v>
      </c>
      <c r="F2577" s="2" t="s">
        <v>14</v>
      </c>
      <c r="G2577" s="2" t="s">
        <v>15</v>
      </c>
      <c r="H2577" s="2">
        <v>13000000</v>
      </c>
      <c r="I2577" s="2">
        <v>6.7</v>
      </c>
      <c r="J2577" s="2">
        <f t="shared" si="20"/>
        <v>38872378</v>
      </c>
      <c r="K2577" s="2">
        <f t="shared" si="21"/>
        <v>-2.089617160019035E-2</v>
      </c>
      <c r="L2577" s="2" t="str">
        <f>IF(ISNUMBER(SEARCH("|",IMDB_Movies!$D2577)),LEFT(IMDB_Movies!$D2577,SEARCH("|",IMDB_Movies!$D2577)-1),IMDB_Movies!$D2577)</f>
        <v>Crime</v>
      </c>
      <c r="V2577" s="2"/>
      <c r="W2577" s="2"/>
    </row>
    <row r="2578" spans="1:23" ht="12.5" x14ac:dyDescent="0.25">
      <c r="A2578" s="2" t="s">
        <v>4401</v>
      </c>
      <c r="B2578" s="2">
        <v>115</v>
      </c>
      <c r="C2578" s="2">
        <v>31662</v>
      </c>
      <c r="D2578" s="2" t="s">
        <v>378</v>
      </c>
      <c r="E2578" s="2" t="s">
        <v>4402</v>
      </c>
      <c r="F2578" s="2" t="s">
        <v>14</v>
      </c>
      <c r="G2578" s="2" t="s">
        <v>2305</v>
      </c>
      <c r="H2578" s="2">
        <v>12620000</v>
      </c>
      <c r="I2578" s="2">
        <v>6.8</v>
      </c>
      <c r="J2578" s="2">
        <f t="shared" si="20"/>
        <v>-12588338</v>
      </c>
      <c r="K2578" s="2">
        <f t="shared" si="21"/>
        <v>-2.0876825641164876E-2</v>
      </c>
      <c r="L2578" s="2" t="str">
        <f>IF(ISNUMBER(SEARCH("|",IMDB_Movies!$D2578)),LEFT(IMDB_Movies!$D2578,SEARCH("|",IMDB_Movies!$D2578)-1),IMDB_Movies!$D2578)</f>
        <v>Action</v>
      </c>
      <c r="V2578" s="2"/>
      <c r="W2578" s="2"/>
    </row>
    <row r="2579" spans="1:23" ht="12.5" x14ac:dyDescent="0.25">
      <c r="A2579" s="2" t="s">
        <v>4403</v>
      </c>
      <c r="B2579" s="2">
        <v>90</v>
      </c>
      <c r="C2579" s="2">
        <v>28399192</v>
      </c>
      <c r="D2579" s="2" t="s">
        <v>4404</v>
      </c>
      <c r="E2579" s="2" t="s">
        <v>4405</v>
      </c>
      <c r="F2579" s="2" t="s">
        <v>14</v>
      </c>
      <c r="G2579" s="2" t="s">
        <v>135</v>
      </c>
      <c r="H2579" s="2">
        <v>13000000</v>
      </c>
      <c r="I2579" s="2">
        <v>5.4</v>
      </c>
      <c r="J2579" s="2">
        <f t="shared" si="20"/>
        <v>15399192</v>
      </c>
      <c r="K2579" s="2">
        <f t="shared" si="21"/>
        <v>-2.0893198198486729E-2</v>
      </c>
      <c r="L2579" s="2" t="str">
        <f>IF(ISNUMBER(SEARCH("|",IMDB_Movies!$D2579)),LEFT(IMDB_Movies!$D2579,SEARCH("|",IMDB_Movies!$D2579)-1),IMDB_Movies!$D2579)</f>
        <v>Action</v>
      </c>
      <c r="V2579" s="2"/>
      <c r="W2579" s="2"/>
    </row>
    <row r="2580" spans="1:23" ht="12.5" x14ac:dyDescent="0.25">
      <c r="A2580" s="2" t="s">
        <v>1293</v>
      </c>
      <c r="B2580" s="2">
        <v>102</v>
      </c>
      <c r="C2580" s="2">
        <v>2035566</v>
      </c>
      <c r="D2580" s="2" t="s">
        <v>4406</v>
      </c>
      <c r="E2580" s="2" t="s">
        <v>4407</v>
      </c>
      <c r="F2580" s="2" t="s">
        <v>14</v>
      </c>
      <c r="G2580" s="2" t="s">
        <v>686</v>
      </c>
      <c r="H2580" s="2">
        <v>13000000</v>
      </c>
      <c r="I2580" s="2">
        <v>6.6</v>
      </c>
      <c r="J2580" s="2">
        <f t="shared" si="20"/>
        <v>-10964434</v>
      </c>
      <c r="K2580" s="2">
        <f t="shared" si="21"/>
        <v>-2.0884607763271994E-2</v>
      </c>
      <c r="L2580" s="2" t="str">
        <f>IF(ISNUMBER(SEARCH("|",IMDB_Movies!$D2580)),LEFT(IMDB_Movies!$D2580,SEARCH("|",IMDB_Movies!$D2580)-1),IMDB_Movies!$D2580)</f>
        <v>Biography</v>
      </c>
      <c r="V2580" s="2"/>
      <c r="W2580" s="2"/>
    </row>
    <row r="2581" spans="1:23" ht="12.5" x14ac:dyDescent="0.25">
      <c r="A2581" s="2" t="s">
        <v>4084</v>
      </c>
      <c r="B2581" s="2">
        <v>117</v>
      </c>
      <c r="C2581" s="2">
        <v>21078145</v>
      </c>
      <c r="D2581" s="2" t="s">
        <v>555</v>
      </c>
      <c r="E2581" s="2" t="s">
        <v>4408</v>
      </c>
      <c r="F2581" s="2" t="s">
        <v>14</v>
      </c>
      <c r="G2581" s="2" t="s">
        <v>15</v>
      </c>
      <c r="H2581" s="2">
        <v>12500000</v>
      </c>
      <c r="I2581" s="2">
        <v>7.3</v>
      </c>
      <c r="J2581" s="2">
        <f t="shared" si="20"/>
        <v>8578145</v>
      </c>
      <c r="K2581" s="2">
        <f t="shared" si="21"/>
        <v>-2.0898446404858086E-2</v>
      </c>
      <c r="L2581" s="2" t="str">
        <f>IF(ISNUMBER(SEARCH("|",IMDB_Movies!$D2581)),LEFT(IMDB_Movies!$D2581,SEARCH("|",IMDB_Movies!$D2581)-1),IMDB_Movies!$D2581)</f>
        <v>Biography</v>
      </c>
      <c r="V2581" s="2"/>
      <c r="W2581" s="2"/>
    </row>
    <row r="2582" spans="1:23" ht="12.5" x14ac:dyDescent="0.25">
      <c r="A2582" s="2" t="s">
        <v>3062</v>
      </c>
      <c r="B2582" s="2">
        <v>109</v>
      </c>
      <c r="C2582" s="2">
        <v>14060950</v>
      </c>
      <c r="D2582" s="2" t="s">
        <v>1180</v>
      </c>
      <c r="E2582" s="2" t="s">
        <v>4409</v>
      </c>
      <c r="F2582" s="2" t="s">
        <v>14</v>
      </c>
      <c r="G2582" s="2" t="s">
        <v>15</v>
      </c>
      <c r="H2582" s="2">
        <v>12500000</v>
      </c>
      <c r="I2582" s="2">
        <v>6.9</v>
      </c>
      <c r="J2582" s="2">
        <f t="shared" si="20"/>
        <v>1560950</v>
      </c>
      <c r="K2582" s="2">
        <f t="shared" si="21"/>
        <v>-2.0894846693872052E-2</v>
      </c>
      <c r="L2582" s="2" t="str">
        <f>IF(ISNUMBER(SEARCH("|",IMDB_Movies!$D2582)),LEFT(IMDB_Movies!$D2582,SEARCH("|",IMDB_Movies!$D2582)-1),IMDB_Movies!$D2582)</f>
        <v>Drama</v>
      </c>
      <c r="V2582" s="2"/>
      <c r="W2582" s="2"/>
    </row>
    <row r="2583" spans="1:23" ht="12.5" x14ac:dyDescent="0.25">
      <c r="A2583" s="2" t="s">
        <v>618</v>
      </c>
      <c r="B2583" s="2">
        <v>121</v>
      </c>
      <c r="C2583" s="2">
        <v>12281500</v>
      </c>
      <c r="D2583" s="2" t="s">
        <v>1952</v>
      </c>
      <c r="E2583" s="2" t="s">
        <v>4410</v>
      </c>
      <c r="F2583" s="2" t="s">
        <v>14</v>
      </c>
      <c r="G2583" s="2" t="s">
        <v>15</v>
      </c>
      <c r="H2583" s="2">
        <v>13000000</v>
      </c>
      <c r="I2583" s="2">
        <v>8</v>
      </c>
      <c r="J2583" s="2">
        <f t="shared" si="20"/>
        <v>-718500</v>
      </c>
      <c r="K2583" s="2">
        <f t="shared" si="21"/>
        <v>-2.0897196315741481E-2</v>
      </c>
      <c r="L2583" s="2" t="str">
        <f>IF(ISNUMBER(SEARCH("|",IMDB_Movies!$D2583)),LEFT(IMDB_Movies!$D2583,SEARCH("|",IMDB_Movies!$D2583)-1),IMDB_Movies!$D2583)</f>
        <v>Action</v>
      </c>
      <c r="V2583" s="2"/>
      <c r="W2583" s="2"/>
    </row>
    <row r="2584" spans="1:23" ht="12.5" x14ac:dyDescent="0.25">
      <c r="A2584" s="2" t="s">
        <v>4149</v>
      </c>
      <c r="B2584" s="2">
        <v>100</v>
      </c>
      <c r="C2584" s="2">
        <v>10725228</v>
      </c>
      <c r="D2584" s="2" t="s">
        <v>3708</v>
      </c>
      <c r="E2584" s="2" t="s">
        <v>4411</v>
      </c>
      <c r="F2584" s="2" t="s">
        <v>14</v>
      </c>
      <c r="G2584" s="2" t="s">
        <v>15</v>
      </c>
      <c r="H2584" s="2">
        <v>12500000</v>
      </c>
      <c r="I2584" s="2">
        <v>7.8</v>
      </c>
      <c r="J2584" s="2">
        <f t="shared" si="20"/>
        <v>-1774772</v>
      </c>
      <c r="K2584" s="2">
        <f t="shared" si="21"/>
        <v>-2.0901038650602024E-2</v>
      </c>
      <c r="L2584" s="2" t="str">
        <f>IF(ISNUMBER(SEARCH("|",IMDB_Movies!$D2584)),LEFT(IMDB_Movies!$D2584,SEARCH("|",IMDB_Movies!$D2584)-1),IMDB_Movies!$D2584)</f>
        <v>Crime</v>
      </c>
      <c r="V2584" s="2"/>
      <c r="W2584" s="2"/>
    </row>
    <row r="2585" spans="1:23" ht="12.5" x14ac:dyDescent="0.25">
      <c r="A2585" s="2" t="s">
        <v>4169</v>
      </c>
      <c r="B2585" s="2">
        <v>109</v>
      </c>
      <c r="C2585" s="2">
        <v>214966</v>
      </c>
      <c r="D2585" s="2" t="s">
        <v>763</v>
      </c>
      <c r="E2585" s="2" t="s">
        <v>4412</v>
      </c>
      <c r="F2585" s="2" t="s">
        <v>14</v>
      </c>
      <c r="G2585" s="2" t="s">
        <v>15</v>
      </c>
      <c r="H2585" s="2">
        <v>13000000</v>
      </c>
      <c r="I2585" s="2">
        <v>6.1</v>
      </c>
      <c r="J2585" s="2">
        <f t="shared" si="20"/>
        <v>-12785034</v>
      </c>
      <c r="K2585" s="2">
        <f t="shared" si="21"/>
        <v>-2.0906504015183559E-2</v>
      </c>
      <c r="L2585" s="2" t="str">
        <f>IF(ISNUMBER(SEARCH("|",IMDB_Movies!$D2585)),LEFT(IMDB_Movies!$D2585,SEARCH("|",IMDB_Movies!$D2585)-1),IMDB_Movies!$D2585)</f>
        <v>Crime</v>
      </c>
      <c r="V2585" s="2"/>
      <c r="W2585" s="2"/>
    </row>
    <row r="2586" spans="1:23" ht="12.5" x14ac:dyDescent="0.25">
      <c r="A2586" s="2" t="s">
        <v>4413</v>
      </c>
      <c r="B2586" s="2">
        <v>101</v>
      </c>
      <c r="C2586" s="2">
        <v>11956207</v>
      </c>
      <c r="D2586" s="2" t="s">
        <v>2116</v>
      </c>
      <c r="E2586" s="2" t="s">
        <v>4414</v>
      </c>
      <c r="F2586" s="2" t="s">
        <v>14</v>
      </c>
      <c r="G2586" s="2" t="s">
        <v>15</v>
      </c>
      <c r="H2586" s="2">
        <v>16000000</v>
      </c>
      <c r="I2586" s="2">
        <v>5.0999999999999996</v>
      </c>
      <c r="J2586" s="2">
        <f t="shared" si="20"/>
        <v>-4043793</v>
      </c>
      <c r="K2586" s="2">
        <f t="shared" si="21"/>
        <v>-2.0922378298986015E-2</v>
      </c>
      <c r="L2586" s="2" t="str">
        <f>IF(ISNUMBER(SEARCH("|",IMDB_Movies!$D2586)),LEFT(IMDB_Movies!$D2586,SEARCH("|",IMDB_Movies!$D2586)-1),IMDB_Movies!$D2586)</f>
        <v>Horror</v>
      </c>
      <c r="V2586" s="2"/>
      <c r="W2586" s="2"/>
    </row>
    <row r="2587" spans="1:23" ht="12.5" x14ac:dyDescent="0.25">
      <c r="A2587" s="2" t="s">
        <v>2839</v>
      </c>
      <c r="B2587" s="2">
        <v>106</v>
      </c>
      <c r="C2587" s="2">
        <v>5949693</v>
      </c>
      <c r="D2587" s="2" t="s">
        <v>514</v>
      </c>
      <c r="E2587" s="2" t="s">
        <v>4415</v>
      </c>
      <c r="F2587" s="2" t="s">
        <v>14</v>
      </c>
      <c r="G2587" s="2" t="s">
        <v>15</v>
      </c>
      <c r="H2587" s="2">
        <v>12000000</v>
      </c>
      <c r="I2587" s="2">
        <v>7.4</v>
      </c>
      <c r="J2587" s="2">
        <f t="shared" si="20"/>
        <v>-6050307</v>
      </c>
      <c r="K2587" s="2">
        <f t="shared" si="21"/>
        <v>-2.092560546938858E-2</v>
      </c>
      <c r="L2587" s="2" t="str">
        <f>IF(ISNUMBER(SEARCH("|",IMDB_Movies!$D2587)),LEFT(IMDB_Movies!$D2587,SEARCH("|",IMDB_Movies!$D2587)-1),IMDB_Movies!$D2587)</f>
        <v>Comedy</v>
      </c>
      <c r="V2587" s="2"/>
      <c r="W2587" s="2"/>
    </row>
    <row r="2588" spans="1:23" ht="12.5" x14ac:dyDescent="0.25">
      <c r="A2588" s="2" t="s">
        <v>4416</v>
      </c>
      <c r="B2588" s="2">
        <v>94</v>
      </c>
      <c r="C2588" s="2">
        <v>9030581</v>
      </c>
      <c r="D2588" s="2" t="s">
        <v>1175</v>
      </c>
      <c r="E2588" s="2" t="s">
        <v>4417</v>
      </c>
      <c r="F2588" s="2" t="s">
        <v>14</v>
      </c>
      <c r="G2588" s="2" t="s">
        <v>22</v>
      </c>
      <c r="H2588" s="2">
        <v>12500000</v>
      </c>
      <c r="I2588" s="2">
        <v>7.8</v>
      </c>
      <c r="J2588" s="2">
        <f t="shared" si="20"/>
        <v>-3469419</v>
      </c>
      <c r="K2588" s="2">
        <f t="shared" si="21"/>
        <v>-2.0936222002748466E-2</v>
      </c>
      <c r="L2588" s="2" t="str">
        <f>IF(ISNUMBER(SEARCH("|",IMDB_Movies!$D2588)),LEFT(IMDB_Movies!$D2588,SEARCH("|",IMDB_Movies!$D2588)-1),IMDB_Movies!$D2588)</f>
        <v>Drama</v>
      </c>
      <c r="V2588" s="2"/>
      <c r="W2588" s="2"/>
    </row>
    <row r="2589" spans="1:23" ht="12.5" x14ac:dyDescent="0.25">
      <c r="A2589" s="2" t="s">
        <v>4240</v>
      </c>
      <c r="B2589" s="2">
        <v>140</v>
      </c>
      <c r="C2589" s="2">
        <v>4157491</v>
      </c>
      <c r="D2589" s="2" t="s">
        <v>4418</v>
      </c>
      <c r="E2589" s="2" t="s">
        <v>4419</v>
      </c>
      <c r="F2589" s="2" t="s">
        <v>14</v>
      </c>
      <c r="G2589" s="2" t="s">
        <v>2553</v>
      </c>
      <c r="H2589" s="2">
        <v>12800000</v>
      </c>
      <c r="I2589" s="2">
        <v>8</v>
      </c>
      <c r="J2589" s="2">
        <f t="shared" si="20"/>
        <v>-8642509</v>
      </c>
      <c r="K2589" s="2">
        <f t="shared" si="21"/>
        <v>-2.0943386576281569E-2</v>
      </c>
      <c r="L2589" s="2" t="str">
        <f>IF(ISNUMBER(SEARCH("|",IMDB_Movies!$D2589)),LEFT(IMDB_Movies!$D2589,SEARCH("|",IMDB_Movies!$D2589)-1),IMDB_Movies!$D2589)</f>
        <v>Crime</v>
      </c>
      <c r="V2589" s="2"/>
      <c r="W2589" s="2"/>
    </row>
    <row r="2590" spans="1:23" ht="12.5" x14ac:dyDescent="0.25">
      <c r="A2590" s="2" t="s">
        <v>4047</v>
      </c>
      <c r="B2590" s="2">
        <v>132</v>
      </c>
      <c r="C2590" s="2">
        <v>1508689</v>
      </c>
      <c r="D2590" s="2" t="s">
        <v>85</v>
      </c>
      <c r="E2590" s="2" t="s">
        <v>4420</v>
      </c>
      <c r="F2590" s="2" t="s">
        <v>14</v>
      </c>
      <c r="G2590" s="2" t="s">
        <v>15</v>
      </c>
      <c r="H2590" s="2">
        <v>16000000</v>
      </c>
      <c r="I2590" s="2">
        <v>6.7</v>
      </c>
      <c r="J2590" s="2">
        <f t="shared" si="20"/>
        <v>-14491311</v>
      </c>
      <c r="K2590" s="2">
        <f t="shared" si="21"/>
        <v>-2.0955320234435026E-2</v>
      </c>
      <c r="L2590" s="2" t="str">
        <f>IF(ISNUMBER(SEARCH("|",IMDB_Movies!$D2590)),LEFT(IMDB_Movies!$D2590,SEARCH("|",IMDB_Movies!$D2590)-1),IMDB_Movies!$D2590)</f>
        <v>Drama</v>
      </c>
      <c r="V2590" s="2"/>
      <c r="W2590" s="2"/>
    </row>
    <row r="2591" spans="1:23" ht="12.5" x14ac:dyDescent="0.25">
      <c r="A2591" s="2" t="s">
        <v>4421</v>
      </c>
      <c r="B2591" s="2">
        <v>99</v>
      </c>
      <c r="C2591" s="2">
        <v>1227324</v>
      </c>
      <c r="D2591" s="2" t="s">
        <v>694</v>
      </c>
      <c r="E2591" s="2" t="s">
        <v>4422</v>
      </c>
      <c r="F2591" s="2" t="s">
        <v>14</v>
      </c>
      <c r="G2591" s="2" t="s">
        <v>15</v>
      </c>
      <c r="H2591" s="2">
        <v>12500000</v>
      </c>
      <c r="I2591" s="2">
        <v>6.6</v>
      </c>
      <c r="J2591" s="2">
        <f t="shared" si="20"/>
        <v>-11272676</v>
      </c>
      <c r="K2591" s="2">
        <f t="shared" si="21"/>
        <v>-2.0966911491755461E-2</v>
      </c>
      <c r="L2591" s="2" t="str">
        <f>IF(ISNUMBER(SEARCH("|",IMDB_Movies!$D2591)),LEFT(IMDB_Movies!$D2591,SEARCH("|",IMDB_Movies!$D2591)-1),IMDB_Movies!$D2591)</f>
        <v>Crime</v>
      </c>
      <c r="V2591" s="2"/>
      <c r="W2591" s="2"/>
    </row>
    <row r="2592" spans="1:23" ht="12.5" x14ac:dyDescent="0.25">
      <c r="A2592" s="2" t="s">
        <v>4423</v>
      </c>
      <c r="B2592" s="2">
        <v>90</v>
      </c>
      <c r="C2592" s="2">
        <v>4360548</v>
      </c>
      <c r="D2592" s="2" t="s">
        <v>514</v>
      </c>
      <c r="E2592" s="2" t="s">
        <v>4424</v>
      </c>
      <c r="F2592" s="2" t="s">
        <v>14</v>
      </c>
      <c r="G2592" s="2" t="s">
        <v>15</v>
      </c>
      <c r="H2592" s="2">
        <v>15000000</v>
      </c>
      <c r="I2592" s="2">
        <v>6.4</v>
      </c>
      <c r="J2592" s="2">
        <f t="shared" si="20"/>
        <v>-10639452</v>
      </c>
      <c r="K2592" s="2">
        <f t="shared" si="21"/>
        <v>-2.0982331013744884E-2</v>
      </c>
      <c r="L2592" s="2" t="str">
        <f>IF(ISNUMBER(SEARCH("|",IMDB_Movies!$D2592)),LEFT(IMDB_Movies!$D2592,SEARCH("|",IMDB_Movies!$D2592)-1),IMDB_Movies!$D2592)</f>
        <v>Comedy</v>
      </c>
      <c r="V2592" s="2"/>
      <c r="W2592" s="2"/>
    </row>
    <row r="2593" spans="1:23" ht="12.5" x14ac:dyDescent="0.25">
      <c r="A2593" s="2" t="s">
        <v>4425</v>
      </c>
      <c r="B2593" s="2">
        <v>105</v>
      </c>
      <c r="C2593" s="2">
        <v>26589953</v>
      </c>
      <c r="D2593" s="2" t="s">
        <v>125</v>
      </c>
      <c r="E2593" s="2" t="s">
        <v>4426</v>
      </c>
      <c r="F2593" s="2" t="s">
        <v>14</v>
      </c>
      <c r="G2593" s="2" t="s">
        <v>15</v>
      </c>
      <c r="H2593" s="2">
        <v>10500000</v>
      </c>
      <c r="I2593" s="2">
        <v>6.7</v>
      </c>
      <c r="J2593" s="2">
        <f t="shared" si="20"/>
        <v>16089953</v>
      </c>
      <c r="K2593" s="2">
        <f t="shared" si="21"/>
        <v>-2.0992331706066698E-2</v>
      </c>
      <c r="L2593" s="2" t="str">
        <f>IF(ISNUMBER(SEARCH("|",IMDB_Movies!$D2593)),LEFT(IMDB_Movies!$D2593,SEARCH("|",IMDB_Movies!$D2593)-1),IMDB_Movies!$D2593)</f>
        <v>Action</v>
      </c>
      <c r="V2593" s="2"/>
      <c r="W2593" s="2"/>
    </row>
    <row r="2594" spans="1:23" ht="12.5" x14ac:dyDescent="0.25">
      <c r="A2594" s="2" t="s">
        <v>4427</v>
      </c>
      <c r="B2594" s="2">
        <v>108</v>
      </c>
      <c r="C2594" s="2">
        <v>1039869</v>
      </c>
      <c r="D2594" s="2" t="s">
        <v>654</v>
      </c>
      <c r="E2594" s="2" t="s">
        <v>4428</v>
      </c>
      <c r="F2594" s="2" t="s">
        <v>14</v>
      </c>
      <c r="G2594" s="2" t="s">
        <v>104</v>
      </c>
      <c r="H2594" s="2">
        <v>15000000</v>
      </c>
      <c r="I2594" s="2">
        <v>6.2</v>
      </c>
      <c r="J2594" s="2">
        <f t="shared" si="20"/>
        <v>-13960131</v>
      </c>
      <c r="K2594" s="2">
        <f t="shared" si="21"/>
        <v>-2.0983306129278245E-2</v>
      </c>
      <c r="L2594" s="2" t="str">
        <f>IF(ISNUMBER(SEARCH("|",IMDB_Movies!$D2594)),LEFT(IMDB_Movies!$D2594,SEARCH("|",IMDB_Movies!$D2594)-1),IMDB_Movies!$D2594)</f>
        <v>Biography</v>
      </c>
      <c r="V2594" s="2"/>
      <c r="W2594" s="2"/>
    </row>
    <row r="2595" spans="1:23" ht="12.5" x14ac:dyDescent="0.25">
      <c r="A2595" s="2" t="s">
        <v>1094</v>
      </c>
      <c r="B2595" s="2">
        <v>69</v>
      </c>
      <c r="C2595" s="2">
        <v>48092846</v>
      </c>
      <c r="D2595" s="2" t="s">
        <v>987</v>
      </c>
      <c r="E2595" s="2" t="s">
        <v>4429</v>
      </c>
      <c r="F2595" s="2" t="s">
        <v>14</v>
      </c>
      <c r="G2595" s="2" t="s">
        <v>15</v>
      </c>
      <c r="H2595" s="2">
        <v>12500000</v>
      </c>
      <c r="I2595" s="2">
        <v>7.3</v>
      </c>
      <c r="J2595" s="2">
        <f t="shared" si="20"/>
        <v>35592846</v>
      </c>
      <c r="K2595" s="2">
        <f t="shared" si="21"/>
        <v>-2.099641506103209E-2</v>
      </c>
      <c r="L2595" s="2" t="str">
        <f>IF(ISNUMBER(SEARCH("|",IMDB_Movies!$D2595)),LEFT(IMDB_Movies!$D2595,SEARCH("|",IMDB_Movies!$D2595)-1),IMDB_Movies!$D2595)</f>
        <v>Adventure</v>
      </c>
      <c r="V2595" s="2"/>
      <c r="W2595" s="2"/>
    </row>
    <row r="2596" spans="1:23" ht="12.5" x14ac:dyDescent="0.25">
      <c r="A2596" s="2" t="s">
        <v>4430</v>
      </c>
      <c r="B2596" s="2">
        <v>148</v>
      </c>
      <c r="C2596" s="2">
        <v>1110186</v>
      </c>
      <c r="D2596" s="2" t="s">
        <v>529</v>
      </c>
      <c r="E2596" s="2" t="s">
        <v>4431</v>
      </c>
      <c r="F2596" s="2" t="s">
        <v>4432</v>
      </c>
      <c r="G2596" s="2" t="s">
        <v>2305</v>
      </c>
      <c r="H2596" s="2">
        <v>12800000</v>
      </c>
      <c r="I2596" s="2">
        <v>8.1</v>
      </c>
      <c r="J2596" s="2">
        <f t="shared" si="20"/>
        <v>-11689814</v>
      </c>
      <c r="K2596" s="2">
        <f t="shared" si="21"/>
        <v>-2.0976867742365155E-2</v>
      </c>
      <c r="L2596" s="2" t="str">
        <f>IF(ISNUMBER(SEARCH("|",IMDB_Movies!$D2596)),LEFT(IMDB_Movies!$D2596,SEARCH("|",IMDB_Movies!$D2596)-1),IMDB_Movies!$D2596)</f>
        <v>Action</v>
      </c>
      <c r="V2596" s="2"/>
      <c r="W2596" s="2"/>
    </row>
    <row r="2597" spans="1:23" ht="12.5" x14ac:dyDescent="0.25">
      <c r="A2597" s="2" t="s">
        <v>4433</v>
      </c>
      <c r="B2597" s="2">
        <v>118</v>
      </c>
      <c r="C2597" s="2">
        <v>1089445</v>
      </c>
      <c r="D2597" s="2" t="s">
        <v>4434</v>
      </c>
      <c r="E2597" s="2" t="s">
        <v>4435</v>
      </c>
      <c r="F2597" s="2" t="s">
        <v>14</v>
      </c>
      <c r="G2597" s="2" t="s">
        <v>104</v>
      </c>
      <c r="H2597" s="2">
        <v>12500000</v>
      </c>
      <c r="I2597" s="2">
        <v>7</v>
      </c>
      <c r="J2597" s="2">
        <f t="shared" si="20"/>
        <v>-11410555</v>
      </c>
      <c r="K2597" s="2">
        <f t="shared" si="21"/>
        <v>-2.0992179539414915E-2</v>
      </c>
      <c r="L2597" s="2" t="str">
        <f>IF(ISNUMBER(SEARCH("|",IMDB_Movies!$D2597)),LEFT(IMDB_Movies!$D2597,SEARCH("|",IMDB_Movies!$D2597)-1),IMDB_Movies!$D2597)</f>
        <v>Comedy</v>
      </c>
      <c r="V2597" s="2"/>
      <c r="W2597" s="2"/>
    </row>
    <row r="2598" spans="1:23" ht="12.5" x14ac:dyDescent="0.25">
      <c r="A2598" s="2" t="s">
        <v>1612</v>
      </c>
      <c r="B2598" s="2">
        <v>132</v>
      </c>
      <c r="C2598" s="2">
        <v>204565000</v>
      </c>
      <c r="D2598" s="2" t="s">
        <v>2148</v>
      </c>
      <c r="E2598" s="2" t="s">
        <v>4436</v>
      </c>
      <c r="F2598" s="2" t="s">
        <v>14</v>
      </c>
      <c r="G2598" s="2" t="s">
        <v>15</v>
      </c>
      <c r="H2598" s="2">
        <v>8000000</v>
      </c>
      <c r="I2598" s="2">
        <v>8</v>
      </c>
      <c r="J2598" s="2">
        <f t="shared" si="20"/>
        <v>196565000</v>
      </c>
      <c r="K2598" s="2">
        <f t="shared" si="21"/>
        <v>-2.1007851233964203E-2</v>
      </c>
      <c r="L2598" s="2" t="str">
        <f>IF(ISNUMBER(SEARCH("|",IMDB_Movies!$D2598)),LEFT(IMDB_Movies!$D2598,SEARCH("|",IMDB_Movies!$D2598)-1),IMDB_Movies!$D2598)</f>
        <v>Horror</v>
      </c>
      <c r="V2598" s="2"/>
      <c r="W2598" s="2"/>
    </row>
    <row r="2599" spans="1:23" ht="12.5" x14ac:dyDescent="0.25">
      <c r="A2599" s="2" t="s">
        <v>141</v>
      </c>
      <c r="B2599" s="2">
        <v>130</v>
      </c>
      <c r="C2599" s="2">
        <v>260000000</v>
      </c>
      <c r="D2599" s="2" t="s">
        <v>652</v>
      </c>
      <c r="E2599" s="2" t="s">
        <v>4437</v>
      </c>
      <c r="F2599" s="2" t="s">
        <v>14</v>
      </c>
      <c r="G2599" s="2" t="s">
        <v>15</v>
      </c>
      <c r="H2599" s="2">
        <v>8000000</v>
      </c>
      <c r="I2599" s="2">
        <v>8</v>
      </c>
      <c r="J2599" s="2">
        <f t="shared" si="20"/>
        <v>252000000</v>
      </c>
      <c r="K2599" s="2">
        <f t="shared" si="21"/>
        <v>-2.1069500537412043E-2</v>
      </c>
      <c r="L2599" s="2" t="str">
        <f>IF(ISNUMBER(SEARCH("|",IMDB_Movies!$D2599)),LEFT(IMDB_Movies!$D2599,SEARCH("|",IMDB_Movies!$D2599)-1),IMDB_Movies!$D2599)</f>
        <v>Adventure</v>
      </c>
      <c r="V2599" s="2"/>
      <c r="W2599" s="2"/>
    </row>
    <row r="2600" spans="1:23" ht="12.5" x14ac:dyDescent="0.25">
      <c r="A2600" s="2" t="s">
        <v>620</v>
      </c>
      <c r="B2600" s="2">
        <v>95</v>
      </c>
      <c r="C2600" s="2">
        <v>101736215</v>
      </c>
      <c r="D2600" s="2" t="s">
        <v>709</v>
      </c>
      <c r="E2600" s="2" t="s">
        <v>4438</v>
      </c>
      <c r="F2600" s="2" t="s">
        <v>14</v>
      </c>
      <c r="G2600" s="2" t="s">
        <v>15</v>
      </c>
      <c r="H2600" s="2">
        <v>11000000</v>
      </c>
      <c r="I2600" s="2">
        <v>7</v>
      </c>
      <c r="J2600" s="2">
        <f t="shared" si="20"/>
        <v>90736215</v>
      </c>
      <c r="K2600" s="2">
        <f t="shared" si="21"/>
        <v>-2.127308892943407E-2</v>
      </c>
      <c r="L2600" s="2" t="str">
        <f>IF(ISNUMBER(SEARCH("|",IMDB_Movies!$D2600)),LEFT(IMDB_Movies!$D2600,SEARCH("|",IMDB_Movies!$D2600)-1),IMDB_Movies!$D2600)</f>
        <v>Comedy</v>
      </c>
      <c r="V2600" s="2"/>
      <c r="W2600" s="2"/>
    </row>
    <row r="2601" spans="1:23" ht="12.5" x14ac:dyDescent="0.25">
      <c r="A2601" s="2" t="s">
        <v>4439</v>
      </c>
      <c r="B2601" s="2">
        <v>80</v>
      </c>
      <c r="C2601" s="2">
        <v>71442</v>
      </c>
      <c r="D2601" s="2" t="s">
        <v>4440</v>
      </c>
      <c r="E2601" s="2" t="s">
        <v>4441</v>
      </c>
      <c r="F2601" s="2" t="s">
        <v>1006</v>
      </c>
      <c r="G2601" s="2" t="s">
        <v>686</v>
      </c>
      <c r="H2601" s="2">
        <v>9600000</v>
      </c>
      <c r="I2601" s="2">
        <v>7.9</v>
      </c>
      <c r="J2601" s="2">
        <f t="shared" si="20"/>
        <v>-9528558</v>
      </c>
      <c r="K2601" s="2">
        <f t="shared" si="21"/>
        <v>-2.1249516007687149E-2</v>
      </c>
      <c r="L2601" s="2" t="str">
        <f>IF(ISNUMBER(SEARCH("|",IMDB_Movies!$D2601)),LEFT(IMDB_Movies!$D2601,SEARCH("|",IMDB_Movies!$D2601)-1),IMDB_Movies!$D2601)</f>
        <v>Animation</v>
      </c>
      <c r="V2601" s="2"/>
      <c r="W2601" s="2"/>
    </row>
    <row r="2602" spans="1:23" ht="12.5" x14ac:dyDescent="0.25">
      <c r="A2602" s="2" t="s">
        <v>2949</v>
      </c>
      <c r="B2602" s="2">
        <v>94</v>
      </c>
      <c r="C2602" s="2">
        <v>79817937</v>
      </c>
      <c r="D2602" s="2" t="s">
        <v>4442</v>
      </c>
      <c r="E2602" s="2" t="s">
        <v>4443</v>
      </c>
      <c r="F2602" s="2" t="s">
        <v>14</v>
      </c>
      <c r="G2602" s="2" t="s">
        <v>15</v>
      </c>
      <c r="H2602" s="2">
        <v>25000000</v>
      </c>
      <c r="I2602" s="2">
        <v>5.9</v>
      </c>
      <c r="J2602" s="2">
        <f t="shared" si="20"/>
        <v>54817937</v>
      </c>
      <c r="K2602" s="2">
        <f t="shared" si="21"/>
        <v>-2.1269919989810468E-2</v>
      </c>
      <c r="L2602" s="2" t="str">
        <f>IF(ISNUMBER(SEARCH("|",IMDB_Movies!$D2602)),LEFT(IMDB_Movies!$D2602,SEARCH("|",IMDB_Movies!$D2602)-1),IMDB_Movies!$D2602)</f>
        <v>Action</v>
      </c>
      <c r="V2602" s="2"/>
      <c r="W2602" s="2"/>
    </row>
    <row r="2603" spans="1:23" ht="12.5" x14ac:dyDescent="0.25">
      <c r="A2603" s="2" t="s">
        <v>490</v>
      </c>
      <c r="B2603" s="2">
        <v>122</v>
      </c>
      <c r="C2603" s="2">
        <v>91547205</v>
      </c>
      <c r="D2603" s="2" t="s">
        <v>600</v>
      </c>
      <c r="E2603" s="2" t="s">
        <v>4444</v>
      </c>
      <c r="F2603" s="2" t="s">
        <v>14</v>
      </c>
      <c r="G2603" s="2" t="s">
        <v>15</v>
      </c>
      <c r="H2603" s="2">
        <v>12000000</v>
      </c>
      <c r="I2603" s="2">
        <v>6.6</v>
      </c>
      <c r="J2603" s="2">
        <f t="shared" si="20"/>
        <v>79547205</v>
      </c>
      <c r="K2603" s="2">
        <f t="shared" si="21"/>
        <v>-2.1300793043950134E-2</v>
      </c>
      <c r="L2603" s="2" t="str">
        <f>IF(ISNUMBER(SEARCH("|",IMDB_Movies!$D2603)),LEFT(IMDB_Movies!$D2603,SEARCH("|",IMDB_Movies!$D2603)-1),IMDB_Movies!$D2603)</f>
        <v>Comedy</v>
      </c>
      <c r="V2603" s="2"/>
      <c r="W2603" s="2"/>
    </row>
    <row r="2604" spans="1:23" ht="12.5" x14ac:dyDescent="0.25">
      <c r="A2604" s="2" t="s">
        <v>490</v>
      </c>
      <c r="B2604" s="2">
        <v>102</v>
      </c>
      <c r="C2604" s="2">
        <v>75074950</v>
      </c>
      <c r="D2604" s="2" t="s">
        <v>891</v>
      </c>
      <c r="E2604" s="2" t="s">
        <v>4445</v>
      </c>
      <c r="F2604" s="2" t="s">
        <v>14</v>
      </c>
      <c r="G2604" s="2" t="s">
        <v>15</v>
      </c>
      <c r="H2604" s="2">
        <v>12000000</v>
      </c>
      <c r="I2604" s="2">
        <v>6.3</v>
      </c>
      <c r="J2604" s="2">
        <f t="shared" si="20"/>
        <v>63074950</v>
      </c>
      <c r="K2604" s="2">
        <f t="shared" si="21"/>
        <v>-2.1278618326732338E-2</v>
      </c>
      <c r="L2604" s="2" t="str">
        <f>IF(ISNUMBER(SEARCH("|",IMDB_Movies!$D2604)),LEFT(IMDB_Movies!$D2604,SEARCH("|",IMDB_Movies!$D2604)-1),IMDB_Movies!$D2604)</f>
        <v>Comedy</v>
      </c>
      <c r="V2604" s="2"/>
      <c r="W2604" s="2"/>
    </row>
    <row r="2605" spans="1:23" ht="12.5" x14ac:dyDescent="0.25">
      <c r="A2605" s="2" t="s">
        <v>2972</v>
      </c>
      <c r="B2605" s="2">
        <v>116</v>
      </c>
      <c r="C2605" s="2">
        <v>78900000</v>
      </c>
      <c r="D2605" s="2" t="s">
        <v>28</v>
      </c>
      <c r="E2605" s="2" t="s">
        <v>4446</v>
      </c>
      <c r="F2605" s="2" t="s">
        <v>14</v>
      </c>
      <c r="G2605" s="2" t="s">
        <v>15</v>
      </c>
      <c r="H2605" s="2">
        <v>11000000</v>
      </c>
      <c r="I2605" s="2">
        <v>7.7</v>
      </c>
      <c r="J2605" s="2">
        <f t="shared" si="20"/>
        <v>67900000</v>
      </c>
      <c r="K2605" s="2">
        <f t="shared" si="21"/>
        <v>-2.1252803672544368E-2</v>
      </c>
      <c r="L2605" s="2" t="str">
        <f>IF(ISNUMBER(SEARCH("|",IMDB_Movies!$D2605)),LEFT(IMDB_Movies!$D2605,SEARCH("|",IMDB_Movies!$D2605)-1),IMDB_Movies!$D2605)</f>
        <v>Action</v>
      </c>
      <c r="V2605" s="2"/>
      <c r="W2605" s="2"/>
    </row>
    <row r="2606" spans="1:23" ht="12.5" x14ac:dyDescent="0.25">
      <c r="A2606" s="2" t="s">
        <v>203</v>
      </c>
      <c r="B2606" s="2">
        <v>78</v>
      </c>
      <c r="C2606" s="2">
        <v>72217000</v>
      </c>
      <c r="D2606" s="2" t="s">
        <v>709</v>
      </c>
      <c r="E2606" s="2" t="s">
        <v>4447</v>
      </c>
      <c r="F2606" s="2" t="s">
        <v>14</v>
      </c>
      <c r="G2606" s="2" t="s">
        <v>15</v>
      </c>
      <c r="H2606" s="2">
        <v>12000000</v>
      </c>
      <c r="I2606" s="2">
        <v>6.9</v>
      </c>
      <c r="J2606" s="2">
        <f t="shared" si="20"/>
        <v>60217000</v>
      </c>
      <c r="K2606" s="2">
        <f t="shared" si="21"/>
        <v>-2.1223039993772074E-2</v>
      </c>
      <c r="L2606" s="2" t="str">
        <f>IF(ISNUMBER(SEARCH("|",IMDB_Movies!$D2606)),LEFT(IMDB_Movies!$D2606,SEARCH("|",IMDB_Movies!$D2606)-1),IMDB_Movies!$D2606)</f>
        <v>Comedy</v>
      </c>
      <c r="V2606" s="2"/>
      <c r="W2606" s="2"/>
    </row>
    <row r="2607" spans="1:23" ht="12.5" x14ac:dyDescent="0.25">
      <c r="A2607" s="2" t="s">
        <v>4448</v>
      </c>
      <c r="B2607" s="2">
        <v>114</v>
      </c>
      <c r="C2607" s="2">
        <v>79568000</v>
      </c>
      <c r="D2607" s="2" t="s">
        <v>1025</v>
      </c>
      <c r="E2607" s="2" t="s">
        <v>4449</v>
      </c>
      <c r="F2607" s="2" t="s">
        <v>14</v>
      </c>
      <c r="G2607" s="2" t="s">
        <v>15</v>
      </c>
      <c r="H2607" s="2">
        <v>12000000</v>
      </c>
      <c r="I2607" s="2">
        <v>7.1</v>
      </c>
      <c r="J2607" s="2">
        <f t="shared" si="20"/>
        <v>67568000</v>
      </c>
      <c r="K2607" s="2">
        <f t="shared" si="21"/>
        <v>-2.119692468694263E-2</v>
      </c>
      <c r="L2607" s="2" t="str">
        <f>IF(ISNUMBER(SEARCH("|",IMDB_Movies!$D2607)),LEFT(IMDB_Movies!$D2607,SEARCH("|",IMDB_Movies!$D2607)-1),IMDB_Movies!$D2607)</f>
        <v>Sci-Fi</v>
      </c>
      <c r="V2607" s="2"/>
      <c r="W2607" s="2"/>
    </row>
    <row r="2608" spans="1:23" ht="12.5" x14ac:dyDescent="0.25">
      <c r="A2608" s="2" t="s">
        <v>405</v>
      </c>
      <c r="B2608" s="2">
        <v>112</v>
      </c>
      <c r="C2608" s="2">
        <v>65500000</v>
      </c>
      <c r="D2608" s="2" t="s">
        <v>1791</v>
      </c>
      <c r="E2608" s="2" t="s">
        <v>4450</v>
      </c>
      <c r="F2608" s="2" t="s">
        <v>14</v>
      </c>
      <c r="G2608" s="2" t="s">
        <v>15</v>
      </c>
      <c r="H2608" s="2">
        <v>12000000</v>
      </c>
      <c r="I2608" s="2">
        <v>7.4</v>
      </c>
      <c r="J2608" s="2">
        <f t="shared" si="20"/>
        <v>53500000</v>
      </c>
      <c r="K2608" s="2">
        <f t="shared" si="21"/>
        <v>-2.1171395014478622E-2</v>
      </c>
      <c r="L2608" s="2" t="str">
        <f>IF(ISNUMBER(SEARCH("|",IMDB_Movies!$D2608)),LEFT(IMDB_Movies!$D2608,SEARCH("|",IMDB_Movies!$D2608)-1),IMDB_Movies!$D2608)</f>
        <v>Crime</v>
      </c>
      <c r="V2608" s="2"/>
      <c r="W2608" s="2"/>
    </row>
    <row r="2609" spans="1:23" ht="12.5" x14ac:dyDescent="0.25">
      <c r="A2609" s="2" t="s">
        <v>4451</v>
      </c>
      <c r="B2609" s="2">
        <v>110</v>
      </c>
      <c r="C2609" s="2">
        <v>70011073</v>
      </c>
      <c r="D2609" s="2" t="s">
        <v>4452</v>
      </c>
      <c r="E2609" s="2" t="s">
        <v>4453</v>
      </c>
      <c r="F2609" s="2" t="s">
        <v>14</v>
      </c>
      <c r="G2609" s="2" t="s">
        <v>15</v>
      </c>
      <c r="H2609" s="2">
        <v>12000000</v>
      </c>
      <c r="I2609" s="2">
        <v>6.5</v>
      </c>
      <c r="J2609" s="2">
        <f t="shared" si="20"/>
        <v>58011073</v>
      </c>
      <c r="K2609" s="2">
        <f t="shared" si="21"/>
        <v>-2.114535161522842E-2</v>
      </c>
      <c r="L2609" s="2" t="str">
        <f>IF(ISNUMBER(SEARCH("|",IMDB_Movies!$D2609)),LEFT(IMDB_Movies!$D2609,SEARCH("|",IMDB_Movies!$D2609)-1),IMDB_Movies!$D2609)</f>
        <v>Action</v>
      </c>
      <c r="V2609" s="2"/>
      <c r="W2609" s="2"/>
    </row>
    <row r="2610" spans="1:23" ht="12.5" x14ac:dyDescent="0.25">
      <c r="A2610" s="2" t="s">
        <v>2095</v>
      </c>
      <c r="B2610" s="2">
        <v>104</v>
      </c>
      <c r="C2610" s="2">
        <v>65269010</v>
      </c>
      <c r="D2610" s="2" t="s">
        <v>4454</v>
      </c>
      <c r="E2610" s="2" t="s">
        <v>4455</v>
      </c>
      <c r="F2610" s="2" t="s">
        <v>14</v>
      </c>
      <c r="G2610" s="2" t="s">
        <v>15</v>
      </c>
      <c r="H2610" s="2">
        <v>12000000</v>
      </c>
      <c r="I2610" s="2">
        <v>6.5</v>
      </c>
      <c r="J2610" s="2">
        <f t="shared" si="20"/>
        <v>53269010</v>
      </c>
      <c r="K2610" s="2">
        <f t="shared" si="21"/>
        <v>-2.1118993195476353E-2</v>
      </c>
      <c r="L2610" s="2" t="str">
        <f>IF(ISNUMBER(SEARCH("|",IMDB_Movies!$D2610)),LEFT(IMDB_Movies!$D2610,SEARCH("|",IMDB_Movies!$D2610)-1),IMDB_Movies!$D2610)</f>
        <v>Crime</v>
      </c>
      <c r="V2610" s="2"/>
      <c r="W2610" s="2"/>
    </row>
    <row r="2611" spans="1:23" ht="12.5" x14ac:dyDescent="0.25">
      <c r="A2611" s="2" t="s">
        <v>4456</v>
      </c>
      <c r="B2611" s="2">
        <v>81</v>
      </c>
      <c r="C2611" s="2">
        <v>63071133</v>
      </c>
      <c r="D2611" s="2" t="s">
        <v>4457</v>
      </c>
      <c r="E2611" s="2" t="s">
        <v>4458</v>
      </c>
      <c r="F2611" s="2" t="s">
        <v>14</v>
      </c>
      <c r="G2611" s="2" t="s">
        <v>15</v>
      </c>
      <c r="H2611" s="2">
        <v>12000000</v>
      </c>
      <c r="I2611" s="2">
        <v>6.8</v>
      </c>
      <c r="J2611" s="2">
        <f t="shared" si="20"/>
        <v>51071133</v>
      </c>
      <c r="K2611" s="2">
        <f t="shared" si="21"/>
        <v>-2.1092818920067646E-2</v>
      </c>
      <c r="L2611" s="2" t="str">
        <f>IF(ISNUMBER(SEARCH("|",IMDB_Movies!$D2611)),LEFT(IMDB_Movies!$D2611,SEARCH("|",IMDB_Movies!$D2611)-1),IMDB_Movies!$D2611)</f>
        <v>Adventure</v>
      </c>
      <c r="V2611" s="2"/>
      <c r="W2611" s="2"/>
    </row>
    <row r="2612" spans="1:23" ht="12.5" x14ac:dyDescent="0.25">
      <c r="A2612" s="2" t="s">
        <v>628</v>
      </c>
      <c r="B2612" s="2">
        <v>154</v>
      </c>
      <c r="C2612" s="2">
        <v>39647595</v>
      </c>
      <c r="D2612" s="2" t="s">
        <v>550</v>
      </c>
      <c r="E2612" s="2" t="s">
        <v>4459</v>
      </c>
      <c r="F2612" s="2" t="s">
        <v>14</v>
      </c>
      <c r="G2612" s="2" t="s">
        <v>15</v>
      </c>
      <c r="H2612" s="2">
        <v>12000000</v>
      </c>
      <c r="I2612" s="2">
        <v>7.5</v>
      </c>
      <c r="J2612" s="2">
        <f t="shared" si="20"/>
        <v>27647595</v>
      </c>
      <c r="K2612" s="2">
        <f t="shared" si="21"/>
        <v>-2.1066825529588662E-2</v>
      </c>
      <c r="L2612" s="2" t="str">
        <f>IF(ISNUMBER(SEARCH("|",IMDB_Movies!$D2612)),LEFT(IMDB_Movies!$D2612,SEARCH("|",IMDB_Movies!$D2612)-1),IMDB_Movies!$D2612)</f>
        <v>Crime</v>
      </c>
      <c r="V2612" s="2"/>
      <c r="W2612" s="2"/>
    </row>
    <row r="2613" spans="1:23" ht="12.5" x14ac:dyDescent="0.25">
      <c r="A2613" s="2" t="s">
        <v>1776</v>
      </c>
      <c r="B2613" s="2">
        <v>102</v>
      </c>
      <c r="C2613" s="2">
        <v>38087366</v>
      </c>
      <c r="D2613" s="2" t="s">
        <v>1450</v>
      </c>
      <c r="E2613" s="2" t="s">
        <v>4460</v>
      </c>
      <c r="F2613" s="2" t="s">
        <v>14</v>
      </c>
      <c r="G2613" s="2" t="s">
        <v>15</v>
      </c>
      <c r="H2613" s="2">
        <v>12000000</v>
      </c>
      <c r="I2613" s="2">
        <v>6.6</v>
      </c>
      <c r="J2613" s="2">
        <f t="shared" si="20"/>
        <v>26087366</v>
      </c>
      <c r="K2613" s="2">
        <f t="shared" si="21"/>
        <v>-2.1048803718553555E-2</v>
      </c>
      <c r="L2613" s="2" t="str">
        <f>IF(ISNUMBER(SEARCH("|",IMDB_Movies!$D2613)),LEFT(IMDB_Movies!$D2613,SEARCH("|",IMDB_Movies!$D2613)-1),IMDB_Movies!$D2613)</f>
        <v>Adventure</v>
      </c>
      <c r="V2613" s="2"/>
      <c r="W2613" s="2"/>
    </row>
    <row r="2614" spans="1:23" ht="12.5" x14ac:dyDescent="0.25">
      <c r="A2614" s="2" t="s">
        <v>540</v>
      </c>
      <c r="B2614" s="2">
        <v>89</v>
      </c>
      <c r="C2614" s="2">
        <v>64572496</v>
      </c>
      <c r="D2614" s="2" t="s">
        <v>942</v>
      </c>
      <c r="E2614" s="2" t="s">
        <v>4461</v>
      </c>
      <c r="F2614" s="2" t="s">
        <v>14</v>
      </c>
      <c r="G2614" s="2" t="s">
        <v>15</v>
      </c>
      <c r="H2614" s="2">
        <v>12000000</v>
      </c>
      <c r="I2614" s="2">
        <v>7.1</v>
      </c>
      <c r="J2614" s="2">
        <f t="shared" si="20"/>
        <v>52572496</v>
      </c>
      <c r="K2614" s="2">
        <f t="shared" si="21"/>
        <v>-2.1031624681909007E-2</v>
      </c>
      <c r="L2614" s="2" t="str">
        <f>IF(ISNUMBER(SEARCH("|",IMDB_Movies!$D2614)),LEFT(IMDB_Movies!$D2614,SEARCH("|",IMDB_Movies!$D2614)-1),IMDB_Movies!$D2614)</f>
        <v>Drama</v>
      </c>
      <c r="V2614" s="2"/>
      <c r="W2614" s="2"/>
    </row>
    <row r="2615" spans="1:23" ht="12.5" x14ac:dyDescent="0.25">
      <c r="A2615" s="2" t="s">
        <v>2058</v>
      </c>
      <c r="B2615" s="2">
        <v>132</v>
      </c>
      <c r="C2615" s="2">
        <v>30400000</v>
      </c>
      <c r="D2615" s="2" t="s">
        <v>993</v>
      </c>
      <c r="E2615" s="2" t="s">
        <v>4462</v>
      </c>
      <c r="F2615" s="2" t="s">
        <v>14</v>
      </c>
      <c r="G2615" s="2" t="s">
        <v>22</v>
      </c>
      <c r="H2615" s="2">
        <v>12000000</v>
      </c>
      <c r="I2615" s="2">
        <v>6.6</v>
      </c>
      <c r="J2615" s="2">
        <f t="shared" si="20"/>
        <v>18400000</v>
      </c>
      <c r="K2615" s="2">
        <f t="shared" si="21"/>
        <v>-2.1005248966316302E-2</v>
      </c>
      <c r="L2615" s="2" t="str">
        <f>IF(ISNUMBER(SEARCH("|",IMDB_Movies!$D2615)),LEFT(IMDB_Movies!$D2615,SEARCH("|",IMDB_Movies!$D2615)-1),IMDB_Movies!$D2615)</f>
        <v>Drama</v>
      </c>
      <c r="V2615" s="2"/>
      <c r="W2615" s="2"/>
    </row>
    <row r="2616" spans="1:23" ht="12.5" x14ac:dyDescent="0.25">
      <c r="A2616" s="2" t="s">
        <v>977</v>
      </c>
      <c r="B2616" s="2">
        <v>103</v>
      </c>
      <c r="C2616" s="2">
        <v>42365600</v>
      </c>
      <c r="D2616" s="2" t="s">
        <v>4463</v>
      </c>
      <c r="E2616" s="2" t="s">
        <v>4464</v>
      </c>
      <c r="F2616" s="2" t="s">
        <v>14</v>
      </c>
      <c r="G2616" s="2" t="s">
        <v>22</v>
      </c>
      <c r="H2616" s="2">
        <v>5000000</v>
      </c>
      <c r="I2616" s="2">
        <v>7</v>
      </c>
      <c r="J2616" s="2">
        <f t="shared" si="20"/>
        <v>37365600</v>
      </c>
      <c r="K2616" s="2">
        <f t="shared" si="21"/>
        <v>-2.0992952267742889E-2</v>
      </c>
      <c r="L2616" s="2" t="str">
        <f>IF(ISNUMBER(SEARCH("|",IMDB_Movies!$D2616)),LEFT(IMDB_Movies!$D2616,SEARCH("|",IMDB_Movies!$D2616)-1),IMDB_Movies!$D2616)</f>
        <v>Adventure</v>
      </c>
      <c r="V2616" s="2"/>
      <c r="W2616" s="2"/>
    </row>
    <row r="2617" spans="1:23" ht="12.5" x14ac:dyDescent="0.25">
      <c r="A2617" s="2" t="s">
        <v>4465</v>
      </c>
      <c r="B2617" s="2">
        <v>93</v>
      </c>
      <c r="C2617" s="2">
        <v>37188667</v>
      </c>
      <c r="D2617" s="2" t="s">
        <v>891</v>
      </c>
      <c r="E2617" s="2" t="s">
        <v>4466</v>
      </c>
      <c r="F2617" s="2" t="s">
        <v>14</v>
      </c>
      <c r="G2617" s="2" t="s">
        <v>15</v>
      </c>
      <c r="H2617" s="2">
        <v>12000000</v>
      </c>
      <c r="I2617" s="2">
        <v>3.3</v>
      </c>
      <c r="J2617" s="2">
        <f t="shared" si="20"/>
        <v>25188667</v>
      </c>
      <c r="K2617" s="2">
        <f t="shared" si="21"/>
        <v>-2.0960490712585968E-2</v>
      </c>
      <c r="L2617" s="2" t="str">
        <f>IF(ISNUMBER(SEARCH("|",IMDB_Movies!$D2617)),LEFT(IMDB_Movies!$D2617,SEARCH("|",IMDB_Movies!$D2617)-1),IMDB_Movies!$D2617)</f>
        <v>Comedy</v>
      </c>
      <c r="V2617" s="2"/>
      <c r="W2617" s="2"/>
    </row>
    <row r="2618" spans="1:23" ht="12.5" x14ac:dyDescent="0.25">
      <c r="A2618" s="2" t="s">
        <v>4467</v>
      </c>
      <c r="B2618" s="2">
        <v>93</v>
      </c>
      <c r="C2618" s="2">
        <v>54724272</v>
      </c>
      <c r="D2618" s="2" t="s">
        <v>375</v>
      </c>
      <c r="E2618" s="2" t="s">
        <v>4468</v>
      </c>
      <c r="F2618" s="2" t="s">
        <v>14</v>
      </c>
      <c r="G2618" s="2" t="s">
        <v>15</v>
      </c>
      <c r="H2618" s="2">
        <v>12000000</v>
      </c>
      <c r="I2618" s="2">
        <v>6.7</v>
      </c>
      <c r="J2618" s="2">
        <f t="shared" si="20"/>
        <v>42724272</v>
      </c>
      <c r="K2618" s="2">
        <f t="shared" si="21"/>
        <v>-2.0943664697363605E-2</v>
      </c>
      <c r="L2618" s="2" t="str">
        <f>IF(ISNUMBER(SEARCH("|",IMDB_Movies!$D2618)),LEFT(IMDB_Movies!$D2618,SEARCH("|",IMDB_Movies!$D2618)-1),IMDB_Movies!$D2618)</f>
        <v>Comedy</v>
      </c>
      <c r="V2618" s="2"/>
      <c r="W2618" s="2"/>
    </row>
    <row r="2619" spans="1:23" ht="12.5" x14ac:dyDescent="0.25">
      <c r="A2619" s="2" t="s">
        <v>4200</v>
      </c>
      <c r="B2619" s="2">
        <v>96</v>
      </c>
      <c r="C2619" s="2">
        <v>31597131</v>
      </c>
      <c r="D2619" s="2" t="s">
        <v>1400</v>
      </c>
      <c r="E2619" s="2" t="s">
        <v>4469</v>
      </c>
      <c r="F2619" s="2" t="s">
        <v>14</v>
      </c>
      <c r="G2619" s="2" t="s">
        <v>15</v>
      </c>
      <c r="H2619" s="2">
        <v>12000000</v>
      </c>
      <c r="I2619" s="2">
        <v>6.8</v>
      </c>
      <c r="J2619" s="2">
        <f t="shared" si="20"/>
        <v>19597131</v>
      </c>
      <c r="K2619" s="2">
        <f t="shared" si="21"/>
        <v>-2.0919004980511632E-2</v>
      </c>
      <c r="L2619" s="2" t="str">
        <f>IF(ISNUMBER(SEARCH("|",IMDB_Movies!$D2619)),LEFT(IMDB_Movies!$D2619,SEARCH("|",IMDB_Movies!$D2619)-1),IMDB_Movies!$D2619)</f>
        <v>Drama</v>
      </c>
      <c r="V2619" s="2"/>
      <c r="W2619" s="2"/>
    </row>
    <row r="2620" spans="1:23" ht="12.5" x14ac:dyDescent="0.25">
      <c r="A2620" s="2" t="s">
        <v>4470</v>
      </c>
      <c r="B2620" s="2">
        <v>89</v>
      </c>
      <c r="C2620" s="2">
        <v>31691811</v>
      </c>
      <c r="D2620" s="2" t="s">
        <v>1486</v>
      </c>
      <c r="E2620" s="2" t="s">
        <v>4471</v>
      </c>
      <c r="F2620" s="2" t="s">
        <v>14</v>
      </c>
      <c r="G2620" s="2" t="s">
        <v>15</v>
      </c>
      <c r="H2620" s="2">
        <v>12000000</v>
      </c>
      <c r="I2620" s="2">
        <v>6</v>
      </c>
      <c r="J2620" s="2">
        <f t="shared" si="20"/>
        <v>19691811</v>
      </c>
      <c r="K2620" s="2">
        <f t="shared" si="21"/>
        <v>-2.0905722349819033E-2</v>
      </c>
      <c r="L2620" s="2" t="str">
        <f>IF(ISNUMBER(SEARCH("|",IMDB_Movies!$D2620)),LEFT(IMDB_Movies!$D2620,SEARCH("|",IMDB_Movies!$D2620)-1),IMDB_Movies!$D2620)</f>
        <v>Horror</v>
      </c>
      <c r="V2620" s="2"/>
      <c r="W2620" s="2"/>
    </row>
    <row r="2621" spans="1:23" ht="12.5" x14ac:dyDescent="0.25">
      <c r="A2621" s="2" t="s">
        <v>4472</v>
      </c>
      <c r="B2621" s="2">
        <v>92</v>
      </c>
      <c r="C2621" s="2">
        <v>31397498</v>
      </c>
      <c r="D2621" s="2" t="s">
        <v>2116</v>
      </c>
      <c r="E2621" s="2" t="s">
        <v>4473</v>
      </c>
      <c r="F2621" s="2" t="s">
        <v>14</v>
      </c>
      <c r="G2621" s="2" t="s">
        <v>15</v>
      </c>
      <c r="H2621" s="2">
        <v>12000000</v>
      </c>
      <c r="I2621" s="2">
        <v>5.4</v>
      </c>
      <c r="J2621" s="2">
        <f t="shared" si="20"/>
        <v>19397498</v>
      </c>
      <c r="K2621" s="2">
        <f t="shared" si="21"/>
        <v>-2.0892348250221671E-2</v>
      </c>
      <c r="L2621" s="2" t="str">
        <f>IF(ISNUMBER(SEARCH("|",IMDB_Movies!$D2621)),LEFT(IMDB_Movies!$D2621,SEARCH("|",IMDB_Movies!$D2621)-1),IMDB_Movies!$D2621)</f>
        <v>Horror</v>
      </c>
      <c r="V2621" s="2"/>
      <c r="W2621" s="2"/>
    </row>
    <row r="2622" spans="1:23" ht="12.5" x14ac:dyDescent="0.25">
      <c r="A2622" s="2" t="s">
        <v>4474</v>
      </c>
      <c r="B2622" s="2">
        <v>97</v>
      </c>
      <c r="C2622" s="2">
        <v>31179516</v>
      </c>
      <c r="D2622" s="2" t="s">
        <v>709</v>
      </c>
      <c r="E2622" s="2" t="s">
        <v>4475</v>
      </c>
      <c r="F2622" s="2" t="s">
        <v>14</v>
      </c>
      <c r="G2622" s="2" t="s">
        <v>15</v>
      </c>
      <c r="H2622" s="2">
        <v>12000000</v>
      </c>
      <c r="I2622" s="2">
        <v>4.3</v>
      </c>
      <c r="J2622" s="2">
        <f t="shared" si="20"/>
        <v>19179516</v>
      </c>
      <c r="K2622" s="2">
        <f t="shared" si="21"/>
        <v>-2.0879154780220871E-2</v>
      </c>
      <c r="L2622" s="2" t="str">
        <f>IF(ISNUMBER(SEARCH("|",IMDB_Movies!$D2622)),LEFT(IMDB_Movies!$D2622,SEARCH("|",IMDB_Movies!$D2622)-1),IMDB_Movies!$D2622)</f>
        <v>Comedy</v>
      </c>
      <c r="V2622" s="2"/>
      <c r="W2622" s="2"/>
    </row>
    <row r="2623" spans="1:23" ht="12.5" x14ac:dyDescent="0.25">
      <c r="A2623" s="2" t="s">
        <v>1573</v>
      </c>
      <c r="B2623" s="2">
        <v>93</v>
      </c>
      <c r="C2623" s="2">
        <v>31155435</v>
      </c>
      <c r="D2623" s="2" t="s">
        <v>975</v>
      </c>
      <c r="E2623" s="2" t="s">
        <v>4476</v>
      </c>
      <c r="F2623" s="2" t="s">
        <v>14</v>
      </c>
      <c r="G2623" s="2" t="s">
        <v>15</v>
      </c>
      <c r="H2623" s="2">
        <v>12000000</v>
      </c>
      <c r="I2623" s="2">
        <v>6.2</v>
      </c>
      <c r="J2623" s="2">
        <f t="shared" si="20"/>
        <v>19155435</v>
      </c>
      <c r="K2623" s="2">
        <f t="shared" si="21"/>
        <v>-2.0866090025692324E-2</v>
      </c>
      <c r="L2623" s="2" t="str">
        <f>IF(ISNUMBER(SEARCH("|",IMDB_Movies!$D2623)),LEFT(IMDB_Movies!$D2623,SEARCH("|",IMDB_Movies!$D2623)-1),IMDB_Movies!$D2623)</f>
        <v>Comedy</v>
      </c>
      <c r="V2623" s="2"/>
      <c r="W2623" s="2"/>
    </row>
    <row r="2624" spans="1:23" ht="12.5" x14ac:dyDescent="0.25">
      <c r="A2624" s="2" t="s">
        <v>4477</v>
      </c>
      <c r="B2624" s="2">
        <v>89</v>
      </c>
      <c r="C2624" s="2">
        <v>27281507</v>
      </c>
      <c r="D2624" s="2" t="s">
        <v>4478</v>
      </c>
      <c r="E2624" s="2" t="s">
        <v>4479</v>
      </c>
      <c r="F2624" s="2" t="s">
        <v>14</v>
      </c>
      <c r="G2624" s="2" t="s">
        <v>15</v>
      </c>
      <c r="H2624" s="2">
        <v>12000000</v>
      </c>
      <c r="I2624" s="2">
        <v>7.7</v>
      </c>
      <c r="J2624" s="2">
        <f t="shared" si="20"/>
        <v>15281507</v>
      </c>
      <c r="K2624" s="2">
        <f t="shared" si="21"/>
        <v>-2.0853017443838006E-2</v>
      </c>
      <c r="L2624" s="2" t="str">
        <f>IF(ISNUMBER(SEARCH("|",IMDB_Movies!$D2624)),LEFT(IMDB_Movies!$D2624,SEARCH("|",IMDB_Movies!$D2624)-1),IMDB_Movies!$D2624)</f>
        <v>Comedy</v>
      </c>
      <c r="V2624" s="2"/>
      <c r="W2624" s="2"/>
    </row>
    <row r="2625" spans="1:23" ht="12.5" x14ac:dyDescent="0.25">
      <c r="A2625" s="2" t="s">
        <v>1978</v>
      </c>
      <c r="B2625" s="2">
        <v>123</v>
      </c>
      <c r="C2625" s="2">
        <v>25776062</v>
      </c>
      <c r="D2625" s="2" t="s">
        <v>2124</v>
      </c>
      <c r="E2625" s="2" t="s">
        <v>4480</v>
      </c>
      <c r="F2625" s="2" t="s">
        <v>14</v>
      </c>
      <c r="G2625" s="2" t="s">
        <v>15</v>
      </c>
      <c r="H2625" s="2">
        <v>12000000</v>
      </c>
      <c r="I2625" s="2">
        <v>7.4</v>
      </c>
      <c r="J2625" s="2">
        <f t="shared" si="20"/>
        <v>13776062</v>
      </c>
      <c r="K2625" s="2">
        <f t="shared" si="21"/>
        <v>-2.084280217732248E-2</v>
      </c>
      <c r="L2625" s="2" t="str">
        <f>IF(ISNUMBER(SEARCH("|",IMDB_Movies!$D2625)),LEFT(IMDB_Movies!$D2625,SEARCH("|",IMDB_Movies!$D2625)-1),IMDB_Movies!$D2625)</f>
        <v>Biography</v>
      </c>
      <c r="V2625" s="2"/>
      <c r="W2625" s="2"/>
    </row>
    <row r="2626" spans="1:23" ht="12.5" x14ac:dyDescent="0.25">
      <c r="A2626" s="2" t="s">
        <v>4481</v>
      </c>
      <c r="B2626" s="2">
        <v>93</v>
      </c>
      <c r="C2626" s="2">
        <v>25240988</v>
      </c>
      <c r="D2626" s="2" t="s">
        <v>1398</v>
      </c>
      <c r="E2626" s="2" t="s">
        <v>4482</v>
      </c>
      <c r="F2626" s="2" t="s">
        <v>14</v>
      </c>
      <c r="G2626" s="2" t="s">
        <v>15</v>
      </c>
      <c r="H2626" s="2">
        <v>12000000</v>
      </c>
      <c r="I2626" s="2">
        <v>5.9</v>
      </c>
      <c r="J2626" s="2">
        <f t="shared" si="20"/>
        <v>13240988</v>
      </c>
      <c r="K2626" s="2">
        <f t="shared" si="21"/>
        <v>-2.0833760549824207E-2</v>
      </c>
      <c r="L2626" s="2" t="str">
        <f>IF(ISNUMBER(SEARCH("|",IMDB_Movies!$D2626)),LEFT(IMDB_Movies!$D2626,SEARCH("|",IMDB_Movies!$D2626)-1),IMDB_Movies!$D2626)</f>
        <v>Documentary</v>
      </c>
      <c r="V2626" s="2"/>
      <c r="W2626" s="2"/>
    </row>
    <row r="2627" spans="1:23" ht="12.5" x14ac:dyDescent="0.25">
      <c r="A2627" s="2" t="s">
        <v>4483</v>
      </c>
      <c r="B2627" s="2">
        <v>133</v>
      </c>
      <c r="C2627" s="2">
        <v>124868837</v>
      </c>
      <c r="D2627" s="2" t="s">
        <v>85</v>
      </c>
      <c r="E2627" s="2" t="s">
        <v>4484</v>
      </c>
      <c r="F2627" s="2" t="s">
        <v>14</v>
      </c>
      <c r="G2627" s="2" t="s">
        <v>15</v>
      </c>
      <c r="H2627" s="2">
        <v>12000000</v>
      </c>
      <c r="I2627" s="2">
        <v>7.8</v>
      </c>
      <c r="J2627" s="2">
        <f t="shared" si="20"/>
        <v>112868837</v>
      </c>
      <c r="K2627" s="2">
        <f t="shared" si="21"/>
        <v>-2.082513638113042E-2</v>
      </c>
      <c r="L2627" s="2" t="str">
        <f>IF(ISNUMBER(SEARCH("|",IMDB_Movies!$D2627)),LEFT(IMDB_Movies!$D2627,SEARCH("|",IMDB_Movies!$D2627)-1),IMDB_Movies!$D2627)</f>
        <v>Drama</v>
      </c>
      <c r="V2627" s="2"/>
      <c r="W2627" s="2"/>
    </row>
    <row r="2628" spans="1:23" ht="12.5" x14ac:dyDescent="0.25">
      <c r="A2628" s="2" t="s">
        <v>1519</v>
      </c>
      <c r="B2628" s="2">
        <v>121</v>
      </c>
      <c r="C2628" s="2">
        <v>22905674</v>
      </c>
      <c r="D2628" s="2" t="s">
        <v>694</v>
      </c>
      <c r="E2628" s="2" t="s">
        <v>4485</v>
      </c>
      <c r="F2628" s="2" t="s">
        <v>14</v>
      </c>
      <c r="G2628" s="2" t="s">
        <v>15</v>
      </c>
      <c r="H2628" s="2">
        <v>12000000</v>
      </c>
      <c r="I2628" s="2">
        <v>7.4</v>
      </c>
      <c r="J2628" s="2">
        <f t="shared" si="20"/>
        <v>10905674</v>
      </c>
      <c r="K2628" s="2">
        <f t="shared" si="21"/>
        <v>-2.082254793411464E-2</v>
      </c>
      <c r="L2628" s="2" t="str">
        <f>IF(ISNUMBER(SEARCH("|",IMDB_Movies!$D2628)),LEFT(IMDB_Movies!$D2628,SEARCH("|",IMDB_Movies!$D2628)-1),IMDB_Movies!$D2628)</f>
        <v>Crime</v>
      </c>
      <c r="V2628" s="2"/>
      <c r="W2628" s="2"/>
    </row>
    <row r="2629" spans="1:23" ht="12.5" x14ac:dyDescent="0.25">
      <c r="A2629" s="2" t="s">
        <v>2407</v>
      </c>
      <c r="B2629" s="2">
        <v>102</v>
      </c>
      <c r="C2629" s="2">
        <v>25277561</v>
      </c>
      <c r="D2629" s="2" t="s">
        <v>600</v>
      </c>
      <c r="E2629" s="2" t="s">
        <v>4486</v>
      </c>
      <c r="F2629" s="2" t="s">
        <v>14</v>
      </c>
      <c r="G2629" s="2" t="s">
        <v>15</v>
      </c>
      <c r="H2629" s="2">
        <v>12000000</v>
      </c>
      <c r="I2629" s="2">
        <v>6.5</v>
      </c>
      <c r="J2629" s="2">
        <f t="shared" si="20"/>
        <v>13277561</v>
      </c>
      <c r="K2629" s="2">
        <f t="shared" si="21"/>
        <v>-2.0815743252702436E-2</v>
      </c>
      <c r="L2629" s="2" t="str">
        <f>IF(ISNUMBER(SEARCH("|",IMDB_Movies!$D2629)),LEFT(IMDB_Movies!$D2629,SEARCH("|",IMDB_Movies!$D2629)-1),IMDB_Movies!$D2629)</f>
        <v>Comedy</v>
      </c>
      <c r="V2629" s="2"/>
      <c r="W2629" s="2"/>
    </row>
    <row r="2630" spans="1:23" ht="12.5" x14ac:dyDescent="0.25">
      <c r="A2630" s="2" t="s">
        <v>1513</v>
      </c>
      <c r="B2630" s="2">
        <v>99</v>
      </c>
      <c r="C2630" s="2">
        <v>21133087</v>
      </c>
      <c r="D2630" s="2" t="s">
        <v>1050</v>
      </c>
      <c r="E2630" s="2" t="s">
        <v>4487</v>
      </c>
      <c r="F2630" s="2" t="s">
        <v>14</v>
      </c>
      <c r="G2630" s="2" t="s">
        <v>15</v>
      </c>
      <c r="H2630" s="2">
        <v>12000000</v>
      </c>
      <c r="I2630" s="2">
        <v>7</v>
      </c>
      <c r="J2630" s="2">
        <f t="shared" si="20"/>
        <v>9133087</v>
      </c>
      <c r="K2630" s="2">
        <f t="shared" si="21"/>
        <v>-2.0806934471588674E-2</v>
      </c>
      <c r="L2630" s="2" t="str">
        <f>IF(ISNUMBER(SEARCH("|",IMDB_Movies!$D2630)),LEFT(IMDB_Movies!$D2630,SEARCH("|",IMDB_Movies!$D2630)-1),IMDB_Movies!$D2630)</f>
        <v>Horror</v>
      </c>
      <c r="V2630" s="2"/>
      <c r="W2630" s="2"/>
    </row>
    <row r="2631" spans="1:23" ht="12.5" x14ac:dyDescent="0.25">
      <c r="A2631" s="2" t="s">
        <v>1900</v>
      </c>
      <c r="B2631" s="2">
        <v>98</v>
      </c>
      <c r="C2631" s="2">
        <v>37707719</v>
      </c>
      <c r="D2631" s="2" t="s">
        <v>555</v>
      </c>
      <c r="E2631" s="2" t="s">
        <v>4488</v>
      </c>
      <c r="F2631" s="2" t="s">
        <v>14</v>
      </c>
      <c r="G2631" s="2" t="s">
        <v>22</v>
      </c>
      <c r="H2631" s="2">
        <v>12000000</v>
      </c>
      <c r="I2631" s="2">
        <v>7.6</v>
      </c>
      <c r="J2631" s="2">
        <f t="shared" si="20"/>
        <v>25707719</v>
      </c>
      <c r="K2631" s="2">
        <f t="shared" si="21"/>
        <v>-2.0801658857732486E-2</v>
      </c>
      <c r="L2631" s="2" t="str">
        <f>IF(ISNUMBER(SEARCH("|",IMDB_Movies!$D2631)),LEFT(IMDB_Movies!$D2631,SEARCH("|",IMDB_Movies!$D2631)-1),IMDB_Movies!$D2631)</f>
        <v>Biography</v>
      </c>
      <c r="V2631" s="2"/>
      <c r="W2631" s="2"/>
    </row>
    <row r="2632" spans="1:23" ht="12.5" x14ac:dyDescent="0.25">
      <c r="A2632" s="2" t="s">
        <v>3568</v>
      </c>
      <c r="B2632" s="2">
        <v>118</v>
      </c>
      <c r="C2632" s="2">
        <v>18761993</v>
      </c>
      <c r="D2632" s="2" t="s">
        <v>891</v>
      </c>
      <c r="E2632" s="2" t="s">
        <v>4489</v>
      </c>
      <c r="F2632" s="2" t="s">
        <v>14</v>
      </c>
      <c r="G2632" s="2" t="s">
        <v>15</v>
      </c>
      <c r="H2632" s="2">
        <v>9000000</v>
      </c>
      <c r="I2632" s="2">
        <v>6.9</v>
      </c>
      <c r="J2632" s="2">
        <f t="shared" si="20"/>
        <v>9761993</v>
      </c>
      <c r="K2632" s="2">
        <f t="shared" si="21"/>
        <v>-2.078398942598067E-2</v>
      </c>
      <c r="L2632" s="2" t="str">
        <f>IF(ISNUMBER(SEARCH("|",IMDB_Movies!$D2632)),LEFT(IMDB_Movies!$D2632,SEARCH("|",IMDB_Movies!$D2632)-1),IMDB_Movies!$D2632)</f>
        <v>Comedy</v>
      </c>
      <c r="V2632" s="2"/>
      <c r="W2632" s="2"/>
    </row>
    <row r="2633" spans="1:23" ht="12.5" x14ac:dyDescent="0.25">
      <c r="A2633" s="2" t="s">
        <v>4106</v>
      </c>
      <c r="B2633" s="2">
        <v>104</v>
      </c>
      <c r="C2633" s="2">
        <v>18595716</v>
      </c>
      <c r="D2633" s="2" t="s">
        <v>919</v>
      </c>
      <c r="E2633" s="2" t="s">
        <v>4490</v>
      </c>
      <c r="F2633" s="2" t="s">
        <v>14</v>
      </c>
      <c r="G2633" s="2" t="s">
        <v>15</v>
      </c>
      <c r="H2633" s="2">
        <v>12000000</v>
      </c>
      <c r="I2633" s="2">
        <v>5.3</v>
      </c>
      <c r="J2633" s="2">
        <f t="shared" si="20"/>
        <v>6595716</v>
      </c>
      <c r="K2633" s="2">
        <f t="shared" si="21"/>
        <v>-2.0780176977227279E-2</v>
      </c>
      <c r="L2633" s="2" t="str">
        <f>IF(ISNUMBER(SEARCH("|",IMDB_Movies!$D2633)),LEFT(IMDB_Movies!$D2633,SEARCH("|",IMDB_Movies!$D2633)-1),IMDB_Movies!$D2633)</f>
        <v>Comedy</v>
      </c>
      <c r="V2633" s="2"/>
      <c r="W2633" s="2"/>
    </row>
    <row r="2634" spans="1:23" ht="12.5" x14ac:dyDescent="0.25">
      <c r="A2634" s="2" t="s">
        <v>4491</v>
      </c>
      <c r="B2634" s="2">
        <v>109</v>
      </c>
      <c r="C2634" s="2">
        <v>31990064</v>
      </c>
      <c r="D2634" s="2" t="s">
        <v>1320</v>
      </c>
      <c r="E2634" s="2" t="s">
        <v>4492</v>
      </c>
      <c r="F2634" s="2" t="s">
        <v>14</v>
      </c>
      <c r="G2634" s="2" t="s">
        <v>15</v>
      </c>
      <c r="H2634" s="2">
        <v>12000000</v>
      </c>
      <c r="I2634" s="2">
        <v>6.4</v>
      </c>
      <c r="J2634" s="2">
        <f t="shared" si="20"/>
        <v>19990064</v>
      </c>
      <c r="K2634" s="2">
        <f t="shared" si="21"/>
        <v>-2.0777189824431053E-2</v>
      </c>
      <c r="L2634" s="2" t="str">
        <f>IF(ISNUMBER(SEARCH("|",IMDB_Movies!$D2634)),LEFT(IMDB_Movies!$D2634,SEARCH("|",IMDB_Movies!$D2634)-1),IMDB_Movies!$D2634)</f>
        <v>Drama</v>
      </c>
      <c r="V2634" s="2"/>
      <c r="W2634" s="2"/>
    </row>
    <row r="2635" spans="1:23" ht="12.5" x14ac:dyDescent="0.25">
      <c r="A2635" s="2" t="s">
        <v>2711</v>
      </c>
      <c r="B2635" s="2">
        <v>115</v>
      </c>
      <c r="C2635" s="2">
        <v>17613460</v>
      </c>
      <c r="D2635" s="2" t="s">
        <v>1822</v>
      </c>
      <c r="E2635" s="2" t="s">
        <v>4493</v>
      </c>
      <c r="F2635" s="2" t="s">
        <v>14</v>
      </c>
      <c r="G2635" s="2" t="s">
        <v>15</v>
      </c>
      <c r="H2635" s="2">
        <v>12000000</v>
      </c>
      <c r="I2635" s="2">
        <v>7.8</v>
      </c>
      <c r="J2635" s="2">
        <f t="shared" si="20"/>
        <v>5613460</v>
      </c>
      <c r="K2635" s="2">
        <f t="shared" si="21"/>
        <v>-2.0763175229926101E-2</v>
      </c>
      <c r="L2635" s="2" t="str">
        <f>IF(ISNUMBER(SEARCH("|",IMDB_Movies!$D2635)),LEFT(IMDB_Movies!$D2635,SEARCH("|",IMDB_Movies!$D2635)-1),IMDB_Movies!$D2635)</f>
        <v>Adventure</v>
      </c>
      <c r="V2635" s="2"/>
      <c r="W2635" s="2"/>
    </row>
    <row r="2636" spans="1:23" ht="12.5" x14ac:dyDescent="0.25">
      <c r="A2636" s="2" t="s">
        <v>4494</v>
      </c>
      <c r="B2636" s="2">
        <v>92</v>
      </c>
      <c r="C2636" s="2">
        <v>21088568</v>
      </c>
      <c r="D2636" s="2" t="s">
        <v>2930</v>
      </c>
      <c r="E2636" s="2" t="s">
        <v>4495</v>
      </c>
      <c r="F2636" s="2" t="s">
        <v>14</v>
      </c>
      <c r="G2636" s="2" t="s">
        <v>15</v>
      </c>
      <c r="H2636" s="2">
        <v>13000000</v>
      </c>
      <c r="I2636" s="2">
        <v>6.7</v>
      </c>
      <c r="J2636" s="2">
        <f t="shared" si="20"/>
        <v>8088568</v>
      </c>
      <c r="K2636" s="2">
        <f t="shared" si="21"/>
        <v>-2.0761100229350564E-2</v>
      </c>
      <c r="L2636" s="2" t="str">
        <f>IF(ISNUMBER(SEARCH("|",IMDB_Movies!$D2636)),LEFT(IMDB_Movies!$D2636,SEARCH("|",IMDB_Movies!$D2636)-1),IMDB_Movies!$D2636)</f>
        <v>Action</v>
      </c>
      <c r="V2636" s="2"/>
      <c r="W2636" s="2"/>
    </row>
    <row r="2637" spans="1:23" ht="12.5" x14ac:dyDescent="0.25">
      <c r="A2637" s="2" t="s">
        <v>1352</v>
      </c>
      <c r="B2637" s="2">
        <v>91</v>
      </c>
      <c r="C2637" s="2">
        <v>17292381</v>
      </c>
      <c r="D2637" s="2" t="s">
        <v>4496</v>
      </c>
      <c r="E2637" s="2" t="s">
        <v>4497</v>
      </c>
      <c r="F2637" s="2" t="s">
        <v>14</v>
      </c>
      <c r="G2637" s="2" t="s">
        <v>15</v>
      </c>
      <c r="H2637" s="2">
        <v>12000000</v>
      </c>
      <c r="I2637" s="2">
        <v>5.3</v>
      </c>
      <c r="J2637" s="2">
        <f t="shared" si="20"/>
        <v>5292381</v>
      </c>
      <c r="K2637" s="2">
        <f t="shared" si="21"/>
        <v>-2.0756179941158085E-2</v>
      </c>
      <c r="L2637" s="2" t="str">
        <f>IF(ISNUMBER(SEARCH("|",IMDB_Movies!$D2637)),LEFT(IMDB_Movies!$D2637,SEARCH("|",IMDB_Movies!$D2637)-1),IMDB_Movies!$D2637)</f>
        <v>Comedy</v>
      </c>
      <c r="V2637" s="2"/>
      <c r="W2637" s="2"/>
    </row>
    <row r="2638" spans="1:23" ht="12.5" x14ac:dyDescent="0.25">
      <c r="A2638" s="2" t="s">
        <v>2709</v>
      </c>
      <c r="B2638" s="2">
        <v>94</v>
      </c>
      <c r="C2638" s="2">
        <v>16300302</v>
      </c>
      <c r="D2638" s="2" t="s">
        <v>891</v>
      </c>
      <c r="E2638" s="2" t="s">
        <v>4498</v>
      </c>
      <c r="F2638" s="2" t="s">
        <v>14</v>
      </c>
      <c r="G2638" s="2" t="s">
        <v>15</v>
      </c>
      <c r="H2638" s="2">
        <v>12000000</v>
      </c>
      <c r="I2638" s="2">
        <v>6.3</v>
      </c>
      <c r="J2638" s="2">
        <f t="shared" si="20"/>
        <v>4300302</v>
      </c>
      <c r="K2638" s="2">
        <f t="shared" si="21"/>
        <v>-2.0754404378294119E-2</v>
      </c>
      <c r="L2638" s="2" t="str">
        <f>IF(ISNUMBER(SEARCH("|",IMDB_Movies!$D2638)),LEFT(IMDB_Movies!$D2638,SEARCH("|",IMDB_Movies!$D2638)-1),IMDB_Movies!$D2638)</f>
        <v>Comedy</v>
      </c>
      <c r="V2638" s="2"/>
      <c r="W2638" s="2"/>
    </row>
    <row r="2639" spans="1:23" ht="12.5" x14ac:dyDescent="0.25">
      <c r="A2639" s="2" t="s">
        <v>1550</v>
      </c>
      <c r="B2639" s="2">
        <v>93</v>
      </c>
      <c r="C2639" s="2">
        <v>27829874</v>
      </c>
      <c r="D2639" s="2" t="s">
        <v>125</v>
      </c>
      <c r="E2639" s="2" t="s">
        <v>4499</v>
      </c>
      <c r="F2639" s="2" t="s">
        <v>14</v>
      </c>
      <c r="G2639" s="2" t="s">
        <v>15</v>
      </c>
      <c r="H2639" s="2">
        <v>12000000</v>
      </c>
      <c r="I2639" s="2">
        <v>7</v>
      </c>
      <c r="J2639" s="2">
        <f t="shared" si="20"/>
        <v>15829874</v>
      </c>
      <c r="K2639" s="2">
        <f t="shared" si="21"/>
        <v>-2.0753594326079199E-2</v>
      </c>
      <c r="L2639" s="2" t="str">
        <f>IF(ISNUMBER(SEARCH("|",IMDB_Movies!$D2639)),LEFT(IMDB_Movies!$D2639,SEARCH("|",IMDB_Movies!$D2639)-1),IMDB_Movies!$D2639)</f>
        <v>Action</v>
      </c>
      <c r="V2639" s="2"/>
      <c r="W2639" s="2"/>
    </row>
    <row r="2640" spans="1:23" ht="12.5" x14ac:dyDescent="0.25">
      <c r="A2640" s="2" t="s">
        <v>1851</v>
      </c>
      <c r="B2640" s="2">
        <v>100</v>
      </c>
      <c r="C2640" s="2">
        <v>12902790</v>
      </c>
      <c r="D2640" s="2" t="s">
        <v>514</v>
      </c>
      <c r="E2640" s="2" t="s">
        <v>4500</v>
      </c>
      <c r="F2640" s="2" t="s">
        <v>14</v>
      </c>
      <c r="G2640" s="2" t="s">
        <v>15</v>
      </c>
      <c r="H2640" s="2">
        <v>12000000</v>
      </c>
      <c r="I2640" s="2">
        <v>6.6</v>
      </c>
      <c r="J2640" s="2">
        <f t="shared" si="20"/>
        <v>902790</v>
      </c>
      <c r="K2640" s="2">
        <f t="shared" si="21"/>
        <v>-2.0742589756798064E-2</v>
      </c>
      <c r="L2640" s="2" t="str">
        <f>IF(ISNUMBER(SEARCH("|",IMDB_Movies!$D2640)),LEFT(IMDB_Movies!$D2640,SEARCH("|",IMDB_Movies!$D2640)-1),IMDB_Movies!$D2640)</f>
        <v>Comedy</v>
      </c>
      <c r="V2640" s="2"/>
      <c r="W2640" s="2"/>
    </row>
    <row r="2641" spans="1:23" ht="12.5" x14ac:dyDescent="0.25">
      <c r="A2641" s="2" t="s">
        <v>266</v>
      </c>
      <c r="B2641" s="2">
        <v>293</v>
      </c>
      <c r="C2641" s="2">
        <v>11433134</v>
      </c>
      <c r="D2641" s="2" t="s">
        <v>4501</v>
      </c>
      <c r="E2641" s="2" t="s">
        <v>4502</v>
      </c>
      <c r="F2641" s="2" t="s">
        <v>3713</v>
      </c>
      <c r="G2641" s="2" t="s">
        <v>4503</v>
      </c>
      <c r="H2641" s="2">
        <v>14000000</v>
      </c>
      <c r="I2641" s="2">
        <v>8.4</v>
      </c>
      <c r="J2641" s="2">
        <f t="shared" si="20"/>
        <v>-2566866</v>
      </c>
      <c r="K2641" s="2">
        <f t="shared" si="21"/>
        <v>-2.0745221347132848E-2</v>
      </c>
      <c r="L2641" s="2" t="str">
        <f>IF(ISNUMBER(SEARCH("|",IMDB_Movies!$D2641)),LEFT(IMDB_Movies!$D2641,SEARCH("|",IMDB_Movies!$D2641)-1),IMDB_Movies!$D2641)</f>
        <v>Adventure</v>
      </c>
      <c r="V2641" s="2"/>
      <c r="W2641" s="2"/>
    </row>
    <row r="2642" spans="1:23" ht="12.5" x14ac:dyDescent="0.25">
      <c r="A2642" s="2" t="s">
        <v>4504</v>
      </c>
      <c r="B2642" s="2">
        <v>93</v>
      </c>
      <c r="C2642" s="2">
        <v>10198766</v>
      </c>
      <c r="D2642" s="2" t="s">
        <v>709</v>
      </c>
      <c r="E2642" s="2" t="s">
        <v>4505</v>
      </c>
      <c r="F2642" s="2" t="s">
        <v>14</v>
      </c>
      <c r="G2642" s="2" t="s">
        <v>15</v>
      </c>
      <c r="H2642" s="2">
        <v>12000000</v>
      </c>
      <c r="I2642" s="2">
        <v>5.4</v>
      </c>
      <c r="J2642" s="2">
        <f t="shared" si="20"/>
        <v>-1801234</v>
      </c>
      <c r="K2642" s="2">
        <f t="shared" si="21"/>
        <v>-2.0748852505682598E-2</v>
      </c>
      <c r="L2642" s="2" t="str">
        <f>IF(ISNUMBER(SEARCH("|",IMDB_Movies!$D2642)),LEFT(IMDB_Movies!$D2642,SEARCH("|",IMDB_Movies!$D2642)-1),IMDB_Movies!$D2642)</f>
        <v>Comedy</v>
      </c>
      <c r="V2642" s="2"/>
      <c r="W2642" s="2"/>
    </row>
    <row r="2643" spans="1:23" ht="12.5" x14ac:dyDescent="0.25">
      <c r="A2643" s="2" t="s">
        <v>1948</v>
      </c>
      <c r="B2643" s="2">
        <v>123</v>
      </c>
      <c r="C2643" s="2">
        <v>15294553</v>
      </c>
      <c r="D2643" s="2" t="s">
        <v>256</v>
      </c>
      <c r="E2643" s="2" t="s">
        <v>4506</v>
      </c>
      <c r="F2643" s="2" t="s">
        <v>14</v>
      </c>
      <c r="G2643" s="2" t="s">
        <v>22</v>
      </c>
      <c r="H2643" s="2">
        <v>12000000</v>
      </c>
      <c r="I2643" s="2">
        <v>7.8</v>
      </c>
      <c r="J2643" s="2">
        <f t="shared" si="20"/>
        <v>3294553</v>
      </c>
      <c r="K2643" s="2">
        <f t="shared" si="21"/>
        <v>-2.0754394355442289E-2</v>
      </c>
      <c r="L2643" s="2" t="str">
        <f>IF(ISNUMBER(SEARCH("|",IMDB_Movies!$D2643)),LEFT(IMDB_Movies!$D2643,SEARCH("|",IMDB_Movies!$D2643)-1),IMDB_Movies!$D2643)</f>
        <v>Drama</v>
      </c>
      <c r="V2643" s="2"/>
      <c r="W2643" s="2"/>
    </row>
    <row r="2644" spans="1:23" ht="12.5" x14ac:dyDescent="0.25">
      <c r="A2644" s="2" t="s">
        <v>696</v>
      </c>
      <c r="B2644" s="2">
        <v>119</v>
      </c>
      <c r="C2644" s="2">
        <v>11041228</v>
      </c>
      <c r="D2644" s="2" t="s">
        <v>83</v>
      </c>
      <c r="E2644" s="2" t="s">
        <v>4507</v>
      </c>
      <c r="F2644" s="2" t="s">
        <v>699</v>
      </c>
      <c r="G2644" s="2" t="s">
        <v>331</v>
      </c>
      <c r="H2644" s="2">
        <v>100000000</v>
      </c>
      <c r="I2644" s="2">
        <v>7.6</v>
      </c>
      <c r="J2644" s="2">
        <f t="shared" si="20"/>
        <v>-88958772</v>
      </c>
      <c r="K2644" s="2">
        <f t="shared" si="21"/>
        <v>-2.0754583747528699E-2</v>
      </c>
      <c r="L2644" s="2" t="str">
        <f>IF(ISNUMBER(SEARCH("|",IMDB_Movies!$D2644)),LEFT(IMDB_Movies!$D2644,SEARCH("|",IMDB_Movies!$D2644)-1),IMDB_Movies!$D2644)</f>
        <v>Action</v>
      </c>
      <c r="V2644" s="2"/>
      <c r="W2644" s="2"/>
    </row>
    <row r="2645" spans="1:23" ht="12.5" x14ac:dyDescent="0.25">
      <c r="A2645" s="2" t="s">
        <v>4508</v>
      </c>
      <c r="B2645" s="2">
        <v>107</v>
      </c>
      <c r="C2645" s="2">
        <v>7918283</v>
      </c>
      <c r="D2645" s="2" t="s">
        <v>1400</v>
      </c>
      <c r="E2645" s="2" t="s">
        <v>4509</v>
      </c>
      <c r="F2645" s="2" t="s">
        <v>14</v>
      </c>
      <c r="G2645" s="2" t="s">
        <v>15</v>
      </c>
      <c r="H2645" s="2">
        <v>12000000</v>
      </c>
      <c r="I2645" s="2">
        <v>6.6</v>
      </c>
      <c r="J2645" s="2">
        <f t="shared" si="20"/>
        <v>-4081717</v>
      </c>
      <c r="K2645" s="2">
        <f t="shared" si="21"/>
        <v>-2.073240289016787E-2</v>
      </c>
      <c r="L2645" s="2" t="str">
        <f>IF(ISNUMBER(SEARCH("|",IMDB_Movies!$D2645)),LEFT(IMDB_Movies!$D2645,SEARCH("|",IMDB_Movies!$D2645)-1),IMDB_Movies!$D2645)</f>
        <v>Drama</v>
      </c>
      <c r="V2645" s="2"/>
      <c r="W2645" s="2"/>
    </row>
    <row r="2646" spans="1:23" ht="12.5" x14ac:dyDescent="0.25">
      <c r="A2646" s="2" t="s">
        <v>4510</v>
      </c>
      <c r="B2646" s="2">
        <v>106</v>
      </c>
      <c r="C2646" s="2">
        <v>22331028</v>
      </c>
      <c r="D2646" s="2" t="s">
        <v>1025</v>
      </c>
      <c r="E2646" s="2" t="s">
        <v>4511</v>
      </c>
      <c r="F2646" s="2" t="s">
        <v>14</v>
      </c>
      <c r="G2646" s="2" t="s">
        <v>15</v>
      </c>
      <c r="H2646" s="2">
        <v>12000000</v>
      </c>
      <c r="I2646" s="2">
        <v>6.4</v>
      </c>
      <c r="J2646" s="2">
        <f t="shared" si="20"/>
        <v>10331028</v>
      </c>
      <c r="K2646" s="2">
        <f t="shared" si="21"/>
        <v>-2.0740480139918662E-2</v>
      </c>
      <c r="L2646" s="2" t="str">
        <f>IF(ISNUMBER(SEARCH("|",IMDB_Movies!$D2646)),LEFT(IMDB_Movies!$D2646,SEARCH("|",IMDB_Movies!$D2646)-1),IMDB_Movies!$D2646)</f>
        <v>Sci-Fi</v>
      </c>
      <c r="V2646" s="2"/>
      <c r="W2646" s="2"/>
    </row>
    <row r="2647" spans="1:23" ht="12.5" x14ac:dyDescent="0.25">
      <c r="A2647" s="2" t="s">
        <v>4512</v>
      </c>
      <c r="B2647" s="2">
        <v>109</v>
      </c>
      <c r="C2647" s="2">
        <v>8134217</v>
      </c>
      <c r="D2647" s="2" t="s">
        <v>1473</v>
      </c>
      <c r="E2647" s="2" t="s">
        <v>4513</v>
      </c>
      <c r="F2647" s="2" t="s">
        <v>14</v>
      </c>
      <c r="G2647" s="2" t="s">
        <v>15</v>
      </c>
      <c r="H2647" s="2">
        <v>12000000</v>
      </c>
      <c r="I2647" s="2">
        <v>7</v>
      </c>
      <c r="J2647" s="2">
        <f t="shared" si="20"/>
        <v>-3865783</v>
      </c>
      <c r="K2647" s="2">
        <f t="shared" si="21"/>
        <v>-2.0734047417183502E-2</v>
      </c>
      <c r="L2647" s="2" t="str">
        <f>IF(ISNUMBER(SEARCH("|",IMDB_Movies!$D2647)),LEFT(IMDB_Movies!$D2647,SEARCH("|",IMDB_Movies!$D2647)-1),IMDB_Movies!$D2647)</f>
        <v>Biography</v>
      </c>
      <c r="V2647" s="2"/>
      <c r="W2647" s="2"/>
    </row>
    <row r="2648" spans="1:23" ht="12.5" x14ac:dyDescent="0.25">
      <c r="A2648" s="2" t="s">
        <v>4514</v>
      </c>
      <c r="B2648" s="2">
        <v>81</v>
      </c>
      <c r="C2648" s="2">
        <v>6982680</v>
      </c>
      <c r="D2648" s="2" t="s">
        <v>375</v>
      </c>
      <c r="E2648" s="2" t="s">
        <v>4515</v>
      </c>
      <c r="F2648" s="2" t="s">
        <v>14</v>
      </c>
      <c r="G2648" s="2" t="s">
        <v>15</v>
      </c>
      <c r="H2648" s="2">
        <v>10000000</v>
      </c>
      <c r="I2648" s="2">
        <v>5.7</v>
      </c>
      <c r="J2648" s="2">
        <f t="shared" si="20"/>
        <v>-3017320</v>
      </c>
      <c r="K2648" s="2">
        <f t="shared" si="21"/>
        <v>-2.0741894221175974E-2</v>
      </c>
      <c r="L2648" s="2" t="str">
        <f>IF(ISNUMBER(SEARCH("|",IMDB_Movies!$D2648)),LEFT(IMDB_Movies!$D2648,SEARCH("|",IMDB_Movies!$D2648)-1),IMDB_Movies!$D2648)</f>
        <v>Comedy</v>
      </c>
      <c r="V2648" s="2"/>
      <c r="W2648" s="2"/>
    </row>
    <row r="2649" spans="1:23" ht="12.5" x14ac:dyDescent="0.25">
      <c r="A2649" s="2" t="s">
        <v>4516</v>
      </c>
      <c r="B2649" s="2">
        <v>95</v>
      </c>
      <c r="C2649" s="2">
        <v>6739141</v>
      </c>
      <c r="D2649" s="2" t="s">
        <v>509</v>
      </c>
      <c r="E2649" s="2" t="s">
        <v>4517</v>
      </c>
      <c r="F2649" s="2" t="s">
        <v>14</v>
      </c>
      <c r="G2649" s="2" t="s">
        <v>135</v>
      </c>
      <c r="H2649" s="2">
        <v>8000000</v>
      </c>
      <c r="I2649" s="2">
        <v>5.9</v>
      </c>
      <c r="J2649" s="2">
        <f t="shared" si="20"/>
        <v>-1260859</v>
      </c>
      <c r="K2649" s="2">
        <f t="shared" si="21"/>
        <v>-2.0752258464730739E-2</v>
      </c>
      <c r="L2649" s="2" t="str">
        <f>IF(ISNUMBER(SEARCH("|",IMDB_Movies!$D2649)),LEFT(IMDB_Movies!$D2649,SEARCH("|",IMDB_Movies!$D2649)-1),IMDB_Movies!$D2649)</f>
        <v>Action</v>
      </c>
      <c r="V2649" s="2"/>
      <c r="W2649" s="2"/>
    </row>
    <row r="2650" spans="1:23" ht="12.5" x14ac:dyDescent="0.25">
      <c r="A2650" s="2" t="s">
        <v>4518</v>
      </c>
      <c r="B2650" s="2">
        <v>86</v>
      </c>
      <c r="C2650" s="2">
        <v>5542025</v>
      </c>
      <c r="D2650" s="2" t="s">
        <v>709</v>
      </c>
      <c r="E2650" s="2" t="s">
        <v>4519</v>
      </c>
      <c r="F2650" s="2" t="s">
        <v>14</v>
      </c>
      <c r="G2650" s="2" t="s">
        <v>15</v>
      </c>
      <c r="H2650" s="2">
        <v>12000000</v>
      </c>
      <c r="I2650" s="2">
        <v>6.3</v>
      </c>
      <c r="J2650" s="2">
        <f t="shared" si="20"/>
        <v>-6457975</v>
      </c>
      <c r="K2650" s="2">
        <f t="shared" si="21"/>
        <v>-2.0764179333040495E-2</v>
      </c>
      <c r="L2650" s="2" t="str">
        <f>IF(ISNUMBER(SEARCH("|",IMDB_Movies!$D2650)),LEFT(IMDB_Movies!$D2650,SEARCH("|",IMDB_Movies!$D2650)-1),IMDB_Movies!$D2650)</f>
        <v>Comedy</v>
      </c>
      <c r="V2650" s="2"/>
      <c r="W2650" s="2"/>
    </row>
    <row r="2651" spans="1:23" ht="12.5" x14ac:dyDescent="0.25">
      <c r="A2651" s="2" t="s">
        <v>2732</v>
      </c>
      <c r="B2651" s="2">
        <v>113</v>
      </c>
      <c r="C2651" s="2">
        <v>5032496</v>
      </c>
      <c r="D2651" s="2" t="s">
        <v>891</v>
      </c>
      <c r="E2651" s="2" t="s">
        <v>4520</v>
      </c>
      <c r="F2651" s="2" t="s">
        <v>14</v>
      </c>
      <c r="G2651" s="2" t="s">
        <v>15</v>
      </c>
      <c r="H2651" s="2">
        <v>12000000</v>
      </c>
      <c r="I2651" s="2">
        <v>6.3</v>
      </c>
      <c r="J2651" s="2">
        <f t="shared" si="20"/>
        <v>-6967504</v>
      </c>
      <c r="K2651" s="2">
        <f t="shared" si="21"/>
        <v>-2.0775078157880083E-2</v>
      </c>
      <c r="L2651" s="2" t="str">
        <f>IF(ISNUMBER(SEARCH("|",IMDB_Movies!$D2651)),LEFT(IMDB_Movies!$D2651,SEARCH("|",IMDB_Movies!$D2651)-1),IMDB_Movies!$D2651)</f>
        <v>Comedy</v>
      </c>
      <c r="V2651" s="2"/>
      <c r="W2651" s="2"/>
    </row>
    <row r="2652" spans="1:23" ht="12.5" x14ac:dyDescent="0.25">
      <c r="A2652" s="2" t="s">
        <v>1383</v>
      </c>
      <c r="B2652" s="2">
        <v>122</v>
      </c>
      <c r="C2652" s="2">
        <v>6754898</v>
      </c>
      <c r="D2652" s="2" t="s">
        <v>891</v>
      </c>
      <c r="E2652" s="2" t="s">
        <v>4521</v>
      </c>
      <c r="F2652" s="2" t="s">
        <v>14</v>
      </c>
      <c r="G2652" s="2" t="s">
        <v>15</v>
      </c>
      <c r="H2652" s="2">
        <v>12000000</v>
      </c>
      <c r="I2652" s="2">
        <v>6.2</v>
      </c>
      <c r="J2652" s="2">
        <f t="shared" si="20"/>
        <v>-5245102</v>
      </c>
      <c r="K2652" s="2">
        <f t="shared" si="21"/>
        <v>-2.0786602212782224E-2</v>
      </c>
      <c r="L2652" s="2" t="str">
        <f>IF(ISNUMBER(SEARCH("|",IMDB_Movies!$D2652)),LEFT(IMDB_Movies!$D2652,SEARCH("|",IMDB_Movies!$D2652)-1),IMDB_Movies!$D2652)</f>
        <v>Comedy</v>
      </c>
      <c r="V2652" s="2"/>
      <c r="W2652" s="2"/>
    </row>
    <row r="2653" spans="1:23" ht="12.5" x14ac:dyDescent="0.25">
      <c r="A2653" s="2" t="s">
        <v>3974</v>
      </c>
      <c r="B2653" s="2">
        <v>90</v>
      </c>
      <c r="C2653" s="2">
        <v>4922166</v>
      </c>
      <c r="D2653" s="2" t="s">
        <v>3631</v>
      </c>
      <c r="E2653" s="2" t="s">
        <v>4522</v>
      </c>
      <c r="F2653" s="2" t="s">
        <v>14</v>
      </c>
      <c r="G2653" s="2" t="s">
        <v>15</v>
      </c>
      <c r="H2653" s="2">
        <v>12000000</v>
      </c>
      <c r="I2653" s="2">
        <v>2.1</v>
      </c>
      <c r="J2653" s="2">
        <f t="shared" si="20"/>
        <v>-7077834</v>
      </c>
      <c r="K2653" s="2">
        <f t="shared" si="21"/>
        <v>-2.079611879975218E-2</v>
      </c>
      <c r="L2653" s="2" t="str">
        <f>IF(ISNUMBER(SEARCH("|",IMDB_Movies!$D2653)),LEFT(IMDB_Movies!$D2653,SEARCH("|",IMDB_Movies!$D2653)-1),IMDB_Movies!$D2653)</f>
        <v>Comedy</v>
      </c>
      <c r="V2653" s="2"/>
      <c r="W2653" s="2"/>
    </row>
    <row r="2654" spans="1:23" ht="12.5" x14ac:dyDescent="0.25">
      <c r="A2654" s="2" t="s">
        <v>1725</v>
      </c>
      <c r="B2654" s="2">
        <v>108</v>
      </c>
      <c r="C2654" s="2">
        <v>4903000</v>
      </c>
      <c r="D2654" s="2" t="s">
        <v>891</v>
      </c>
      <c r="E2654" s="2" t="s">
        <v>4523</v>
      </c>
      <c r="F2654" s="2" t="s">
        <v>14</v>
      </c>
      <c r="G2654" s="2" t="s">
        <v>15</v>
      </c>
      <c r="H2654" s="2">
        <v>12000000</v>
      </c>
      <c r="I2654" s="2">
        <v>5</v>
      </c>
      <c r="J2654" s="2">
        <f t="shared" si="20"/>
        <v>-7097000</v>
      </c>
      <c r="K2654" s="2">
        <f t="shared" si="21"/>
        <v>-2.0807815606374704E-2</v>
      </c>
      <c r="L2654" s="2" t="str">
        <f>IF(ISNUMBER(SEARCH("|",IMDB_Movies!$D2654)),LEFT(IMDB_Movies!$D2654,SEARCH("|",IMDB_Movies!$D2654)-1),IMDB_Movies!$D2654)</f>
        <v>Comedy</v>
      </c>
      <c r="V2654" s="2"/>
      <c r="W2654" s="2"/>
    </row>
    <row r="2655" spans="1:23" ht="12.5" x14ac:dyDescent="0.25">
      <c r="A2655" s="2" t="s">
        <v>4524</v>
      </c>
      <c r="B2655" s="2">
        <v>113</v>
      </c>
      <c r="C2655" s="2">
        <v>4717455</v>
      </c>
      <c r="D2655" s="2" t="s">
        <v>315</v>
      </c>
      <c r="E2655" s="2" t="s">
        <v>4525</v>
      </c>
      <c r="F2655" s="2" t="s">
        <v>14</v>
      </c>
      <c r="G2655" s="2" t="s">
        <v>135</v>
      </c>
      <c r="H2655" s="2">
        <v>12000000</v>
      </c>
      <c r="I2655" s="2">
        <v>5.3</v>
      </c>
      <c r="J2655" s="2">
        <f t="shared" si="20"/>
        <v>-7282545</v>
      </c>
      <c r="K2655" s="2">
        <f t="shared" si="21"/>
        <v>-2.0819557201428959E-2</v>
      </c>
      <c r="L2655" s="2" t="str">
        <f>IF(ISNUMBER(SEARCH("|",IMDB_Movies!$D2655)),LEFT(IMDB_Movies!$D2655,SEARCH("|",IMDB_Movies!$D2655)-1),IMDB_Movies!$D2655)</f>
        <v>Mystery</v>
      </c>
      <c r="V2655" s="2"/>
      <c r="W2655" s="2"/>
    </row>
    <row r="2656" spans="1:23" ht="12.5" x14ac:dyDescent="0.25">
      <c r="A2656" s="2" t="s">
        <v>2939</v>
      </c>
      <c r="B2656" s="2">
        <v>110</v>
      </c>
      <c r="C2656" s="2">
        <v>3148482</v>
      </c>
      <c r="D2656" s="2" t="s">
        <v>85</v>
      </c>
      <c r="E2656" s="2" t="s">
        <v>4526</v>
      </c>
      <c r="F2656" s="2" t="s">
        <v>14</v>
      </c>
      <c r="G2656" s="2" t="s">
        <v>15</v>
      </c>
      <c r="H2656" s="2">
        <v>12000000</v>
      </c>
      <c r="I2656" s="2">
        <v>7.1</v>
      </c>
      <c r="J2656" s="2">
        <f t="shared" si="20"/>
        <v>-8851518</v>
      </c>
      <c r="K2656" s="2">
        <f t="shared" si="21"/>
        <v>-2.0831543542697305E-2</v>
      </c>
      <c r="L2656" s="2" t="str">
        <f>IF(ISNUMBER(SEARCH("|",IMDB_Movies!$D2656)),LEFT(IMDB_Movies!$D2656,SEARCH("|",IMDB_Movies!$D2656)-1),IMDB_Movies!$D2656)</f>
        <v>Drama</v>
      </c>
      <c r="V2656" s="2"/>
      <c r="W2656" s="2"/>
    </row>
    <row r="2657" spans="1:23" ht="12.5" x14ac:dyDescent="0.25">
      <c r="A2657" s="2" t="s">
        <v>4527</v>
      </c>
      <c r="B2657" s="2">
        <v>109</v>
      </c>
      <c r="C2657" s="2">
        <v>2326407</v>
      </c>
      <c r="D2657" s="2" t="s">
        <v>1180</v>
      </c>
      <c r="E2657" s="2" t="s">
        <v>4528</v>
      </c>
      <c r="F2657" s="2" t="s">
        <v>14</v>
      </c>
      <c r="G2657" s="2" t="s">
        <v>22</v>
      </c>
      <c r="H2657" s="2">
        <v>12000000</v>
      </c>
      <c r="I2657" s="2">
        <v>7</v>
      </c>
      <c r="J2657" s="2">
        <f t="shared" si="20"/>
        <v>-9673593</v>
      </c>
      <c r="K2657" s="2">
        <f t="shared" si="21"/>
        <v>-2.0845462855930787E-2</v>
      </c>
      <c r="L2657" s="2" t="str">
        <f>IF(ISNUMBER(SEARCH("|",IMDB_Movies!$D2657)),LEFT(IMDB_Movies!$D2657,SEARCH("|",IMDB_Movies!$D2657)-1),IMDB_Movies!$D2657)</f>
        <v>Drama</v>
      </c>
      <c r="V2657" s="2"/>
      <c r="W2657" s="2"/>
    </row>
    <row r="2658" spans="1:23" ht="12.5" x14ac:dyDescent="0.25">
      <c r="A2658" s="2" t="s">
        <v>2303</v>
      </c>
      <c r="B2658" s="2">
        <v>110</v>
      </c>
      <c r="C2658" s="2">
        <v>2201412</v>
      </c>
      <c r="D2658" s="2" t="s">
        <v>4529</v>
      </c>
      <c r="E2658" s="2" t="s">
        <v>1814</v>
      </c>
      <c r="F2658" s="2" t="s">
        <v>4432</v>
      </c>
      <c r="G2658" s="2" t="s">
        <v>2305</v>
      </c>
      <c r="H2658" s="2">
        <v>12215500000</v>
      </c>
      <c r="I2658" s="2">
        <v>7</v>
      </c>
      <c r="J2658" s="2">
        <f t="shared" si="20"/>
        <v>-12213298588</v>
      </c>
      <c r="K2658" s="2">
        <f t="shared" si="21"/>
        <v>-2.0860428372559778E-2</v>
      </c>
      <c r="L2658" s="2" t="str">
        <f>IF(ISNUMBER(SEARCH("|",IMDB_Movies!$D2658)),LEFT(IMDB_Movies!$D2658,SEARCH("|",IMDB_Movies!$D2658)-1),IMDB_Movies!$D2658)</f>
        <v>Comedy</v>
      </c>
      <c r="V2658" s="2"/>
      <c r="W2658" s="2"/>
    </row>
    <row r="2659" spans="1:23" ht="12.5" x14ac:dyDescent="0.25">
      <c r="A2659" s="2" t="s">
        <v>4530</v>
      </c>
      <c r="B2659" s="2">
        <v>101</v>
      </c>
      <c r="C2659" s="2">
        <v>2060953</v>
      </c>
      <c r="D2659" s="2" t="s">
        <v>3172</v>
      </c>
      <c r="E2659" s="2" t="s">
        <v>4531</v>
      </c>
      <c r="F2659" s="2" t="s">
        <v>14</v>
      </c>
      <c r="G2659" s="2" t="s">
        <v>1876</v>
      </c>
      <c r="H2659" s="2">
        <v>12000000</v>
      </c>
      <c r="I2659" s="2">
        <v>7.1</v>
      </c>
      <c r="J2659" s="2">
        <f t="shared" si="20"/>
        <v>-9939047</v>
      </c>
      <c r="K2659" s="2">
        <f t="shared" si="21"/>
        <v>-2.4095782629193641E-2</v>
      </c>
      <c r="L2659" s="2" t="str">
        <f>IF(ISNUMBER(SEARCH("|",IMDB_Movies!$D2659)),LEFT(IMDB_Movies!$D2659,SEARCH("|",IMDB_Movies!$D2659)-1),IMDB_Movies!$D2659)</f>
        <v>Fantasy</v>
      </c>
      <c r="V2659" s="2"/>
      <c r="W2659" s="2"/>
    </row>
    <row r="2660" spans="1:23" ht="12.5" x14ac:dyDescent="0.25">
      <c r="A2660" s="2" t="s">
        <v>4532</v>
      </c>
      <c r="B2660" s="2">
        <v>97</v>
      </c>
      <c r="C2660" s="2">
        <v>3950294</v>
      </c>
      <c r="D2660" s="2" t="s">
        <v>514</v>
      </c>
      <c r="E2660" s="2" t="s">
        <v>4533</v>
      </c>
      <c r="F2660" s="2" t="s">
        <v>14</v>
      </c>
      <c r="G2660" s="2" t="s">
        <v>15</v>
      </c>
      <c r="H2660" s="2">
        <v>12000000</v>
      </c>
      <c r="I2660" s="2">
        <v>7</v>
      </c>
      <c r="J2660" s="2">
        <f t="shared" si="20"/>
        <v>-8049706</v>
      </c>
      <c r="K2660" s="2">
        <f t="shared" si="21"/>
        <v>-2.410662166968695E-2</v>
      </c>
      <c r="L2660" s="2" t="str">
        <f>IF(ISNUMBER(SEARCH("|",IMDB_Movies!$D2660)),LEFT(IMDB_Movies!$D2660,SEARCH("|",IMDB_Movies!$D2660)-1),IMDB_Movies!$D2660)</f>
        <v>Comedy</v>
      </c>
      <c r="V2660" s="2"/>
      <c r="W2660" s="2"/>
    </row>
    <row r="2661" spans="1:23" ht="12.5" x14ac:dyDescent="0.25">
      <c r="A2661" s="2" t="s">
        <v>4534</v>
      </c>
      <c r="B2661" s="2">
        <v>172</v>
      </c>
      <c r="C2661" s="2">
        <v>2835886</v>
      </c>
      <c r="D2661" s="2" t="s">
        <v>1180</v>
      </c>
      <c r="E2661" s="2" t="s">
        <v>4535</v>
      </c>
      <c r="F2661" s="2" t="s">
        <v>3189</v>
      </c>
      <c r="G2661" s="2" t="s">
        <v>2862</v>
      </c>
      <c r="H2661" s="2">
        <v>9200000</v>
      </c>
      <c r="I2661" s="2">
        <v>7.7</v>
      </c>
      <c r="J2661" s="2">
        <f t="shared" si="20"/>
        <v>-6364114</v>
      </c>
      <c r="K2661" s="2">
        <f t="shared" si="21"/>
        <v>-2.4115740266842507E-2</v>
      </c>
      <c r="L2661" s="2" t="str">
        <f>IF(ISNUMBER(SEARCH("|",IMDB_Movies!$D2661)),LEFT(IMDB_Movies!$D2661,SEARCH("|",IMDB_Movies!$D2661)-1),IMDB_Movies!$D2661)</f>
        <v>Drama</v>
      </c>
      <c r="V2661" s="2"/>
      <c r="W2661" s="2"/>
    </row>
    <row r="2662" spans="1:23" ht="12.5" x14ac:dyDescent="0.25">
      <c r="A2662" s="2" t="s">
        <v>4536</v>
      </c>
      <c r="B2662" s="2">
        <v>104</v>
      </c>
      <c r="C2662" s="2">
        <v>1779284</v>
      </c>
      <c r="D2662" s="2" t="s">
        <v>891</v>
      </c>
      <c r="E2662" s="2" t="s">
        <v>4537</v>
      </c>
      <c r="F2662" s="2" t="s">
        <v>14</v>
      </c>
      <c r="G2662" s="2" t="s">
        <v>15</v>
      </c>
      <c r="H2662" s="2">
        <v>12000000</v>
      </c>
      <c r="I2662" s="2">
        <v>7.1</v>
      </c>
      <c r="J2662" s="2">
        <f t="shared" si="20"/>
        <v>-10220716</v>
      </c>
      <c r="K2662" s="2">
        <f t="shared" si="21"/>
        <v>-2.4132217003208181E-2</v>
      </c>
      <c r="L2662" s="2" t="str">
        <f>IF(ISNUMBER(SEARCH("|",IMDB_Movies!$D2662)),LEFT(IMDB_Movies!$D2662,SEARCH("|",IMDB_Movies!$D2662)-1),IMDB_Movies!$D2662)</f>
        <v>Comedy</v>
      </c>
      <c r="V2662" s="2"/>
      <c r="W2662" s="2"/>
    </row>
    <row r="2663" spans="1:23" ht="12.5" x14ac:dyDescent="0.25">
      <c r="A2663" s="2" t="s">
        <v>4538</v>
      </c>
      <c r="B2663" s="2">
        <v>99</v>
      </c>
      <c r="C2663" s="2">
        <v>1702277</v>
      </c>
      <c r="D2663" s="2" t="s">
        <v>1400</v>
      </c>
      <c r="E2663" s="2" t="s">
        <v>4539</v>
      </c>
      <c r="F2663" s="2" t="s">
        <v>14</v>
      </c>
      <c r="G2663" s="2" t="s">
        <v>22</v>
      </c>
      <c r="H2663" s="2">
        <v>12000000</v>
      </c>
      <c r="I2663" s="2">
        <v>6.8</v>
      </c>
      <c r="J2663" s="2">
        <f t="shared" si="20"/>
        <v>-10297723</v>
      </c>
      <c r="K2663" s="2">
        <f t="shared" si="21"/>
        <v>-2.4143389785795246E-2</v>
      </c>
      <c r="L2663" s="2" t="str">
        <f>IF(ISNUMBER(SEARCH("|",IMDB_Movies!$D2663)),LEFT(IMDB_Movies!$D2663,SEARCH("|",IMDB_Movies!$D2663)-1),IMDB_Movies!$D2663)</f>
        <v>Drama</v>
      </c>
      <c r="V2663" s="2"/>
      <c r="W2663" s="2"/>
    </row>
    <row r="2664" spans="1:23" ht="12.5" x14ac:dyDescent="0.25">
      <c r="A2664" s="2" t="s">
        <v>2331</v>
      </c>
      <c r="B2664" s="2">
        <v>129</v>
      </c>
      <c r="C2664" s="2">
        <v>261481</v>
      </c>
      <c r="D2664" s="2" t="s">
        <v>3124</v>
      </c>
      <c r="E2664" s="2" t="s">
        <v>4540</v>
      </c>
      <c r="F2664" s="2" t="s">
        <v>2413</v>
      </c>
      <c r="G2664" s="2" t="s">
        <v>1329</v>
      </c>
      <c r="H2664" s="2">
        <v>12000000</v>
      </c>
      <c r="I2664" s="2">
        <v>7.5</v>
      </c>
      <c r="J2664" s="2">
        <f t="shared" si="20"/>
        <v>-11738519</v>
      </c>
      <c r="K2664" s="2">
        <f t="shared" si="21"/>
        <v>-2.4154657715041911E-2</v>
      </c>
      <c r="L2664" s="2" t="str">
        <f>IF(ISNUMBER(SEARCH("|",IMDB_Movies!$D2664)),LEFT(IMDB_Movies!$D2664,SEARCH("|",IMDB_Movies!$D2664)-1),IMDB_Movies!$D2664)</f>
        <v>Drama</v>
      </c>
      <c r="V2664" s="2"/>
      <c r="W2664" s="2"/>
    </row>
    <row r="2665" spans="1:23" ht="12.5" x14ac:dyDescent="0.25">
      <c r="A2665" s="2" t="s">
        <v>4541</v>
      </c>
      <c r="B2665" s="2">
        <v>91</v>
      </c>
      <c r="C2665" s="2">
        <v>1506998</v>
      </c>
      <c r="D2665" s="2" t="s">
        <v>4542</v>
      </c>
      <c r="E2665" s="2" t="s">
        <v>4543</v>
      </c>
      <c r="F2665" s="2" t="s">
        <v>14</v>
      </c>
      <c r="G2665" s="2" t="s">
        <v>15</v>
      </c>
      <c r="H2665" s="2">
        <v>12000000</v>
      </c>
      <c r="I2665" s="2">
        <v>6.3</v>
      </c>
      <c r="J2665" s="2">
        <f t="shared" si="20"/>
        <v>-10493002</v>
      </c>
      <c r="K2665" s="2">
        <f t="shared" si="21"/>
        <v>-2.4167342745208917E-2</v>
      </c>
      <c r="L2665" s="2" t="str">
        <f>IF(ISNUMBER(SEARCH("|",IMDB_Movies!$D2665)),LEFT(IMDB_Movies!$D2665,SEARCH("|",IMDB_Movies!$D2665)-1),IMDB_Movies!$D2665)</f>
        <v>Crime</v>
      </c>
      <c r="V2665" s="2"/>
      <c r="W2665" s="2"/>
    </row>
    <row r="2666" spans="1:23" ht="12.5" x14ac:dyDescent="0.25">
      <c r="A2666" s="2" t="s">
        <v>4544</v>
      </c>
      <c r="B2666" s="2">
        <v>100</v>
      </c>
      <c r="C2666" s="2">
        <v>860002</v>
      </c>
      <c r="D2666" s="2" t="s">
        <v>1135</v>
      </c>
      <c r="E2666" s="2" t="s">
        <v>4545</v>
      </c>
      <c r="F2666" s="2" t="s">
        <v>14</v>
      </c>
      <c r="G2666" s="2" t="s">
        <v>15</v>
      </c>
      <c r="H2666" s="2">
        <v>12000000</v>
      </c>
      <c r="I2666" s="2">
        <v>7.3</v>
      </c>
      <c r="J2666" s="2">
        <f t="shared" si="20"/>
        <v>-11139998</v>
      </c>
      <c r="K2666" s="2">
        <f t="shared" si="21"/>
        <v>-2.4178843325137402E-2</v>
      </c>
      <c r="L2666" s="2" t="str">
        <f>IF(ISNUMBER(SEARCH("|",IMDB_Movies!$D2666)),LEFT(IMDB_Movies!$D2666,SEARCH("|",IMDB_Movies!$D2666)-1),IMDB_Movies!$D2666)</f>
        <v>Adventure</v>
      </c>
      <c r="V2666" s="2"/>
      <c r="W2666" s="2"/>
    </row>
    <row r="2667" spans="1:23" ht="12.5" x14ac:dyDescent="0.25">
      <c r="A2667" s="2" t="s">
        <v>1715</v>
      </c>
      <c r="B2667" s="2">
        <v>111</v>
      </c>
      <c r="C2667" s="2">
        <v>548934</v>
      </c>
      <c r="D2667" s="2" t="s">
        <v>1320</v>
      </c>
      <c r="E2667" s="2" t="s">
        <v>4546</v>
      </c>
      <c r="F2667" s="2" t="s">
        <v>14</v>
      </c>
      <c r="G2667" s="2" t="s">
        <v>2637</v>
      </c>
      <c r="H2667" s="2">
        <v>12000000</v>
      </c>
      <c r="I2667" s="2">
        <v>6.8</v>
      </c>
      <c r="J2667" s="2">
        <f t="shared" si="20"/>
        <v>-11451066</v>
      </c>
      <c r="K2667" s="2">
        <f t="shared" si="21"/>
        <v>-2.4190991776007368E-2</v>
      </c>
      <c r="L2667" s="2" t="str">
        <f>IF(ISNUMBER(SEARCH("|",IMDB_Movies!$D2667)),LEFT(IMDB_Movies!$D2667,SEARCH("|",IMDB_Movies!$D2667)-1),IMDB_Movies!$D2667)</f>
        <v>Drama</v>
      </c>
      <c r="V2667" s="2"/>
      <c r="W2667" s="2"/>
    </row>
    <row r="2668" spans="1:23" ht="12.5" x14ac:dyDescent="0.25">
      <c r="A2668" s="2" t="s">
        <v>4547</v>
      </c>
      <c r="B2668" s="2">
        <v>114</v>
      </c>
      <c r="C2668" s="2">
        <v>447750</v>
      </c>
      <c r="D2668" s="2" t="s">
        <v>763</v>
      </c>
      <c r="E2668" s="2" t="s">
        <v>4548</v>
      </c>
      <c r="F2668" s="2" t="s">
        <v>14</v>
      </c>
      <c r="G2668" s="2" t="s">
        <v>15</v>
      </c>
      <c r="H2668" s="2">
        <v>10000000</v>
      </c>
      <c r="I2668" s="2">
        <v>7.2</v>
      </c>
      <c r="J2668" s="2">
        <f t="shared" si="20"/>
        <v>-9552250</v>
      </c>
      <c r="K2668" s="2">
        <f t="shared" si="21"/>
        <v>-2.4203468449955211E-2</v>
      </c>
      <c r="L2668" s="2" t="str">
        <f>IF(ISNUMBER(SEARCH("|",IMDB_Movies!$D2668)),LEFT(IMDB_Movies!$D2668,SEARCH("|",IMDB_Movies!$D2668)-1),IMDB_Movies!$D2668)</f>
        <v>Crime</v>
      </c>
      <c r="V2668" s="2"/>
      <c r="W2668" s="2"/>
    </row>
    <row r="2669" spans="1:23" ht="12.5" x14ac:dyDescent="0.25">
      <c r="A2669" s="2" t="s">
        <v>87</v>
      </c>
      <c r="B2669" s="2">
        <v>86</v>
      </c>
      <c r="C2669" s="2">
        <v>333976</v>
      </c>
      <c r="D2669" s="2" t="s">
        <v>375</v>
      </c>
      <c r="E2669" s="2" t="s">
        <v>4549</v>
      </c>
      <c r="F2669" s="2" t="s">
        <v>14</v>
      </c>
      <c r="G2669" s="2" t="s">
        <v>15</v>
      </c>
      <c r="H2669" s="2">
        <v>12000000</v>
      </c>
      <c r="I2669" s="2">
        <v>6.4</v>
      </c>
      <c r="J2669" s="2">
        <f t="shared" si="20"/>
        <v>-11666024</v>
      </c>
      <c r="K2669" s="2">
        <f t="shared" si="21"/>
        <v>-2.4221461729417571E-2</v>
      </c>
      <c r="L2669" s="2" t="str">
        <f>IF(ISNUMBER(SEARCH("|",IMDB_Movies!$D2669)),LEFT(IMDB_Movies!$D2669,SEARCH("|",IMDB_Movies!$D2669)-1),IMDB_Movies!$D2669)</f>
        <v>Comedy</v>
      </c>
      <c r="V2669" s="2"/>
      <c r="W2669" s="2"/>
    </row>
    <row r="2670" spans="1:23" ht="12.5" x14ac:dyDescent="0.25">
      <c r="A2670" s="2" t="s">
        <v>3288</v>
      </c>
      <c r="B2670" s="2">
        <v>107</v>
      </c>
      <c r="C2670" s="2">
        <v>141853</v>
      </c>
      <c r="D2670" s="2" t="s">
        <v>891</v>
      </c>
      <c r="E2670" s="2" t="s">
        <v>4550</v>
      </c>
      <c r="F2670" s="2" t="s">
        <v>14</v>
      </c>
      <c r="G2670" s="2" t="s">
        <v>135</v>
      </c>
      <c r="H2670" s="2">
        <v>12000000</v>
      </c>
      <c r="I2670" s="2">
        <v>6</v>
      </c>
      <c r="J2670" s="2">
        <f t="shared" si="20"/>
        <v>-11858147</v>
      </c>
      <c r="K2670" s="2">
        <f t="shared" si="21"/>
        <v>-2.4234205745747268E-2</v>
      </c>
      <c r="L2670" s="2" t="str">
        <f>IF(ISNUMBER(SEARCH("|",IMDB_Movies!$D2670)),LEFT(IMDB_Movies!$D2670,SEARCH("|",IMDB_Movies!$D2670)-1),IMDB_Movies!$D2670)</f>
        <v>Comedy</v>
      </c>
      <c r="V2670" s="2"/>
      <c r="W2670" s="2"/>
    </row>
    <row r="2671" spans="1:23" ht="12.5" x14ac:dyDescent="0.25">
      <c r="A2671" s="2" t="s">
        <v>3941</v>
      </c>
      <c r="B2671" s="2">
        <v>90</v>
      </c>
      <c r="C2671" s="2">
        <v>303439</v>
      </c>
      <c r="D2671" s="2" t="s">
        <v>690</v>
      </c>
      <c r="E2671" s="2" t="s">
        <v>4551</v>
      </c>
      <c r="F2671" s="2" t="s">
        <v>14</v>
      </c>
      <c r="G2671" s="2" t="s">
        <v>15</v>
      </c>
      <c r="H2671" s="2">
        <v>8000000</v>
      </c>
      <c r="I2671" s="2">
        <v>6.4</v>
      </c>
      <c r="J2671" s="2">
        <f t="shared" si="20"/>
        <v>-7696561</v>
      </c>
      <c r="K2671" s="2">
        <f t="shared" si="21"/>
        <v>-2.4247165802448886E-2</v>
      </c>
      <c r="L2671" s="2" t="str">
        <f>IF(ISNUMBER(SEARCH("|",IMDB_Movies!$D2671)),LEFT(IMDB_Movies!$D2671,SEARCH("|",IMDB_Movies!$D2671)-1),IMDB_Movies!$D2671)</f>
        <v>Drama</v>
      </c>
      <c r="V2671" s="2"/>
      <c r="W2671" s="2"/>
    </row>
    <row r="2672" spans="1:23" ht="12.5" x14ac:dyDescent="0.25">
      <c r="A2672" s="2" t="s">
        <v>4552</v>
      </c>
      <c r="B2672" s="2">
        <v>120</v>
      </c>
      <c r="C2672" s="2">
        <v>214202</v>
      </c>
      <c r="D2672" s="2" t="s">
        <v>763</v>
      </c>
      <c r="E2672" s="2" t="s">
        <v>4553</v>
      </c>
      <c r="F2672" s="2" t="s">
        <v>14</v>
      </c>
      <c r="G2672" s="2" t="s">
        <v>287</v>
      </c>
      <c r="H2672" s="2">
        <v>12000000</v>
      </c>
      <c r="I2672" s="2">
        <v>7.5</v>
      </c>
      <c r="J2672" s="2">
        <f t="shared" si="20"/>
        <v>-11785798</v>
      </c>
      <c r="K2672" s="2">
        <f t="shared" si="21"/>
        <v>-2.4270914112718159E-2</v>
      </c>
      <c r="L2672" s="2" t="str">
        <f>IF(ISNUMBER(SEARCH("|",IMDB_Movies!$D2672)),LEFT(IMDB_Movies!$D2672,SEARCH("|",IMDB_Movies!$D2672)-1),IMDB_Movies!$D2672)</f>
        <v>Crime</v>
      </c>
      <c r="V2672" s="2"/>
      <c r="W2672" s="2"/>
    </row>
    <row r="2673" spans="1:23" ht="12.5" x14ac:dyDescent="0.25">
      <c r="A2673" s="2" t="s">
        <v>4554</v>
      </c>
      <c r="B2673" s="2">
        <v>134</v>
      </c>
      <c r="C2673" s="2">
        <v>195888</v>
      </c>
      <c r="D2673" s="2" t="s">
        <v>2432</v>
      </c>
      <c r="E2673" s="2" t="s">
        <v>4555</v>
      </c>
      <c r="F2673" s="2" t="s">
        <v>4556</v>
      </c>
      <c r="G2673" s="2" t="s">
        <v>3545</v>
      </c>
      <c r="H2673" s="2">
        <v>2500000000</v>
      </c>
      <c r="I2673" s="2">
        <v>7.1</v>
      </c>
      <c r="J2673" s="2">
        <f t="shared" si="20"/>
        <v>-2499804112</v>
      </c>
      <c r="K2673" s="2">
        <f t="shared" si="21"/>
        <v>-2.4283865467967087E-2</v>
      </c>
      <c r="L2673" s="2" t="str">
        <f>IF(ISNUMBER(SEARCH("|",IMDB_Movies!$D2673)),LEFT(IMDB_Movies!$D2673,SEARCH("|",IMDB_Movies!$D2673)-1),IMDB_Movies!$D2673)</f>
        <v>Drama</v>
      </c>
      <c r="V2673" s="2"/>
      <c r="W2673" s="2"/>
    </row>
    <row r="2674" spans="1:23" ht="12.5" x14ac:dyDescent="0.25">
      <c r="A2674" s="2" t="s">
        <v>4557</v>
      </c>
      <c r="B2674" s="2">
        <v>110</v>
      </c>
      <c r="C2674" s="2">
        <v>175370</v>
      </c>
      <c r="D2674" s="2" t="s">
        <v>709</v>
      </c>
      <c r="E2674" s="2" t="s">
        <v>4558</v>
      </c>
      <c r="F2674" s="2" t="s">
        <v>14</v>
      </c>
      <c r="G2674" s="2" t="s">
        <v>15</v>
      </c>
      <c r="H2674" s="2">
        <v>12000000</v>
      </c>
      <c r="I2674" s="2">
        <v>4.5999999999999996</v>
      </c>
      <c r="J2674" s="2">
        <f t="shared" si="20"/>
        <v>-11824630</v>
      </c>
      <c r="K2674" s="2">
        <f t="shared" si="21"/>
        <v>-1.9827212158586498E-2</v>
      </c>
      <c r="L2674" s="2" t="str">
        <f>IF(ISNUMBER(SEARCH("|",IMDB_Movies!$D2674)),LEFT(IMDB_Movies!$D2674,SEARCH("|",IMDB_Movies!$D2674)-1),IMDB_Movies!$D2674)</f>
        <v>Comedy</v>
      </c>
      <c r="V2674" s="2"/>
      <c r="W2674" s="2"/>
    </row>
    <row r="2675" spans="1:23" ht="12.5" x14ac:dyDescent="0.25">
      <c r="A2675" s="2" t="s">
        <v>4559</v>
      </c>
      <c r="B2675" s="2">
        <v>132</v>
      </c>
      <c r="C2675" s="2">
        <v>119922</v>
      </c>
      <c r="D2675" s="2" t="s">
        <v>706</v>
      </c>
      <c r="E2675" s="2" t="s">
        <v>4560</v>
      </c>
      <c r="F2675" s="2" t="s">
        <v>699</v>
      </c>
      <c r="G2675" s="2" t="s">
        <v>331</v>
      </c>
      <c r="H2675" s="2">
        <v>12000000</v>
      </c>
      <c r="I2675" s="2">
        <v>7.7</v>
      </c>
      <c r="J2675" s="2">
        <f t="shared" si="20"/>
        <v>-11880078</v>
      </c>
      <c r="K2675" s="2">
        <f t="shared" si="21"/>
        <v>-1.9834218782208157E-2</v>
      </c>
      <c r="L2675" s="2" t="str">
        <f>IF(ISNUMBER(SEARCH("|",IMDB_Movies!$D2675)),LEFT(IMDB_Movies!$D2675,SEARCH("|",IMDB_Movies!$D2675)-1),IMDB_Movies!$D2675)</f>
        <v>Drama</v>
      </c>
      <c r="V2675" s="2"/>
      <c r="W2675" s="2"/>
    </row>
    <row r="2676" spans="1:23" ht="12.5" x14ac:dyDescent="0.25">
      <c r="A2676" s="2" t="s">
        <v>744</v>
      </c>
      <c r="B2676" s="2">
        <v>113</v>
      </c>
      <c r="C2676" s="2">
        <v>17149</v>
      </c>
      <c r="D2676" s="2" t="s">
        <v>529</v>
      </c>
      <c r="E2676" s="2" t="s">
        <v>4561</v>
      </c>
      <c r="F2676" s="2" t="s">
        <v>14</v>
      </c>
      <c r="G2676" s="2" t="s">
        <v>4562</v>
      </c>
      <c r="H2676" s="2">
        <v>20000000</v>
      </c>
      <c r="I2676" s="2">
        <v>5.6</v>
      </c>
      <c r="J2676" s="2">
        <f t="shared" si="20"/>
        <v>-19982851</v>
      </c>
      <c r="K2676" s="2">
        <f t="shared" si="21"/>
        <v>-1.9841271993193851E-2</v>
      </c>
      <c r="L2676" s="2" t="str">
        <f>IF(ISNUMBER(SEARCH("|",IMDB_Movies!$D2676)),LEFT(IMDB_Movies!$D2676,SEARCH("|",IMDB_Movies!$D2676)-1),IMDB_Movies!$D2676)</f>
        <v>Action</v>
      </c>
      <c r="V2676" s="2"/>
      <c r="W2676" s="2"/>
    </row>
    <row r="2677" spans="1:23" ht="12.5" x14ac:dyDescent="0.25">
      <c r="A2677" s="2" t="s">
        <v>4563</v>
      </c>
      <c r="B2677" s="2">
        <v>111</v>
      </c>
      <c r="C2677" s="2">
        <v>14616</v>
      </c>
      <c r="D2677" s="2" t="s">
        <v>1180</v>
      </c>
      <c r="E2677" s="2" t="s">
        <v>4564</v>
      </c>
      <c r="F2677" s="2" t="s">
        <v>14</v>
      </c>
      <c r="G2677" s="2" t="s">
        <v>15</v>
      </c>
      <c r="H2677" s="2">
        <v>12000000</v>
      </c>
      <c r="I2677" s="2">
        <v>7.5</v>
      </c>
      <c r="J2677" s="2">
        <f t="shared" si="20"/>
        <v>-11985384</v>
      </c>
      <c r="K2677" s="2">
        <f t="shared" si="21"/>
        <v>-1.9823065776857232E-2</v>
      </c>
      <c r="L2677" s="2" t="str">
        <f>IF(ISNUMBER(SEARCH("|",IMDB_Movies!$D2677)),LEFT(IMDB_Movies!$D2677,SEARCH("|",IMDB_Movies!$D2677)-1),IMDB_Movies!$D2677)</f>
        <v>Drama</v>
      </c>
      <c r="V2677" s="2"/>
      <c r="W2677" s="2"/>
    </row>
    <row r="2678" spans="1:23" ht="12.5" x14ac:dyDescent="0.25">
      <c r="A2678" s="2" t="s">
        <v>1166</v>
      </c>
      <c r="B2678" s="2">
        <v>99</v>
      </c>
      <c r="C2678" s="2">
        <v>91443253</v>
      </c>
      <c r="D2678" s="2" t="s">
        <v>555</v>
      </c>
      <c r="E2678" s="2" t="s">
        <v>4565</v>
      </c>
      <c r="F2678" s="2" t="s">
        <v>14</v>
      </c>
      <c r="G2678" s="2" t="s">
        <v>15</v>
      </c>
      <c r="H2678" s="2">
        <v>12000000</v>
      </c>
      <c r="I2678" s="2">
        <v>5.8</v>
      </c>
      <c r="J2678" s="2">
        <f t="shared" si="20"/>
        <v>79443253</v>
      </c>
      <c r="K2678" s="2">
        <f t="shared" si="21"/>
        <v>-1.9830183998408357E-2</v>
      </c>
      <c r="L2678" s="2" t="str">
        <f>IF(ISNUMBER(SEARCH("|",IMDB_Movies!$D2678)),LEFT(IMDB_Movies!$D2678,SEARCH("|",IMDB_Movies!$D2678)-1),IMDB_Movies!$D2678)</f>
        <v>Biography</v>
      </c>
      <c r="V2678" s="2"/>
      <c r="W2678" s="2"/>
    </row>
    <row r="2679" spans="1:23" ht="12.5" x14ac:dyDescent="0.25">
      <c r="A2679" s="2" t="s">
        <v>471</v>
      </c>
      <c r="B2679" s="2">
        <v>104</v>
      </c>
      <c r="C2679" s="2">
        <v>30093107</v>
      </c>
      <c r="D2679" s="2" t="s">
        <v>375</v>
      </c>
      <c r="E2679" s="2" t="s">
        <v>4566</v>
      </c>
      <c r="F2679" s="2" t="s">
        <v>14</v>
      </c>
      <c r="G2679" s="2" t="s">
        <v>22</v>
      </c>
      <c r="H2679" s="2">
        <v>6000000</v>
      </c>
      <c r="I2679" s="2">
        <v>8.3000000000000007</v>
      </c>
      <c r="J2679" s="2">
        <f t="shared" si="20"/>
        <v>24093107</v>
      </c>
      <c r="K2679" s="2">
        <f t="shared" si="21"/>
        <v>-1.9854926916766623E-2</v>
      </c>
      <c r="L2679" s="2" t="str">
        <f>IF(ISNUMBER(SEARCH("|",IMDB_Movies!$D2679)),LEFT(IMDB_Movies!$D2679,SEARCH("|",IMDB_Movies!$D2679)-1),IMDB_Movies!$D2679)</f>
        <v>Comedy</v>
      </c>
      <c r="V2679" s="2"/>
      <c r="W2679" s="2"/>
    </row>
    <row r="2680" spans="1:23" ht="12.5" x14ac:dyDescent="0.25">
      <c r="A2680" s="2" t="s">
        <v>4189</v>
      </c>
      <c r="B2680" s="2">
        <v>103</v>
      </c>
      <c r="C2680" s="2">
        <v>57469179</v>
      </c>
      <c r="D2680" s="2" t="s">
        <v>2465</v>
      </c>
      <c r="E2680" s="2" t="s">
        <v>4567</v>
      </c>
      <c r="F2680" s="2" t="s">
        <v>14</v>
      </c>
      <c r="G2680" s="2" t="s">
        <v>15</v>
      </c>
      <c r="H2680" s="2">
        <v>11500000</v>
      </c>
      <c r="I2680" s="2">
        <v>6.6</v>
      </c>
      <c r="J2680" s="2">
        <f t="shared" si="20"/>
        <v>45969179</v>
      </c>
      <c r="K2680" s="2">
        <f t="shared" si="21"/>
        <v>-1.9834865346646666E-2</v>
      </c>
      <c r="L2680" s="2" t="str">
        <f>IF(ISNUMBER(SEARCH("|",IMDB_Movies!$D2680)),LEFT(IMDB_Movies!$D2680,SEARCH("|",IMDB_Movies!$D2680)-1),IMDB_Movies!$D2680)</f>
        <v>Fantasy</v>
      </c>
      <c r="V2680" s="2"/>
      <c r="W2680" s="2"/>
    </row>
    <row r="2681" spans="1:23" ht="12.5" x14ac:dyDescent="0.25">
      <c r="A2681" s="2" t="s">
        <v>4568</v>
      </c>
      <c r="B2681" s="2">
        <v>134</v>
      </c>
      <c r="C2681" s="2">
        <v>48856</v>
      </c>
      <c r="D2681" s="2" t="s">
        <v>1180</v>
      </c>
      <c r="E2681" s="2" t="s">
        <v>4569</v>
      </c>
      <c r="F2681" s="2" t="s">
        <v>2568</v>
      </c>
      <c r="G2681" s="2" t="s">
        <v>1032</v>
      </c>
      <c r="H2681" s="2">
        <v>11900000</v>
      </c>
      <c r="I2681" s="2">
        <v>7.5</v>
      </c>
      <c r="J2681" s="2">
        <f t="shared" si="20"/>
        <v>-11851144</v>
      </c>
      <c r="K2681" s="2">
        <f t="shared" si="21"/>
        <v>-1.9832229258444377E-2</v>
      </c>
      <c r="L2681" s="2" t="str">
        <f>IF(ISNUMBER(SEARCH("|",IMDB_Movies!$D2681)),LEFT(IMDB_Movies!$D2681,SEARCH("|",IMDB_Movies!$D2681)-1),IMDB_Movies!$D2681)</f>
        <v>Drama</v>
      </c>
      <c r="V2681" s="2"/>
      <c r="W2681" s="2"/>
    </row>
    <row r="2682" spans="1:23" ht="12.5" x14ac:dyDescent="0.25">
      <c r="A2682" s="2" t="s">
        <v>991</v>
      </c>
      <c r="B2682" s="2">
        <v>106</v>
      </c>
      <c r="C2682" s="2">
        <v>148170000</v>
      </c>
      <c r="D2682" s="2" t="s">
        <v>327</v>
      </c>
      <c r="E2682" s="2" t="s">
        <v>4570</v>
      </c>
      <c r="F2682" s="2" t="s">
        <v>14</v>
      </c>
      <c r="G2682" s="2" t="s">
        <v>15</v>
      </c>
      <c r="H2682" s="2">
        <v>11000000</v>
      </c>
      <c r="I2682" s="2">
        <v>7.2</v>
      </c>
      <c r="J2682" s="2">
        <f t="shared" si="20"/>
        <v>137170000</v>
      </c>
      <c r="K2682" s="2">
        <f t="shared" si="21"/>
        <v>-1.9839650810406818E-2</v>
      </c>
      <c r="L2682" s="2" t="str">
        <f>IF(ISNUMBER(SEARCH("|",IMDB_Movies!$D2682)),LEFT(IMDB_Movies!$D2682,SEARCH("|",IMDB_Movies!$D2682)-1),IMDB_Movies!$D2682)</f>
        <v>Comedy</v>
      </c>
      <c r="V2682" s="2"/>
      <c r="W2682" s="2"/>
    </row>
    <row r="2683" spans="1:23" ht="12.5" x14ac:dyDescent="0.25">
      <c r="A2683" s="2" t="s">
        <v>521</v>
      </c>
      <c r="B2683" s="2">
        <v>125</v>
      </c>
      <c r="C2683" s="2">
        <v>460935665</v>
      </c>
      <c r="D2683" s="2" t="s">
        <v>12</v>
      </c>
      <c r="E2683" s="2" t="s">
        <v>4571</v>
      </c>
      <c r="F2683" s="2" t="s">
        <v>14</v>
      </c>
      <c r="G2683" s="2" t="s">
        <v>15</v>
      </c>
      <c r="H2683" s="2">
        <v>11000000</v>
      </c>
      <c r="I2683" s="2">
        <v>8.6999999999999993</v>
      </c>
      <c r="J2683" s="2">
        <f t="shared" si="20"/>
        <v>449935665</v>
      </c>
      <c r="K2683" s="2">
        <f t="shared" si="21"/>
        <v>-1.9921850591285348E-2</v>
      </c>
      <c r="L2683" s="2" t="str">
        <f>IF(ISNUMBER(SEARCH("|",IMDB_Movies!$D2683)),LEFT(IMDB_Movies!$D2683,SEARCH("|",IMDB_Movies!$D2683)-1),IMDB_Movies!$D2683)</f>
        <v>Action</v>
      </c>
      <c r="V2683" s="2"/>
      <c r="W2683" s="2"/>
    </row>
    <row r="2684" spans="1:23" ht="12.5" x14ac:dyDescent="0.25">
      <c r="A2684" s="2" t="s">
        <v>4572</v>
      </c>
      <c r="B2684" s="2">
        <v>109</v>
      </c>
      <c r="C2684" s="2">
        <v>35537564</v>
      </c>
      <c r="D2684" s="2" t="s">
        <v>709</v>
      </c>
      <c r="E2684" s="2" t="s">
        <v>4573</v>
      </c>
      <c r="F2684" s="2" t="s">
        <v>14</v>
      </c>
      <c r="G2684" s="2" t="s">
        <v>15</v>
      </c>
      <c r="H2684" s="2">
        <v>11500000</v>
      </c>
      <c r="I2684" s="2">
        <v>6</v>
      </c>
      <c r="J2684" s="2">
        <f t="shared" si="20"/>
        <v>24037564</v>
      </c>
      <c r="K2684" s="2">
        <f t="shared" si="21"/>
        <v>-2.1657418770535466E-2</v>
      </c>
      <c r="L2684" s="2" t="str">
        <f>IF(ISNUMBER(SEARCH("|",IMDB_Movies!$D2684)),LEFT(IMDB_Movies!$D2684,SEARCH("|",IMDB_Movies!$D2684)-1),IMDB_Movies!$D2684)</f>
        <v>Comedy</v>
      </c>
      <c r="V2684" s="2"/>
      <c r="W2684" s="2"/>
    </row>
    <row r="2685" spans="1:23" ht="12.5" x14ac:dyDescent="0.25">
      <c r="A2685" s="2" t="s">
        <v>2967</v>
      </c>
      <c r="B2685" s="2">
        <v>200</v>
      </c>
      <c r="C2685" s="2">
        <v>111722000</v>
      </c>
      <c r="D2685" s="2" t="s">
        <v>2432</v>
      </c>
      <c r="E2685" s="2" t="s">
        <v>4574</v>
      </c>
      <c r="F2685" s="2" t="s">
        <v>14</v>
      </c>
      <c r="G2685" s="2" t="s">
        <v>15</v>
      </c>
      <c r="H2685" s="2">
        <v>11000000</v>
      </c>
      <c r="I2685" s="2">
        <v>8</v>
      </c>
      <c r="J2685" s="2">
        <f t="shared" si="20"/>
        <v>100722000</v>
      </c>
      <c r="K2685" s="2">
        <f t="shared" si="21"/>
        <v>-2.1652665480645976E-2</v>
      </c>
      <c r="L2685" s="2" t="str">
        <f>IF(ISNUMBER(SEARCH("|",IMDB_Movies!$D2685)),LEFT(IMDB_Movies!$D2685,SEARCH("|",IMDB_Movies!$D2685)-1),IMDB_Movies!$D2685)</f>
        <v>Drama</v>
      </c>
      <c r="V2685" s="2"/>
      <c r="W2685" s="2"/>
    </row>
    <row r="2686" spans="1:23" ht="12.5" x14ac:dyDescent="0.25">
      <c r="A2686" s="2" t="s">
        <v>1397</v>
      </c>
      <c r="B2686" s="2">
        <v>112</v>
      </c>
      <c r="C2686" s="2">
        <v>90556401</v>
      </c>
      <c r="D2686" s="2" t="s">
        <v>1048</v>
      </c>
      <c r="E2686" s="2" t="s">
        <v>4575</v>
      </c>
      <c r="F2686" s="2" t="s">
        <v>14</v>
      </c>
      <c r="G2686" s="2" t="s">
        <v>15</v>
      </c>
      <c r="H2686" s="2">
        <v>11000000</v>
      </c>
      <c r="I2686" s="2">
        <v>4.5</v>
      </c>
      <c r="J2686" s="2">
        <f t="shared" si="20"/>
        <v>79556401</v>
      </c>
      <c r="K2686" s="2">
        <f t="shared" si="21"/>
        <v>-2.1704194842418739E-2</v>
      </c>
      <c r="L2686" s="2" t="str">
        <f>IF(ISNUMBER(SEARCH("|",IMDB_Movies!$D2686)),LEFT(IMDB_Movies!$D2686,SEARCH("|",IMDB_Movies!$D2686)-1),IMDB_Movies!$D2686)</f>
        <v>Comedy</v>
      </c>
      <c r="V2686" s="2"/>
      <c r="W2686" s="2"/>
    </row>
    <row r="2687" spans="1:23" ht="12.5" x14ac:dyDescent="0.25">
      <c r="A2687" s="2" t="s">
        <v>1430</v>
      </c>
      <c r="B2687" s="2">
        <v>116</v>
      </c>
      <c r="C2687" s="2">
        <v>93571803</v>
      </c>
      <c r="D2687" s="2" t="s">
        <v>585</v>
      </c>
      <c r="E2687" s="2" t="s">
        <v>4576</v>
      </c>
      <c r="F2687" s="2" t="s">
        <v>14</v>
      </c>
      <c r="G2687" s="2" t="s">
        <v>15</v>
      </c>
      <c r="H2687" s="2">
        <v>25000000</v>
      </c>
      <c r="I2687" s="2">
        <v>7.9</v>
      </c>
      <c r="J2687" s="2">
        <f t="shared" si="20"/>
        <v>68571803</v>
      </c>
      <c r="K2687" s="2">
        <f t="shared" si="21"/>
        <v>-2.1726537779437439E-2</v>
      </c>
      <c r="L2687" s="2" t="str">
        <f>IF(ISNUMBER(SEARCH("|",IMDB_Movies!$D2687)),LEFT(IMDB_Movies!$D2687,SEARCH("|",IMDB_Movies!$D2687)-1),IMDB_Movies!$D2687)</f>
        <v>Biography</v>
      </c>
      <c r="V2687" s="2"/>
      <c r="W2687" s="2"/>
    </row>
    <row r="2688" spans="1:23" ht="12.5" x14ac:dyDescent="0.25">
      <c r="A2688" s="2" t="s">
        <v>2326</v>
      </c>
      <c r="B2688" s="2">
        <v>120</v>
      </c>
      <c r="C2688" s="2">
        <v>52929168</v>
      </c>
      <c r="D2688" s="2" t="s">
        <v>375</v>
      </c>
      <c r="E2688" s="2" t="s">
        <v>4577</v>
      </c>
      <c r="F2688" s="2" t="s">
        <v>14</v>
      </c>
      <c r="G2688" s="2" t="s">
        <v>15</v>
      </c>
      <c r="H2688" s="2">
        <v>11000000</v>
      </c>
      <c r="I2688" s="2">
        <v>7.5</v>
      </c>
      <c r="J2688" s="2">
        <f t="shared" si="20"/>
        <v>41929168</v>
      </c>
      <c r="K2688" s="2">
        <f t="shared" si="21"/>
        <v>-2.200134510808794E-2</v>
      </c>
      <c r="L2688" s="2" t="str">
        <f>IF(ISNUMBER(SEARCH("|",IMDB_Movies!$D2688)),LEFT(IMDB_Movies!$D2688,SEARCH("|",IMDB_Movies!$D2688)-1),IMDB_Movies!$D2688)</f>
        <v>Comedy</v>
      </c>
      <c r="V2688" s="2"/>
      <c r="W2688" s="2"/>
    </row>
    <row r="2689" spans="1:23" ht="12.5" x14ac:dyDescent="0.25">
      <c r="A2689" s="2" t="s">
        <v>4578</v>
      </c>
      <c r="B2689" s="2">
        <v>107</v>
      </c>
      <c r="C2689" s="2">
        <v>50461335</v>
      </c>
      <c r="D2689" s="2" t="s">
        <v>4579</v>
      </c>
      <c r="E2689" s="2" t="s">
        <v>4580</v>
      </c>
      <c r="F2689" s="2" t="s">
        <v>14</v>
      </c>
      <c r="G2689" s="2" t="s">
        <v>15</v>
      </c>
      <c r="H2689" s="2">
        <v>11000000</v>
      </c>
      <c r="I2689" s="2">
        <v>6.8</v>
      </c>
      <c r="J2689" s="2">
        <f t="shared" si="20"/>
        <v>39461335</v>
      </c>
      <c r="K2689" s="2">
        <f t="shared" si="21"/>
        <v>-2.1996347634221012E-2</v>
      </c>
      <c r="L2689" s="2" t="str">
        <f>IF(ISNUMBER(SEARCH("|",IMDB_Movies!$D2689)),LEFT(IMDB_Movies!$D2689,SEARCH("|",IMDB_Movies!$D2689)-1),IMDB_Movies!$D2689)</f>
        <v>Drama</v>
      </c>
      <c r="V2689" s="2"/>
      <c r="W2689" s="2"/>
    </row>
    <row r="2690" spans="1:23" ht="12.5" x14ac:dyDescent="0.25">
      <c r="A2690" s="2" t="s">
        <v>4581</v>
      </c>
      <c r="B2690" s="2">
        <v>107</v>
      </c>
      <c r="C2690" s="2">
        <v>49797148</v>
      </c>
      <c r="D2690" s="2" t="s">
        <v>1350</v>
      </c>
      <c r="E2690" s="2" t="s">
        <v>4582</v>
      </c>
      <c r="F2690" s="2" t="s">
        <v>14</v>
      </c>
      <c r="G2690" s="2" t="s">
        <v>15</v>
      </c>
      <c r="H2690" s="2">
        <v>11000000</v>
      </c>
      <c r="I2690" s="2">
        <v>7.2</v>
      </c>
      <c r="J2690" s="2">
        <f t="shared" si="20"/>
        <v>38797148</v>
      </c>
      <c r="K2690" s="2">
        <f t="shared" si="21"/>
        <v>-2.1990623003184166E-2</v>
      </c>
      <c r="L2690" s="2" t="str">
        <f>IF(ISNUMBER(SEARCH("|",IMDB_Movies!$D2690)),LEFT(IMDB_Movies!$D2690,SEARCH("|",IMDB_Movies!$D2690)-1),IMDB_Movies!$D2690)</f>
        <v>Comedy</v>
      </c>
      <c r="V2690" s="2"/>
      <c r="W2690" s="2"/>
    </row>
    <row r="2691" spans="1:23" ht="12.5" x14ac:dyDescent="0.25">
      <c r="A2691" s="2" t="s">
        <v>482</v>
      </c>
      <c r="B2691" s="2">
        <v>81</v>
      </c>
      <c r="C2691" s="2">
        <v>46563158</v>
      </c>
      <c r="D2691" s="2" t="s">
        <v>550</v>
      </c>
      <c r="E2691" s="2" t="s">
        <v>4583</v>
      </c>
      <c r="F2691" s="2" t="s">
        <v>14</v>
      </c>
      <c r="G2691" s="2" t="s">
        <v>15</v>
      </c>
      <c r="H2691" s="2">
        <v>13000000</v>
      </c>
      <c r="I2691" s="2">
        <v>7.1</v>
      </c>
      <c r="J2691" s="2">
        <f t="shared" si="20"/>
        <v>33563158</v>
      </c>
      <c r="K2691" s="2">
        <f t="shared" si="21"/>
        <v>-2.1984720076768854E-2</v>
      </c>
      <c r="L2691" s="2" t="str">
        <f>IF(ISNUMBER(SEARCH("|",IMDB_Movies!$D2691)),LEFT(IMDB_Movies!$D2691,SEARCH("|",IMDB_Movies!$D2691)-1),IMDB_Movies!$D2691)</f>
        <v>Crime</v>
      </c>
      <c r="V2691" s="2"/>
      <c r="W2691" s="2"/>
    </row>
    <row r="2692" spans="1:23" ht="12.5" x14ac:dyDescent="0.25">
      <c r="A2692" s="2" t="s">
        <v>918</v>
      </c>
      <c r="B2692" s="2">
        <v>101</v>
      </c>
      <c r="C2692" s="2">
        <v>41227069</v>
      </c>
      <c r="D2692" s="2" t="s">
        <v>85</v>
      </c>
      <c r="E2692" s="2" t="s">
        <v>4584</v>
      </c>
      <c r="F2692" s="2" t="s">
        <v>14</v>
      </c>
      <c r="G2692" s="2" t="s">
        <v>15</v>
      </c>
      <c r="H2692" s="2">
        <v>11000000</v>
      </c>
      <c r="I2692" s="2">
        <v>7.4</v>
      </c>
      <c r="J2692" s="2">
        <f t="shared" si="20"/>
        <v>30227069</v>
      </c>
      <c r="K2692" s="2">
        <f t="shared" si="21"/>
        <v>-2.1992480343460637E-2</v>
      </c>
      <c r="L2692" s="2" t="str">
        <f>IF(ISNUMBER(SEARCH("|",IMDB_Movies!$D2692)),LEFT(IMDB_Movies!$D2692,SEARCH("|",IMDB_Movies!$D2692)-1),IMDB_Movies!$D2692)</f>
        <v>Drama</v>
      </c>
      <c r="V2692" s="2"/>
      <c r="W2692" s="2"/>
    </row>
    <row r="2693" spans="1:23" ht="12.5" x14ac:dyDescent="0.25">
      <c r="A2693" s="2" t="s">
        <v>2649</v>
      </c>
      <c r="B2693" s="2">
        <v>122</v>
      </c>
      <c r="C2693" s="2">
        <v>39025000</v>
      </c>
      <c r="D2693" s="2" t="s">
        <v>694</v>
      </c>
      <c r="E2693" s="2" t="s">
        <v>4585</v>
      </c>
      <c r="F2693" s="2" t="s">
        <v>14</v>
      </c>
      <c r="G2693" s="2" t="s">
        <v>22</v>
      </c>
      <c r="H2693" s="2">
        <v>11000000</v>
      </c>
      <c r="I2693" s="2">
        <v>7.6</v>
      </c>
      <c r="J2693" s="2">
        <f t="shared" si="20"/>
        <v>28025000</v>
      </c>
      <c r="K2693" s="2">
        <f t="shared" si="21"/>
        <v>-2.1985315223894436E-2</v>
      </c>
      <c r="L2693" s="2" t="str">
        <f>IF(ISNUMBER(SEARCH("|",IMDB_Movies!$D2693)),LEFT(IMDB_Movies!$D2693,SEARCH("|",IMDB_Movies!$D2693)-1),IMDB_Movies!$D2693)</f>
        <v>Crime</v>
      </c>
      <c r="V2693" s="2"/>
      <c r="W2693" s="2"/>
    </row>
    <row r="2694" spans="1:23" ht="12.5" x14ac:dyDescent="0.25">
      <c r="A2694" s="2" t="s">
        <v>2039</v>
      </c>
      <c r="B2694" s="2">
        <v>97</v>
      </c>
      <c r="C2694" s="2">
        <v>38201895</v>
      </c>
      <c r="D2694" s="2" t="s">
        <v>85</v>
      </c>
      <c r="E2694" s="2" t="s">
        <v>4586</v>
      </c>
      <c r="F2694" s="2" t="s">
        <v>14</v>
      </c>
      <c r="G2694" s="2" t="s">
        <v>15</v>
      </c>
      <c r="H2694" s="2">
        <v>10500000</v>
      </c>
      <c r="I2694" s="2">
        <v>6.9</v>
      </c>
      <c r="J2694" s="2">
        <f t="shared" si="20"/>
        <v>27701895</v>
      </c>
      <c r="K2694" s="2">
        <f t="shared" si="21"/>
        <v>-2.1978094036099967E-2</v>
      </c>
      <c r="L2694" s="2" t="str">
        <f>IF(ISNUMBER(SEARCH("|",IMDB_Movies!$D2694)),LEFT(IMDB_Movies!$D2694,SEARCH("|",IMDB_Movies!$D2694)-1),IMDB_Movies!$D2694)</f>
        <v>Drama</v>
      </c>
      <c r="V2694" s="2"/>
      <c r="W2694" s="2"/>
    </row>
    <row r="2695" spans="1:23" ht="12.5" x14ac:dyDescent="0.25">
      <c r="A2695" s="2" t="s">
        <v>3887</v>
      </c>
      <c r="B2695" s="2">
        <v>92</v>
      </c>
      <c r="C2695" s="2">
        <v>27669413</v>
      </c>
      <c r="D2695" s="2" t="s">
        <v>2116</v>
      </c>
      <c r="E2695" s="2" t="s">
        <v>4587</v>
      </c>
      <c r="F2695" s="2" t="s">
        <v>14</v>
      </c>
      <c r="G2695" s="2" t="s">
        <v>104</v>
      </c>
      <c r="H2695" s="2">
        <v>11000000</v>
      </c>
      <c r="I2695" s="2">
        <v>6</v>
      </c>
      <c r="J2695" s="2">
        <f t="shared" si="20"/>
        <v>16669413</v>
      </c>
      <c r="K2695" s="2">
        <f t="shared" si="21"/>
        <v>-2.1968219925434088E-2</v>
      </c>
      <c r="L2695" s="2" t="str">
        <f>IF(ISNUMBER(SEARCH("|",IMDB_Movies!$D2695)),LEFT(IMDB_Movies!$D2695,SEARCH("|",IMDB_Movies!$D2695)-1),IMDB_Movies!$D2695)</f>
        <v>Horror</v>
      </c>
      <c r="V2695" s="2"/>
      <c r="W2695" s="2"/>
    </row>
    <row r="2696" spans="1:23" ht="12.5" x14ac:dyDescent="0.25">
      <c r="A2696" s="2" t="s">
        <v>4096</v>
      </c>
      <c r="B2696" s="2">
        <v>110</v>
      </c>
      <c r="C2696" s="2">
        <v>37766350</v>
      </c>
      <c r="D2696" s="2" t="s">
        <v>1180</v>
      </c>
      <c r="E2696" s="2" t="s">
        <v>4588</v>
      </c>
      <c r="F2696" s="2" t="s">
        <v>14</v>
      </c>
      <c r="G2696" s="2" t="s">
        <v>15</v>
      </c>
      <c r="H2696" s="2">
        <v>11000000</v>
      </c>
      <c r="I2696" s="2">
        <v>7.3</v>
      </c>
      <c r="J2696" s="2">
        <f t="shared" si="20"/>
        <v>26766350</v>
      </c>
      <c r="K2696" s="2">
        <f t="shared" si="21"/>
        <v>-2.196260488560603E-2</v>
      </c>
      <c r="L2696" s="2" t="str">
        <f>IF(ISNUMBER(SEARCH("|",IMDB_Movies!$D2696)),LEFT(IMDB_Movies!$D2696,SEARCH("|",IMDB_Movies!$D2696)-1),IMDB_Movies!$D2696)</f>
        <v>Drama</v>
      </c>
      <c r="V2696" s="2"/>
      <c r="W2696" s="2"/>
    </row>
    <row r="2697" spans="1:23" ht="12.5" x14ac:dyDescent="0.25">
      <c r="A2697" s="2" t="s">
        <v>4589</v>
      </c>
      <c r="B2697" s="2">
        <v>86</v>
      </c>
      <c r="C2697" s="2">
        <v>23978402</v>
      </c>
      <c r="D2697" s="2" t="s">
        <v>375</v>
      </c>
      <c r="E2697" s="2" t="s">
        <v>4590</v>
      </c>
      <c r="F2697" s="2" t="s">
        <v>14</v>
      </c>
      <c r="G2697" s="2" t="s">
        <v>15</v>
      </c>
      <c r="H2697" s="2">
        <v>11000000</v>
      </c>
      <c r="I2697" s="2">
        <v>4.5999999999999996</v>
      </c>
      <c r="J2697" s="2">
        <f t="shared" si="20"/>
        <v>12978402</v>
      </c>
      <c r="K2697" s="2">
        <f t="shared" si="21"/>
        <v>-2.1955363831265201E-2</v>
      </c>
      <c r="L2697" s="2" t="str">
        <f>IF(ISNUMBER(SEARCH("|",IMDB_Movies!$D2697)),LEFT(IMDB_Movies!$D2697,SEARCH("|",IMDB_Movies!$D2697)-1),IMDB_Movies!$D2697)</f>
        <v>Comedy</v>
      </c>
      <c r="V2697" s="2"/>
      <c r="W2697" s="2"/>
    </row>
    <row r="2698" spans="1:23" ht="12.5" x14ac:dyDescent="0.25">
      <c r="A2698" s="2" t="s">
        <v>803</v>
      </c>
      <c r="B2698" s="2">
        <v>91</v>
      </c>
      <c r="C2698" s="2">
        <v>21370057</v>
      </c>
      <c r="D2698" s="2" t="s">
        <v>763</v>
      </c>
      <c r="E2698" s="2" t="s">
        <v>4591</v>
      </c>
      <c r="F2698" s="2" t="s">
        <v>14</v>
      </c>
      <c r="G2698" s="2" t="s">
        <v>15</v>
      </c>
      <c r="H2698" s="2">
        <v>12000000</v>
      </c>
      <c r="I2698" s="2">
        <v>6</v>
      </c>
      <c r="J2698" s="2">
        <f t="shared" si="20"/>
        <v>9370057</v>
      </c>
      <c r="K2698" s="2">
        <f t="shared" si="21"/>
        <v>-2.1950924336211413E-2</v>
      </c>
      <c r="L2698" s="2" t="str">
        <f>IF(ISNUMBER(SEARCH("|",IMDB_Movies!$D2698)),LEFT(IMDB_Movies!$D2698,SEARCH("|",IMDB_Movies!$D2698)-1),IMDB_Movies!$D2698)</f>
        <v>Crime</v>
      </c>
      <c r="V2698" s="2"/>
      <c r="W2698" s="2"/>
    </row>
    <row r="2699" spans="1:23" ht="12.5" x14ac:dyDescent="0.25">
      <c r="A2699" s="2" t="s">
        <v>2464</v>
      </c>
      <c r="B2699" s="2">
        <v>100</v>
      </c>
      <c r="C2699" s="2">
        <v>4884663</v>
      </c>
      <c r="D2699" s="2" t="s">
        <v>3315</v>
      </c>
      <c r="E2699" s="2" t="s">
        <v>4592</v>
      </c>
      <c r="F2699" s="2" t="s">
        <v>14</v>
      </c>
      <c r="G2699" s="2" t="s">
        <v>15</v>
      </c>
      <c r="H2699" s="2">
        <v>12000000</v>
      </c>
      <c r="I2699" s="2">
        <v>5.5</v>
      </c>
      <c r="J2699" s="2">
        <f t="shared" si="20"/>
        <v>-7115337</v>
      </c>
      <c r="K2699" s="2">
        <f t="shared" si="21"/>
        <v>-2.1949027881627912E-2</v>
      </c>
      <c r="L2699" s="2" t="str">
        <f>IF(ISNUMBER(SEARCH("|",IMDB_Movies!$D2699)),LEFT(IMDB_Movies!$D2699,SEARCH("|",IMDB_Movies!$D2699)-1),IMDB_Movies!$D2699)</f>
        <v>Horror</v>
      </c>
      <c r="V2699" s="2"/>
      <c r="W2699" s="2"/>
    </row>
    <row r="2700" spans="1:23" ht="12.5" x14ac:dyDescent="0.25">
      <c r="A2700" s="2" t="s">
        <v>4593</v>
      </c>
      <c r="B2700" s="2">
        <v>111</v>
      </c>
      <c r="C2700" s="2">
        <v>38317535</v>
      </c>
      <c r="D2700" s="2" t="s">
        <v>85</v>
      </c>
      <c r="E2700" s="2" t="s">
        <v>4594</v>
      </c>
      <c r="F2700" s="2" t="s">
        <v>14</v>
      </c>
      <c r="G2700" s="2" t="s">
        <v>22</v>
      </c>
      <c r="H2700" s="2">
        <v>11000000</v>
      </c>
      <c r="I2700" s="2">
        <v>7.5</v>
      </c>
      <c r="J2700" s="2">
        <f t="shared" si="20"/>
        <v>27317535</v>
      </c>
      <c r="K2700" s="2">
        <f t="shared" si="21"/>
        <v>-2.1953786685442223E-2</v>
      </c>
      <c r="L2700" s="2" t="str">
        <f>IF(ISNUMBER(SEARCH("|",IMDB_Movies!$D2700)),LEFT(IMDB_Movies!$D2700,SEARCH("|",IMDB_Movies!$D2700)-1),IMDB_Movies!$D2700)</f>
        <v>Drama</v>
      </c>
      <c r="V2700" s="2"/>
      <c r="W2700" s="2"/>
    </row>
    <row r="2701" spans="1:23" ht="12.5" x14ac:dyDescent="0.25">
      <c r="A2701" s="2" t="s">
        <v>4595</v>
      </c>
      <c r="B2701" s="2">
        <v>89</v>
      </c>
      <c r="C2701" s="2">
        <v>13903262</v>
      </c>
      <c r="D2701" s="2" t="s">
        <v>1350</v>
      </c>
      <c r="E2701" s="2" t="s">
        <v>4596</v>
      </c>
      <c r="F2701" s="2" t="s">
        <v>14</v>
      </c>
      <c r="G2701" s="2" t="s">
        <v>15</v>
      </c>
      <c r="H2701" s="2">
        <v>11000000</v>
      </c>
      <c r="I2701" s="2">
        <v>6.3</v>
      </c>
      <c r="J2701" s="2">
        <f t="shared" si="20"/>
        <v>2903262</v>
      </c>
      <c r="K2701" s="2">
        <f t="shared" si="21"/>
        <v>-2.1946482862710479E-2</v>
      </c>
      <c r="L2701" s="2" t="str">
        <f>IF(ISNUMBER(SEARCH("|",IMDB_Movies!$D2701)),LEFT(IMDB_Movies!$D2701,SEARCH("|",IMDB_Movies!$D2701)-1),IMDB_Movies!$D2701)</f>
        <v>Comedy</v>
      </c>
      <c r="V2701" s="2"/>
      <c r="W2701" s="2"/>
    </row>
    <row r="2702" spans="1:23" ht="12.5" x14ac:dyDescent="0.25">
      <c r="A2702" s="2" t="s">
        <v>2050</v>
      </c>
      <c r="B2702" s="2">
        <v>84</v>
      </c>
      <c r="C2702" s="2">
        <v>13592872</v>
      </c>
      <c r="D2702" s="2" t="s">
        <v>709</v>
      </c>
      <c r="E2702" s="2" t="s">
        <v>4597</v>
      </c>
      <c r="F2702" s="2" t="s">
        <v>14</v>
      </c>
      <c r="G2702" s="2" t="s">
        <v>15</v>
      </c>
      <c r="H2702" s="2">
        <v>11000000</v>
      </c>
      <c r="I2702" s="2">
        <v>5.0999999999999996</v>
      </c>
      <c r="J2702" s="2">
        <f t="shared" si="20"/>
        <v>2592872</v>
      </c>
      <c r="K2702" s="2">
        <f t="shared" si="21"/>
        <v>-2.194697133482917E-2</v>
      </c>
      <c r="L2702" s="2" t="str">
        <f>IF(ISNUMBER(SEARCH("|",IMDB_Movies!$D2702)),LEFT(IMDB_Movies!$D2702,SEARCH("|",IMDB_Movies!$D2702)-1),IMDB_Movies!$D2702)</f>
        <v>Comedy</v>
      </c>
      <c r="V2702" s="2"/>
      <c r="W2702" s="2"/>
    </row>
    <row r="2703" spans="1:23" ht="12.5" x14ac:dyDescent="0.25">
      <c r="A2703" s="2" t="s">
        <v>4598</v>
      </c>
      <c r="B2703" s="2">
        <v>98</v>
      </c>
      <c r="C2703" s="2">
        <v>18381787</v>
      </c>
      <c r="D2703" s="2" t="s">
        <v>891</v>
      </c>
      <c r="E2703" s="2" t="s">
        <v>4599</v>
      </c>
      <c r="F2703" s="2" t="s">
        <v>14</v>
      </c>
      <c r="G2703" s="2" t="s">
        <v>22</v>
      </c>
      <c r="H2703" s="2">
        <v>11000000</v>
      </c>
      <c r="I2703" s="2">
        <v>6.8</v>
      </c>
      <c r="J2703" s="2">
        <f t="shared" si="20"/>
        <v>7381787</v>
      </c>
      <c r="K2703" s="2">
        <f t="shared" si="21"/>
        <v>-2.1947652265404492E-2</v>
      </c>
      <c r="L2703" s="2" t="str">
        <f>IF(ISNUMBER(SEARCH("|",IMDB_Movies!$D2703)),LEFT(IMDB_Movies!$D2703,SEARCH("|",IMDB_Movies!$D2703)-1),IMDB_Movies!$D2703)</f>
        <v>Comedy</v>
      </c>
      <c r="V2703" s="2"/>
      <c r="W2703" s="2"/>
    </row>
    <row r="2704" spans="1:23" ht="12.5" x14ac:dyDescent="0.25">
      <c r="A2704" s="2" t="s">
        <v>4600</v>
      </c>
      <c r="B2704" s="2">
        <v>95</v>
      </c>
      <c r="C2704" s="2">
        <v>13558739</v>
      </c>
      <c r="D2704" s="2" t="s">
        <v>709</v>
      </c>
      <c r="E2704" s="2" t="s">
        <v>4601</v>
      </c>
      <c r="F2704" s="2" t="s">
        <v>14</v>
      </c>
      <c r="G2704" s="2" t="s">
        <v>15</v>
      </c>
      <c r="H2704" s="2">
        <v>11000000</v>
      </c>
      <c r="I2704" s="2">
        <v>5.3</v>
      </c>
      <c r="J2704" s="2">
        <f t="shared" si="20"/>
        <v>2558739</v>
      </c>
      <c r="K2704" s="2">
        <f t="shared" si="21"/>
        <v>-2.1945633694593999E-2</v>
      </c>
      <c r="L2704" s="2" t="str">
        <f>IF(ISNUMBER(SEARCH("|",IMDB_Movies!$D2704)),LEFT(IMDB_Movies!$D2704,SEARCH("|",IMDB_Movies!$D2704)-1),IMDB_Movies!$D2704)</f>
        <v>Comedy</v>
      </c>
      <c r="V2704" s="2"/>
      <c r="W2704" s="2"/>
    </row>
    <row r="2705" spans="1:23" ht="12.5" x14ac:dyDescent="0.25">
      <c r="A2705" s="2" t="s">
        <v>4602</v>
      </c>
      <c r="B2705" s="2">
        <v>100</v>
      </c>
      <c r="C2705" s="2">
        <v>13103828</v>
      </c>
      <c r="D2705" s="2" t="s">
        <v>763</v>
      </c>
      <c r="E2705" s="2" t="s">
        <v>4603</v>
      </c>
      <c r="F2705" s="2" t="s">
        <v>14</v>
      </c>
      <c r="G2705" s="2" t="s">
        <v>15</v>
      </c>
      <c r="H2705" s="2">
        <v>11000000</v>
      </c>
      <c r="I2705" s="2">
        <v>7.3</v>
      </c>
      <c r="J2705" s="2">
        <f t="shared" si="20"/>
        <v>2103828</v>
      </c>
      <c r="K2705" s="2">
        <f t="shared" si="21"/>
        <v>-2.194633564027668E-2</v>
      </c>
      <c r="L2705" s="2" t="str">
        <f>IF(ISNUMBER(SEARCH("|",IMDB_Movies!$D2705)),LEFT(IMDB_Movies!$D2705,SEARCH("|",IMDB_Movies!$D2705)-1),IMDB_Movies!$D2705)</f>
        <v>Crime</v>
      </c>
      <c r="V2705" s="2"/>
      <c r="W2705" s="2"/>
    </row>
    <row r="2706" spans="1:23" ht="12.5" x14ac:dyDescent="0.25">
      <c r="A2706" s="2" t="s">
        <v>4604</v>
      </c>
      <c r="B2706" s="2">
        <v>109</v>
      </c>
      <c r="C2706" s="2">
        <v>33305037</v>
      </c>
      <c r="D2706" s="2" t="s">
        <v>2000</v>
      </c>
      <c r="E2706" s="2" t="s">
        <v>4605</v>
      </c>
      <c r="F2706" s="2" t="s">
        <v>14</v>
      </c>
      <c r="G2706" s="2" t="s">
        <v>22</v>
      </c>
      <c r="H2706" s="2">
        <v>11000000</v>
      </c>
      <c r="I2706" s="2">
        <v>7.3</v>
      </c>
      <c r="J2706" s="2">
        <f t="shared" si="20"/>
        <v>22305037</v>
      </c>
      <c r="K2706" s="2">
        <f t="shared" si="21"/>
        <v>-2.194732492383052E-2</v>
      </c>
      <c r="L2706" s="2" t="str">
        <f>IF(ISNUMBER(SEARCH("|",IMDB_Movies!$D2706)),LEFT(IMDB_Movies!$D2706,SEARCH("|",IMDB_Movies!$D2706)-1),IMDB_Movies!$D2706)</f>
        <v>Biography</v>
      </c>
      <c r="V2706" s="2"/>
      <c r="W2706" s="2"/>
    </row>
    <row r="2707" spans="1:23" ht="12.5" x14ac:dyDescent="0.25">
      <c r="A2707" s="2" t="s">
        <v>408</v>
      </c>
      <c r="B2707" s="2">
        <v>118</v>
      </c>
      <c r="C2707" s="2">
        <v>10214647</v>
      </c>
      <c r="D2707" s="2" t="s">
        <v>555</v>
      </c>
      <c r="E2707" s="2" t="s">
        <v>4606</v>
      </c>
      <c r="F2707" s="2" t="s">
        <v>14</v>
      </c>
      <c r="G2707" s="2" t="s">
        <v>15</v>
      </c>
      <c r="H2707" s="2">
        <v>11000000</v>
      </c>
      <c r="I2707" s="2">
        <v>7.1</v>
      </c>
      <c r="J2707" s="2">
        <f t="shared" si="20"/>
        <v>-785353</v>
      </c>
      <c r="K2707" s="2">
        <f t="shared" si="21"/>
        <v>-2.1940390134864426E-2</v>
      </c>
      <c r="L2707" s="2" t="str">
        <f>IF(ISNUMBER(SEARCH("|",IMDB_Movies!$D2707)),LEFT(IMDB_Movies!$D2707,SEARCH("|",IMDB_Movies!$D2707)-1),IMDB_Movies!$D2707)</f>
        <v>Biography</v>
      </c>
      <c r="V2707" s="2"/>
      <c r="W2707" s="2"/>
    </row>
    <row r="2708" spans="1:23" ht="12.5" x14ac:dyDescent="0.25">
      <c r="A2708" s="2" t="s">
        <v>39</v>
      </c>
      <c r="B2708" s="2">
        <v>88</v>
      </c>
      <c r="C2708" s="2">
        <v>11501093</v>
      </c>
      <c r="D2708" s="2" t="s">
        <v>327</v>
      </c>
      <c r="E2708" s="2" t="s">
        <v>4607</v>
      </c>
      <c r="F2708" s="2" t="s">
        <v>14</v>
      </c>
      <c r="G2708" s="2" t="s">
        <v>15</v>
      </c>
      <c r="H2708" s="2">
        <v>13000000</v>
      </c>
      <c r="I2708" s="2">
        <v>7.6</v>
      </c>
      <c r="J2708" s="2">
        <f t="shared" si="20"/>
        <v>-1498907</v>
      </c>
      <c r="K2708" s="2">
        <f t="shared" si="21"/>
        <v>-2.1943306521803062E-2</v>
      </c>
      <c r="L2708" s="2" t="str">
        <f>IF(ISNUMBER(SEARCH("|",IMDB_Movies!$D2708)),LEFT(IMDB_Movies!$D2708,SEARCH("|",IMDB_Movies!$D2708)-1),IMDB_Movies!$D2708)</f>
        <v>Comedy</v>
      </c>
      <c r="V2708" s="2"/>
      <c r="W2708" s="2"/>
    </row>
    <row r="2709" spans="1:23" ht="12.5" x14ac:dyDescent="0.25">
      <c r="A2709" s="2" t="s">
        <v>4608</v>
      </c>
      <c r="B2709" s="2">
        <v>86</v>
      </c>
      <c r="C2709" s="2">
        <v>4814244</v>
      </c>
      <c r="D2709" s="2" t="s">
        <v>600</v>
      </c>
      <c r="E2709" s="2" t="s">
        <v>4609</v>
      </c>
      <c r="F2709" s="2" t="s">
        <v>14</v>
      </c>
      <c r="G2709" s="2" t="s">
        <v>104</v>
      </c>
      <c r="H2709" s="2">
        <v>11000000</v>
      </c>
      <c r="I2709" s="2">
        <v>5.3</v>
      </c>
      <c r="J2709" s="2">
        <f t="shared" si="20"/>
        <v>-6185756</v>
      </c>
      <c r="K2709" s="2">
        <f t="shared" si="21"/>
        <v>-2.1943888301875228E-2</v>
      </c>
      <c r="L2709" s="2" t="str">
        <f>IF(ISNUMBER(SEARCH("|",IMDB_Movies!$D2709)),LEFT(IMDB_Movies!$D2709,SEARCH("|",IMDB_Movies!$D2709)-1),IMDB_Movies!$D2709)</f>
        <v>Comedy</v>
      </c>
      <c r="V2709" s="2"/>
      <c r="W2709" s="2"/>
    </row>
    <row r="2710" spans="1:23" ht="12.5" x14ac:dyDescent="0.25">
      <c r="A2710" s="2" t="s">
        <v>2527</v>
      </c>
      <c r="B2710" s="2">
        <v>118</v>
      </c>
      <c r="C2710" s="2">
        <v>9170214</v>
      </c>
      <c r="D2710" s="2" t="s">
        <v>85</v>
      </c>
      <c r="E2710" s="2" t="s">
        <v>4610</v>
      </c>
      <c r="F2710" s="2" t="s">
        <v>14</v>
      </c>
      <c r="G2710" s="2" t="s">
        <v>15</v>
      </c>
      <c r="H2710" s="2">
        <v>11000000</v>
      </c>
      <c r="I2710" s="2">
        <v>7.8</v>
      </c>
      <c r="J2710" s="2">
        <f t="shared" si="20"/>
        <v>-1829786</v>
      </c>
      <c r="K2710" s="2">
        <f t="shared" si="21"/>
        <v>-2.1950972644472898E-2</v>
      </c>
      <c r="L2710" s="2" t="str">
        <f>IF(ISNUMBER(SEARCH("|",IMDB_Movies!$D2710)),LEFT(IMDB_Movies!$D2710,SEARCH("|",IMDB_Movies!$D2710)-1),IMDB_Movies!$D2710)</f>
        <v>Drama</v>
      </c>
      <c r="V2710" s="2"/>
      <c r="W2710" s="2"/>
    </row>
    <row r="2711" spans="1:23" ht="12.5" x14ac:dyDescent="0.25">
      <c r="A2711" s="2" t="s">
        <v>4611</v>
      </c>
      <c r="B2711" s="2">
        <v>125</v>
      </c>
      <c r="C2711" s="2">
        <v>4068087</v>
      </c>
      <c r="D2711" s="2" t="s">
        <v>2000</v>
      </c>
      <c r="E2711" s="2" t="s">
        <v>4612</v>
      </c>
      <c r="F2711" s="2" t="s">
        <v>14</v>
      </c>
      <c r="G2711" s="2" t="s">
        <v>104</v>
      </c>
      <c r="H2711" s="2">
        <v>17000000</v>
      </c>
      <c r="I2711" s="2">
        <v>7.7</v>
      </c>
      <c r="J2711" s="2">
        <f t="shared" si="20"/>
        <v>-12931913</v>
      </c>
      <c r="K2711" s="2">
        <f t="shared" si="21"/>
        <v>-2.1954657153139597E-2</v>
      </c>
      <c r="L2711" s="2" t="str">
        <f>IF(ISNUMBER(SEARCH("|",IMDB_Movies!$D2711)),LEFT(IMDB_Movies!$D2711,SEARCH("|",IMDB_Movies!$D2711)-1),IMDB_Movies!$D2711)</f>
        <v>Biography</v>
      </c>
      <c r="V2711" s="2"/>
      <c r="W2711" s="2"/>
    </row>
    <row r="2712" spans="1:23" ht="12.5" x14ac:dyDescent="0.25">
      <c r="A2712" s="2" t="s">
        <v>3652</v>
      </c>
      <c r="B2712" s="2">
        <v>125</v>
      </c>
      <c r="C2712" s="2">
        <v>3753806</v>
      </c>
      <c r="D2712" s="2" t="s">
        <v>694</v>
      </c>
      <c r="E2712" s="2" t="s">
        <v>4613</v>
      </c>
      <c r="F2712" s="2" t="s">
        <v>14</v>
      </c>
      <c r="G2712" s="2" t="s">
        <v>22</v>
      </c>
      <c r="H2712" s="2">
        <v>11000000</v>
      </c>
      <c r="I2712" s="2">
        <v>7.7</v>
      </c>
      <c r="J2712" s="2">
        <f t="shared" si="20"/>
        <v>-7246194</v>
      </c>
      <c r="K2712" s="2">
        <f t="shared" si="21"/>
        <v>-2.1947905758906722E-2</v>
      </c>
      <c r="L2712" s="2" t="str">
        <f>IF(ISNUMBER(SEARCH("|",IMDB_Movies!$D2712)),LEFT(IMDB_Movies!$D2712,SEARCH("|",IMDB_Movies!$D2712)-1),IMDB_Movies!$D2712)</f>
        <v>Crime</v>
      </c>
      <c r="V2712" s="2"/>
      <c r="W2712" s="2"/>
    </row>
    <row r="2713" spans="1:23" ht="12.5" x14ac:dyDescent="0.25">
      <c r="A2713" s="2" t="s">
        <v>4360</v>
      </c>
      <c r="B2713" s="2">
        <v>94</v>
      </c>
      <c r="C2713" s="2">
        <v>3034181</v>
      </c>
      <c r="D2713" s="2" t="s">
        <v>3891</v>
      </c>
      <c r="E2713" s="2" t="s">
        <v>4614</v>
      </c>
      <c r="F2713" s="2" t="s">
        <v>14</v>
      </c>
      <c r="G2713" s="2" t="s">
        <v>22</v>
      </c>
      <c r="H2713" s="2">
        <v>11000000</v>
      </c>
      <c r="I2713" s="2">
        <v>5.4</v>
      </c>
      <c r="J2713" s="2">
        <f t="shared" si="20"/>
        <v>-7965819</v>
      </c>
      <c r="K2713" s="2">
        <f t="shared" si="21"/>
        <v>-2.1955916068889338E-2</v>
      </c>
      <c r="L2713" s="2" t="str">
        <f>IF(ISNUMBER(SEARCH("|",IMDB_Movies!$D2713)),LEFT(IMDB_Movies!$D2713,SEARCH("|",IMDB_Movies!$D2713)-1),IMDB_Movies!$D2713)</f>
        <v>Comedy</v>
      </c>
      <c r="V2713" s="2"/>
      <c r="W2713" s="2"/>
    </row>
    <row r="2714" spans="1:23" ht="12.5" x14ac:dyDescent="0.25">
      <c r="A2714" s="2" t="s">
        <v>3340</v>
      </c>
      <c r="B2714" s="2">
        <v>113</v>
      </c>
      <c r="C2714" s="2">
        <v>2832826</v>
      </c>
      <c r="D2714" s="2" t="s">
        <v>514</v>
      </c>
      <c r="E2714" s="2" t="s">
        <v>4615</v>
      </c>
      <c r="F2714" s="2" t="s">
        <v>14</v>
      </c>
      <c r="G2714" s="2" t="s">
        <v>15</v>
      </c>
      <c r="H2714" s="2">
        <v>11000000</v>
      </c>
      <c r="I2714" s="2">
        <v>6.2</v>
      </c>
      <c r="J2714" s="2">
        <f t="shared" si="20"/>
        <v>-8167174</v>
      </c>
      <c r="K2714" s="2">
        <f t="shared" si="21"/>
        <v>-2.1964569611690514E-2</v>
      </c>
      <c r="L2714" s="2" t="str">
        <f>IF(ISNUMBER(SEARCH("|",IMDB_Movies!$D2714)),LEFT(IMDB_Movies!$D2714,SEARCH("|",IMDB_Movies!$D2714)-1),IMDB_Movies!$D2714)</f>
        <v>Comedy</v>
      </c>
      <c r="V2714" s="2"/>
      <c r="W2714" s="2"/>
    </row>
    <row r="2715" spans="1:23" ht="12.5" x14ac:dyDescent="0.25">
      <c r="A2715" s="2" t="s">
        <v>2371</v>
      </c>
      <c r="B2715" s="2">
        <v>104</v>
      </c>
      <c r="C2715" s="2">
        <v>13214255</v>
      </c>
      <c r="D2715" s="2" t="s">
        <v>2082</v>
      </c>
      <c r="E2715" s="2" t="s">
        <v>4616</v>
      </c>
      <c r="F2715" s="2" t="s">
        <v>14</v>
      </c>
      <c r="G2715" s="2" t="s">
        <v>15</v>
      </c>
      <c r="H2715" s="2">
        <v>11000000</v>
      </c>
      <c r="I2715" s="2">
        <v>7.4</v>
      </c>
      <c r="J2715" s="2">
        <f t="shared" si="20"/>
        <v>2214255</v>
      </c>
      <c r="K2715" s="2">
        <f t="shared" si="21"/>
        <v>-2.1973418631521746E-2</v>
      </c>
      <c r="L2715" s="2" t="str">
        <f>IF(ISNUMBER(SEARCH("|",IMDB_Movies!$D2715)),LEFT(IMDB_Movies!$D2715,SEARCH("|",IMDB_Movies!$D2715)-1),IMDB_Movies!$D2715)</f>
        <v>Drama</v>
      </c>
      <c r="V2715" s="2"/>
      <c r="W2715" s="2"/>
    </row>
    <row r="2716" spans="1:23" ht="12.5" x14ac:dyDescent="0.25">
      <c r="A2716" s="2" t="s">
        <v>4617</v>
      </c>
      <c r="B2716" s="2">
        <v>95</v>
      </c>
      <c r="C2716" s="2">
        <v>16017403</v>
      </c>
      <c r="D2716" s="2" t="s">
        <v>2924</v>
      </c>
      <c r="E2716" s="2" t="s">
        <v>4618</v>
      </c>
      <c r="F2716" s="2" t="s">
        <v>14</v>
      </c>
      <c r="G2716" s="2" t="s">
        <v>15</v>
      </c>
      <c r="H2716" s="2">
        <v>5000000</v>
      </c>
      <c r="I2716" s="2">
        <v>6.2</v>
      </c>
      <c r="J2716" s="2">
        <f t="shared" si="20"/>
        <v>11017403</v>
      </c>
      <c r="K2716" s="2">
        <f t="shared" si="21"/>
        <v>-2.1974374818236039E-2</v>
      </c>
      <c r="L2716" s="2" t="str">
        <f>IF(ISNUMBER(SEARCH("|",IMDB_Movies!$D2716)),LEFT(IMDB_Movies!$D2716,SEARCH("|",IMDB_Movies!$D2716)-1),IMDB_Movies!$D2716)</f>
        <v>Drama</v>
      </c>
      <c r="V2716" s="2"/>
      <c r="W2716" s="2"/>
    </row>
    <row r="2717" spans="1:23" ht="12.5" x14ac:dyDescent="0.25">
      <c r="A2717" s="2" t="s">
        <v>4619</v>
      </c>
      <c r="B2717" s="2">
        <v>102</v>
      </c>
      <c r="C2717" s="2">
        <v>2807854</v>
      </c>
      <c r="D2717" s="2" t="s">
        <v>824</v>
      </c>
      <c r="E2717" s="2" t="s">
        <v>4620</v>
      </c>
      <c r="F2717" s="2" t="s">
        <v>14</v>
      </c>
      <c r="G2717" s="2" t="s">
        <v>15</v>
      </c>
      <c r="H2717" s="2">
        <v>11000000</v>
      </c>
      <c r="I2717" s="2">
        <v>5.0999999999999996</v>
      </c>
      <c r="J2717" s="2">
        <f t="shared" si="20"/>
        <v>-8192146</v>
      </c>
      <c r="K2717" s="2">
        <f t="shared" si="21"/>
        <v>-2.1971956892858118E-2</v>
      </c>
      <c r="L2717" s="2" t="str">
        <f>IF(ISNUMBER(SEARCH("|",IMDB_Movies!$D2717)),LEFT(IMDB_Movies!$D2717,SEARCH("|",IMDB_Movies!$D2717)-1),IMDB_Movies!$D2717)</f>
        <v>Adventure</v>
      </c>
      <c r="V2717" s="2"/>
      <c r="W2717" s="2"/>
    </row>
    <row r="2718" spans="1:23" ht="12.5" x14ac:dyDescent="0.25">
      <c r="A2718" s="2" t="s">
        <v>4621</v>
      </c>
      <c r="B2718" s="2">
        <v>104</v>
      </c>
      <c r="C2718" s="2">
        <v>352786</v>
      </c>
      <c r="D2718" s="2" t="s">
        <v>1473</v>
      </c>
      <c r="E2718" s="2" t="s">
        <v>4622</v>
      </c>
      <c r="F2718" s="2" t="s">
        <v>14</v>
      </c>
      <c r="G2718" s="2" t="s">
        <v>15</v>
      </c>
      <c r="H2718" s="2">
        <v>11000000</v>
      </c>
      <c r="I2718" s="2">
        <v>6.8</v>
      </c>
      <c r="J2718" s="2">
        <f t="shared" si="20"/>
        <v>-10647214</v>
      </c>
      <c r="K2718" s="2">
        <f t="shared" si="21"/>
        <v>-2.1980874871312995E-2</v>
      </c>
      <c r="L2718" s="2" t="str">
        <f>IF(ISNUMBER(SEARCH("|",IMDB_Movies!$D2718)),LEFT(IMDB_Movies!$D2718,SEARCH("|",IMDB_Movies!$D2718)-1),IMDB_Movies!$D2718)</f>
        <v>Biography</v>
      </c>
      <c r="V2718" s="2"/>
      <c r="W2718" s="2"/>
    </row>
    <row r="2719" spans="1:23" ht="12.5" x14ac:dyDescent="0.25">
      <c r="A2719" s="2" t="s">
        <v>4623</v>
      </c>
      <c r="B2719" s="2">
        <v>95</v>
      </c>
      <c r="C2719" s="2">
        <v>56729973</v>
      </c>
      <c r="D2719" s="2" t="s">
        <v>2116</v>
      </c>
      <c r="E2719" s="2" t="s">
        <v>4624</v>
      </c>
      <c r="F2719" s="2" t="s">
        <v>14</v>
      </c>
      <c r="G2719" s="2" t="s">
        <v>15</v>
      </c>
      <c r="H2719" s="2">
        <v>10800000</v>
      </c>
      <c r="I2719" s="2">
        <v>5.8</v>
      </c>
      <c r="J2719" s="2">
        <f t="shared" si="20"/>
        <v>45929973</v>
      </c>
      <c r="K2719" s="2">
        <f t="shared" si="21"/>
        <v>-2.199207149690378E-2</v>
      </c>
      <c r="L2719" s="2" t="str">
        <f>IF(ISNUMBER(SEARCH("|",IMDB_Movies!$D2719)),LEFT(IMDB_Movies!$D2719,SEARCH("|",IMDB_Movies!$D2719)-1),IMDB_Movies!$D2719)</f>
        <v>Horror</v>
      </c>
      <c r="V2719" s="2"/>
      <c r="W2719" s="2"/>
    </row>
    <row r="2720" spans="1:23" ht="12.5" x14ac:dyDescent="0.25">
      <c r="A2720" s="2" t="s">
        <v>4625</v>
      </c>
      <c r="B2720" s="2">
        <v>118</v>
      </c>
      <c r="C2720" s="2">
        <v>399879</v>
      </c>
      <c r="D2720" s="2" t="s">
        <v>770</v>
      </c>
      <c r="E2720" s="2" t="s">
        <v>4626</v>
      </c>
      <c r="F2720" s="2" t="s">
        <v>14</v>
      </c>
      <c r="G2720" s="2" t="s">
        <v>135</v>
      </c>
      <c r="H2720" s="2">
        <v>15000000</v>
      </c>
      <c r="I2720" s="2">
        <v>6.4</v>
      </c>
      <c r="J2720" s="2">
        <f t="shared" si="20"/>
        <v>-14600121</v>
      </c>
      <c r="K2720" s="2">
        <f t="shared" si="21"/>
        <v>-2.1986057207911462E-2</v>
      </c>
      <c r="L2720" s="2" t="str">
        <f>IF(ISNUMBER(SEARCH("|",IMDB_Movies!$D2720)),LEFT(IMDB_Movies!$D2720,SEARCH("|",IMDB_Movies!$D2720)-1),IMDB_Movies!$D2720)</f>
        <v>Crime</v>
      </c>
      <c r="V2720" s="2"/>
      <c r="W2720" s="2"/>
    </row>
    <row r="2721" spans="1:23" ht="12.5" x14ac:dyDescent="0.25">
      <c r="A2721" s="2" t="s">
        <v>4627</v>
      </c>
      <c r="B2721" s="2">
        <v>193</v>
      </c>
      <c r="C2721" s="2">
        <v>3275443</v>
      </c>
      <c r="D2721" s="2" t="s">
        <v>1180</v>
      </c>
      <c r="E2721" s="2" t="s">
        <v>4628</v>
      </c>
      <c r="F2721" s="2" t="s">
        <v>4629</v>
      </c>
      <c r="G2721" s="2" t="s">
        <v>2312</v>
      </c>
      <c r="H2721" s="2">
        <v>700000000</v>
      </c>
      <c r="I2721" s="2">
        <v>6</v>
      </c>
      <c r="J2721" s="2">
        <f t="shared" si="20"/>
        <v>-696724557</v>
      </c>
      <c r="K2721" s="2">
        <f t="shared" si="21"/>
        <v>-2.1984177405413575E-2</v>
      </c>
      <c r="L2721" s="2" t="str">
        <f>IF(ISNUMBER(SEARCH("|",IMDB_Movies!$D2721)),LEFT(IMDB_Movies!$D2721,SEARCH("|",IMDB_Movies!$D2721)-1),IMDB_Movies!$D2721)</f>
        <v>Drama</v>
      </c>
      <c r="V2721" s="2"/>
      <c r="W2721" s="2"/>
    </row>
    <row r="2722" spans="1:23" ht="12.5" x14ac:dyDescent="0.25">
      <c r="A2722" s="2" t="s">
        <v>2014</v>
      </c>
      <c r="B2722" s="2">
        <v>97</v>
      </c>
      <c r="C2722" s="2">
        <v>18535191</v>
      </c>
      <c r="D2722" s="2" t="s">
        <v>600</v>
      </c>
      <c r="E2722" s="2" t="s">
        <v>4630</v>
      </c>
      <c r="F2722" s="2" t="s">
        <v>14</v>
      </c>
      <c r="G2722" s="2" t="s">
        <v>22</v>
      </c>
      <c r="H2722" s="2">
        <v>14000000</v>
      </c>
      <c r="I2722" s="2">
        <v>6.9</v>
      </c>
      <c r="J2722" s="2">
        <f t="shared" si="20"/>
        <v>4535191</v>
      </c>
      <c r="K2722" s="2">
        <f t="shared" si="21"/>
        <v>-2.0422749953459492E-2</v>
      </c>
      <c r="L2722" s="2" t="str">
        <f>IF(ISNUMBER(SEARCH("|",IMDB_Movies!$D2722)),LEFT(IMDB_Movies!$D2722,SEARCH("|",IMDB_Movies!$D2722)-1),IMDB_Movies!$D2722)</f>
        <v>Comedy</v>
      </c>
      <c r="V2722" s="2"/>
      <c r="W2722" s="2"/>
    </row>
    <row r="2723" spans="1:23" ht="12.5" x14ac:dyDescent="0.25">
      <c r="A2723" s="2" t="s">
        <v>4631</v>
      </c>
      <c r="B2723" s="2">
        <v>98</v>
      </c>
      <c r="C2723" s="2">
        <v>23838</v>
      </c>
      <c r="D2723" s="2" t="s">
        <v>1486</v>
      </c>
      <c r="E2723" s="2" t="s">
        <v>4632</v>
      </c>
      <c r="F2723" s="2" t="s">
        <v>14</v>
      </c>
      <c r="G2723" s="2" t="s">
        <v>22</v>
      </c>
      <c r="H2723" s="2">
        <v>7000000</v>
      </c>
      <c r="I2723" s="2">
        <v>5.5</v>
      </c>
      <c r="J2723" s="2">
        <f t="shared" si="20"/>
        <v>-6976162</v>
      </c>
      <c r="K2723" s="2">
        <f t="shared" si="21"/>
        <v>-2.0423762579194663E-2</v>
      </c>
      <c r="L2723" s="2" t="str">
        <f>IF(ISNUMBER(SEARCH("|",IMDB_Movies!$D2723)),LEFT(IMDB_Movies!$D2723,SEARCH("|",IMDB_Movies!$D2723)-1),IMDB_Movies!$D2723)</f>
        <v>Horror</v>
      </c>
      <c r="V2723" s="2"/>
      <c r="W2723" s="2"/>
    </row>
    <row r="2724" spans="1:23" ht="12.5" x14ac:dyDescent="0.25">
      <c r="A2724" s="2" t="s">
        <v>4633</v>
      </c>
      <c r="B2724" s="2">
        <v>103</v>
      </c>
      <c r="C2724" s="2">
        <v>22160085</v>
      </c>
      <c r="D2724" s="2" t="s">
        <v>2148</v>
      </c>
      <c r="E2724" s="2" t="s">
        <v>4634</v>
      </c>
      <c r="F2724" s="2" t="s">
        <v>14</v>
      </c>
      <c r="G2724" s="2" t="s">
        <v>15</v>
      </c>
      <c r="H2724" s="2">
        <v>10600000</v>
      </c>
      <c r="I2724" s="2">
        <v>5.4</v>
      </c>
      <c r="J2724" s="2">
        <f t="shared" si="20"/>
        <v>11560085</v>
      </c>
      <c r="K2724" s="2">
        <f t="shared" si="21"/>
        <v>-2.0446594788279433E-2</v>
      </c>
      <c r="L2724" s="2" t="str">
        <f>IF(ISNUMBER(SEARCH("|",IMDB_Movies!$D2724)),LEFT(IMDB_Movies!$D2724,SEARCH("|",IMDB_Movies!$D2724)-1),IMDB_Movies!$D2724)</f>
        <v>Horror</v>
      </c>
      <c r="V2724" s="2"/>
      <c r="W2724" s="2"/>
    </row>
    <row r="2725" spans="1:23" ht="12.5" x14ac:dyDescent="0.25">
      <c r="A2725" s="2" t="s">
        <v>1288</v>
      </c>
      <c r="B2725" s="2">
        <v>161</v>
      </c>
      <c r="C2725" s="2">
        <v>56715371</v>
      </c>
      <c r="D2725" s="2" t="s">
        <v>500</v>
      </c>
      <c r="E2725" s="2" t="s">
        <v>4635</v>
      </c>
      <c r="F2725" s="2" t="s">
        <v>14</v>
      </c>
      <c r="G2725" s="2" t="s">
        <v>22</v>
      </c>
      <c r="H2725" s="2">
        <v>12000000</v>
      </c>
      <c r="I2725" s="2">
        <v>8.3000000000000007</v>
      </c>
      <c r="J2725" s="2">
        <f t="shared" si="20"/>
        <v>44715371</v>
      </c>
      <c r="K2725" s="2">
        <f t="shared" si="21"/>
        <v>-2.0443099797196052E-2</v>
      </c>
      <c r="L2725" s="2" t="str">
        <f>IF(ISNUMBER(SEARCH("|",IMDB_Movies!$D2725)),LEFT(IMDB_Movies!$D2725,SEARCH("|",IMDB_Movies!$D2725)-1),IMDB_Movies!$D2725)</f>
        <v>Adventure</v>
      </c>
      <c r="V2725" s="2"/>
      <c r="W2725" s="2"/>
    </row>
    <row r="2726" spans="1:23" ht="12.5" x14ac:dyDescent="0.25">
      <c r="A2726" s="2" t="s">
        <v>141</v>
      </c>
      <c r="B2726" s="2">
        <v>120</v>
      </c>
      <c r="C2726" s="2">
        <v>434949459</v>
      </c>
      <c r="D2726" s="2" t="s">
        <v>4636</v>
      </c>
      <c r="E2726" s="2" t="s">
        <v>4637</v>
      </c>
      <c r="F2726" s="2" t="s">
        <v>14</v>
      </c>
      <c r="G2726" s="2" t="s">
        <v>15</v>
      </c>
      <c r="H2726" s="2">
        <v>10500000</v>
      </c>
      <c r="I2726" s="2">
        <v>7.9</v>
      </c>
      <c r="J2726" s="2">
        <f t="shared" si="20"/>
        <v>424449459</v>
      </c>
      <c r="K2726" s="2">
        <f t="shared" si="21"/>
        <v>-2.0453010574328721E-2</v>
      </c>
      <c r="L2726" s="2" t="str">
        <f>IF(ISNUMBER(SEARCH("|",IMDB_Movies!$D2726)),LEFT(IMDB_Movies!$D2726,SEARCH("|",IMDB_Movies!$D2726)-1),IMDB_Movies!$D2726)</f>
        <v>Family</v>
      </c>
      <c r="V2726" s="2"/>
      <c r="W2726" s="2"/>
    </row>
    <row r="2727" spans="1:23" ht="12.5" x14ac:dyDescent="0.25">
      <c r="A2727" s="2" t="s">
        <v>4638</v>
      </c>
      <c r="B2727" s="2">
        <v>97</v>
      </c>
      <c r="C2727" s="2">
        <v>11043445</v>
      </c>
      <c r="D2727" s="2" t="s">
        <v>514</v>
      </c>
      <c r="E2727" s="2" t="s">
        <v>4639</v>
      </c>
      <c r="F2727" s="2" t="s">
        <v>14</v>
      </c>
      <c r="G2727" s="2" t="s">
        <v>15</v>
      </c>
      <c r="H2727" s="2">
        <v>10000000</v>
      </c>
      <c r="I2727" s="2">
        <v>6.5</v>
      </c>
      <c r="J2727" s="2">
        <f t="shared" si="20"/>
        <v>1043445</v>
      </c>
      <c r="K2727" s="2">
        <f t="shared" si="21"/>
        <v>-2.2515135307375068E-2</v>
      </c>
      <c r="L2727" s="2" t="str">
        <f>IF(ISNUMBER(SEARCH("|",IMDB_Movies!$D2727)),LEFT(IMDB_Movies!$D2727,SEARCH("|",IMDB_Movies!$D2727)-1),IMDB_Movies!$D2727)</f>
        <v>Comedy</v>
      </c>
      <c r="V2727" s="2"/>
      <c r="W2727" s="2"/>
    </row>
    <row r="2728" spans="1:23" ht="12.5" x14ac:dyDescent="0.25">
      <c r="A2728" s="2" t="s">
        <v>4640</v>
      </c>
      <c r="B2728" s="2">
        <v>99</v>
      </c>
      <c r="C2728" s="2">
        <v>125169</v>
      </c>
      <c r="D2728" s="2" t="s">
        <v>891</v>
      </c>
      <c r="E2728" s="2" t="s">
        <v>4641</v>
      </c>
      <c r="F2728" s="2" t="s">
        <v>14</v>
      </c>
      <c r="G2728" s="2" t="s">
        <v>15</v>
      </c>
      <c r="H2728" s="2">
        <v>10500000</v>
      </c>
      <c r="I2728" s="2">
        <v>6.4</v>
      </c>
      <c r="J2728" s="2">
        <f t="shared" si="20"/>
        <v>-10374831</v>
      </c>
      <c r="K2728" s="2">
        <f t="shared" si="21"/>
        <v>-2.2517858378132496E-2</v>
      </c>
      <c r="L2728" s="2" t="str">
        <f>IF(ISNUMBER(SEARCH("|",IMDB_Movies!$D2728)),LEFT(IMDB_Movies!$D2728,SEARCH("|",IMDB_Movies!$D2728)-1),IMDB_Movies!$D2728)</f>
        <v>Comedy</v>
      </c>
      <c r="V2728" s="2"/>
      <c r="W2728" s="2"/>
    </row>
    <row r="2729" spans="1:23" ht="12.5" x14ac:dyDescent="0.25">
      <c r="A2729" s="2" t="s">
        <v>4642</v>
      </c>
      <c r="B2729" s="2">
        <v>145</v>
      </c>
      <c r="C2729" s="2">
        <v>5669081</v>
      </c>
      <c r="D2729" s="2" t="s">
        <v>706</v>
      </c>
      <c r="E2729" s="2" t="s">
        <v>4643</v>
      </c>
      <c r="F2729" s="2" t="s">
        <v>971</v>
      </c>
      <c r="G2729" s="2" t="s">
        <v>3657</v>
      </c>
      <c r="H2729" s="2">
        <v>10818775</v>
      </c>
      <c r="I2729" s="2">
        <v>6.6</v>
      </c>
      <c r="J2729" s="2">
        <f t="shared" si="20"/>
        <v>-5149694</v>
      </c>
      <c r="K2729" s="2">
        <f t="shared" si="21"/>
        <v>-2.2530184893642353E-2</v>
      </c>
      <c r="L2729" s="2" t="str">
        <f>IF(ISNUMBER(SEARCH("|",IMDB_Movies!$D2729)),LEFT(IMDB_Movies!$D2729,SEARCH("|",IMDB_Movies!$D2729)-1),IMDB_Movies!$D2729)</f>
        <v>Drama</v>
      </c>
      <c r="V2729" s="2"/>
      <c r="W2729" s="2"/>
    </row>
    <row r="2730" spans="1:23" ht="12.5" x14ac:dyDescent="0.25">
      <c r="A2730" s="2" t="s">
        <v>2035</v>
      </c>
      <c r="B2730" s="2">
        <v>126</v>
      </c>
      <c r="C2730" s="2">
        <v>138339411</v>
      </c>
      <c r="D2730" s="2" t="s">
        <v>1180</v>
      </c>
      <c r="E2730" s="2" t="s">
        <v>4644</v>
      </c>
      <c r="F2730" s="2" t="s">
        <v>14</v>
      </c>
      <c r="G2730" s="2" t="s">
        <v>15</v>
      </c>
      <c r="H2730" s="2">
        <v>10000000</v>
      </c>
      <c r="I2730" s="2">
        <v>8.3000000000000007</v>
      </c>
      <c r="J2730" s="2">
        <f t="shared" si="20"/>
        <v>128339411</v>
      </c>
      <c r="K2730" s="2">
        <f t="shared" si="21"/>
        <v>-2.253627288626724E-2</v>
      </c>
      <c r="L2730" s="2" t="str">
        <f>IF(ISNUMBER(SEARCH("|",IMDB_Movies!$D2730)),LEFT(IMDB_Movies!$D2730,SEARCH("|",IMDB_Movies!$D2730)-1),IMDB_Movies!$D2730)</f>
        <v>Drama</v>
      </c>
      <c r="V2730" s="2"/>
      <c r="W2730" s="2"/>
    </row>
    <row r="2731" spans="1:23" ht="12.5" x14ac:dyDescent="0.25">
      <c r="A2731" s="2" t="s">
        <v>4645</v>
      </c>
      <c r="B2731" s="2">
        <v>121</v>
      </c>
      <c r="C2731" s="2">
        <v>80150343</v>
      </c>
      <c r="D2731" s="2" t="s">
        <v>2116</v>
      </c>
      <c r="E2731" s="2" t="s">
        <v>4646</v>
      </c>
      <c r="F2731" s="2" t="s">
        <v>14</v>
      </c>
      <c r="G2731" s="2" t="s">
        <v>15</v>
      </c>
      <c r="H2731" s="2">
        <v>10000000</v>
      </c>
      <c r="I2731" s="2">
        <v>6.2</v>
      </c>
      <c r="J2731" s="2">
        <f t="shared" si="20"/>
        <v>70150343</v>
      </c>
      <c r="K2731" s="2">
        <f t="shared" si="21"/>
        <v>-2.2679331970662134E-2</v>
      </c>
      <c r="L2731" s="2" t="str">
        <f>IF(ISNUMBER(SEARCH("|",IMDB_Movies!$D2731)),LEFT(IMDB_Movies!$D2731,SEARCH("|",IMDB_Movies!$D2731)-1),IMDB_Movies!$D2731)</f>
        <v>Horror</v>
      </c>
      <c r="V2731" s="2"/>
      <c r="W2731" s="2"/>
    </row>
    <row r="2732" spans="1:23" ht="12.5" x14ac:dyDescent="0.25">
      <c r="A2732" s="2" t="s">
        <v>947</v>
      </c>
      <c r="B2732" s="2">
        <v>117</v>
      </c>
      <c r="C2732" s="2">
        <v>85300000</v>
      </c>
      <c r="D2732" s="2" t="s">
        <v>4647</v>
      </c>
      <c r="E2732" s="2" t="s">
        <v>4648</v>
      </c>
      <c r="F2732" s="2" t="s">
        <v>14</v>
      </c>
      <c r="G2732" s="2" t="s">
        <v>15</v>
      </c>
      <c r="H2732" s="2">
        <v>10000000</v>
      </c>
      <c r="I2732" s="2">
        <v>6.9</v>
      </c>
      <c r="J2732" s="2">
        <f t="shared" si="20"/>
        <v>75300000</v>
      </c>
      <c r="K2732" s="2">
        <f t="shared" si="21"/>
        <v>-2.2696396236935243E-2</v>
      </c>
      <c r="L2732" s="2" t="str">
        <f>IF(ISNUMBER(SEARCH("|",IMDB_Movies!$D2732)),LEFT(IMDB_Movies!$D2732,SEARCH("|",IMDB_Movies!$D2732)-1),IMDB_Movies!$D2732)</f>
        <v>Action</v>
      </c>
      <c r="V2732" s="2"/>
      <c r="W2732" s="2"/>
    </row>
    <row r="2733" spans="1:23" ht="12.5" x14ac:dyDescent="0.25">
      <c r="A2733" s="2" t="s">
        <v>429</v>
      </c>
      <c r="B2733" s="2">
        <v>98</v>
      </c>
      <c r="C2733" s="2">
        <v>68353550</v>
      </c>
      <c r="D2733" s="2" t="s">
        <v>1350</v>
      </c>
      <c r="E2733" s="2" t="s">
        <v>4649</v>
      </c>
      <c r="F2733" s="2" t="s">
        <v>14</v>
      </c>
      <c r="G2733" s="2" t="s">
        <v>15</v>
      </c>
      <c r="H2733" s="2">
        <v>10000000</v>
      </c>
      <c r="I2733" s="2">
        <v>5.9</v>
      </c>
      <c r="J2733" s="2">
        <f t="shared" si="20"/>
        <v>58353550</v>
      </c>
      <c r="K2733" s="2">
        <f t="shared" si="21"/>
        <v>-2.2721066604770329E-2</v>
      </c>
      <c r="L2733" s="2" t="str">
        <f>IF(ISNUMBER(SEARCH("|",IMDB_Movies!$D2733)),LEFT(IMDB_Movies!$D2733,SEARCH("|",IMDB_Movies!$D2733)-1),IMDB_Movies!$D2733)</f>
        <v>Comedy</v>
      </c>
      <c r="V2733" s="2"/>
      <c r="W2733" s="2"/>
    </row>
    <row r="2734" spans="1:23" ht="12.5" x14ac:dyDescent="0.25">
      <c r="A2734" s="2" t="s">
        <v>4650</v>
      </c>
      <c r="B2734" s="2">
        <v>109</v>
      </c>
      <c r="C2734" s="2">
        <v>78845130</v>
      </c>
      <c r="D2734" s="2" t="s">
        <v>790</v>
      </c>
      <c r="E2734" s="2" t="s">
        <v>4651</v>
      </c>
      <c r="F2734" s="2" t="s">
        <v>14</v>
      </c>
      <c r="G2734" s="2" t="s">
        <v>686</v>
      </c>
      <c r="H2734" s="2">
        <v>10000000</v>
      </c>
      <c r="I2734" s="2">
        <v>6.1</v>
      </c>
      <c r="J2734" s="2">
        <f t="shared" si="20"/>
        <v>68845130</v>
      </c>
      <c r="K2734" s="2">
        <f t="shared" si="21"/>
        <v>-2.2725363601520356E-2</v>
      </c>
      <c r="L2734" s="2" t="str">
        <f>IF(ISNUMBER(SEARCH("|",IMDB_Movies!$D2734)),LEFT(IMDB_Movies!$D2734,SEARCH("|",IMDB_Movies!$D2734)-1),IMDB_Movies!$D2734)</f>
        <v>Action</v>
      </c>
      <c r="V2734" s="2"/>
      <c r="W2734" s="2"/>
    </row>
    <row r="2735" spans="1:23" ht="12.5" x14ac:dyDescent="0.25">
      <c r="A2735" s="2" t="s">
        <v>3974</v>
      </c>
      <c r="B2735" s="2">
        <v>95</v>
      </c>
      <c r="C2735" s="2">
        <v>63319509</v>
      </c>
      <c r="D2735" s="2" t="s">
        <v>600</v>
      </c>
      <c r="E2735" s="2" t="s">
        <v>4652</v>
      </c>
      <c r="F2735" s="2" t="s">
        <v>14</v>
      </c>
      <c r="G2735" s="2" t="s">
        <v>15</v>
      </c>
      <c r="H2735" s="2">
        <v>10000000</v>
      </c>
      <c r="I2735" s="2">
        <v>5.8</v>
      </c>
      <c r="J2735" s="2">
        <f t="shared" si="20"/>
        <v>53319509</v>
      </c>
      <c r="K2735" s="2">
        <f t="shared" si="21"/>
        <v>-2.2741691594457557E-2</v>
      </c>
      <c r="L2735" s="2" t="str">
        <f>IF(ISNUMBER(SEARCH("|",IMDB_Movies!$D2735)),LEFT(IMDB_Movies!$D2735,SEARCH("|",IMDB_Movies!$D2735)-1),IMDB_Movies!$D2735)</f>
        <v>Comedy</v>
      </c>
      <c r="V2735" s="2"/>
      <c r="W2735" s="2"/>
    </row>
    <row r="2736" spans="1:23" ht="12.5" x14ac:dyDescent="0.25">
      <c r="A2736" s="2" t="s">
        <v>4645</v>
      </c>
      <c r="B2736" s="2">
        <v>96</v>
      </c>
      <c r="C2736" s="2">
        <v>63270259</v>
      </c>
      <c r="D2736" s="2" t="s">
        <v>2116</v>
      </c>
      <c r="E2736" s="2" t="s">
        <v>4653</v>
      </c>
      <c r="F2736" s="2" t="s">
        <v>14</v>
      </c>
      <c r="G2736" s="2" t="s">
        <v>15</v>
      </c>
      <c r="H2736" s="2">
        <v>10000000</v>
      </c>
      <c r="I2736" s="2">
        <v>5.9</v>
      </c>
      <c r="J2736" s="2">
        <f t="shared" si="20"/>
        <v>53270259</v>
      </c>
      <c r="K2736" s="2">
        <f t="shared" si="21"/>
        <v>-2.2741840840833097E-2</v>
      </c>
      <c r="L2736" s="2" t="str">
        <f>IF(ISNUMBER(SEARCH("|",IMDB_Movies!$D2736)),LEFT(IMDB_Movies!$D2736,SEARCH("|",IMDB_Movies!$D2736)-1),IMDB_Movies!$D2736)</f>
        <v>Horror</v>
      </c>
      <c r="V2736" s="2"/>
      <c r="W2736" s="2"/>
    </row>
    <row r="2737" spans="1:23" ht="12.5" x14ac:dyDescent="0.25">
      <c r="A2737" s="2" t="s">
        <v>2290</v>
      </c>
      <c r="B2737" s="2">
        <v>101</v>
      </c>
      <c r="C2737" s="2">
        <v>55865715</v>
      </c>
      <c r="D2737" s="2" t="s">
        <v>2061</v>
      </c>
      <c r="E2737" s="2" t="s">
        <v>4654</v>
      </c>
      <c r="F2737" s="2" t="s">
        <v>14</v>
      </c>
      <c r="G2737" s="2" t="s">
        <v>22</v>
      </c>
      <c r="H2737" s="2">
        <v>10000000</v>
      </c>
      <c r="I2737" s="2">
        <v>5.5</v>
      </c>
      <c r="J2737" s="2">
        <f t="shared" si="20"/>
        <v>45865715</v>
      </c>
      <c r="K2737" s="2">
        <f t="shared" si="21"/>
        <v>-2.2742020400799246E-2</v>
      </c>
      <c r="L2737" s="2" t="str">
        <f>IF(ISNUMBER(SEARCH("|",IMDB_Movies!$D2737)),LEFT(IMDB_Movies!$D2737,SEARCH("|",IMDB_Movies!$D2737)-1),IMDB_Movies!$D2737)</f>
        <v>Drama</v>
      </c>
      <c r="V2737" s="2"/>
      <c r="W2737" s="2"/>
    </row>
    <row r="2738" spans="1:23" ht="12.5" x14ac:dyDescent="0.25">
      <c r="A2738" s="2" t="s">
        <v>3095</v>
      </c>
      <c r="B2738" s="2">
        <v>107</v>
      </c>
      <c r="C2738" s="2">
        <v>63231524</v>
      </c>
      <c r="D2738" s="2" t="s">
        <v>514</v>
      </c>
      <c r="E2738" s="2" t="s">
        <v>4655</v>
      </c>
      <c r="F2738" s="2" t="s">
        <v>14</v>
      </c>
      <c r="G2738" s="2" t="s">
        <v>15</v>
      </c>
      <c r="H2738" s="2">
        <v>6000000</v>
      </c>
      <c r="I2738" s="2">
        <v>5</v>
      </c>
      <c r="J2738" s="2">
        <f t="shared" si="20"/>
        <v>57231524</v>
      </c>
      <c r="K2738" s="2">
        <f t="shared" si="21"/>
        <v>-2.2737131327618752E-2</v>
      </c>
      <c r="L2738" s="2" t="str">
        <f>IF(ISNUMBER(SEARCH("|",IMDB_Movies!$D2738)),LEFT(IMDB_Movies!$D2738,SEARCH("|",IMDB_Movies!$D2738)-1),IMDB_Movies!$D2738)</f>
        <v>Comedy</v>
      </c>
      <c r="V2738" s="2"/>
      <c r="W2738" s="2"/>
    </row>
    <row r="2739" spans="1:23" ht="12.5" x14ac:dyDescent="0.25">
      <c r="A2739" s="2" t="s">
        <v>191</v>
      </c>
      <c r="B2739" s="2">
        <v>119</v>
      </c>
      <c r="C2739" s="2">
        <v>52293982</v>
      </c>
      <c r="D2739" s="2" t="s">
        <v>1307</v>
      </c>
      <c r="E2739" s="2" t="s">
        <v>4656</v>
      </c>
      <c r="F2739" s="2" t="s">
        <v>14</v>
      </c>
      <c r="G2739" s="2" t="s">
        <v>15</v>
      </c>
      <c r="H2739" s="2">
        <v>13800000</v>
      </c>
      <c r="I2739" s="2">
        <v>7</v>
      </c>
      <c r="J2739" s="2">
        <f t="shared" si="20"/>
        <v>38493982</v>
      </c>
      <c r="K2739" s="2">
        <f t="shared" si="21"/>
        <v>-2.2685291499380367E-2</v>
      </c>
      <c r="L2739" s="2" t="str">
        <f>IF(ISNUMBER(SEARCH("|",IMDB_Movies!$D2739)),LEFT(IMDB_Movies!$D2739,SEARCH("|",IMDB_Movies!$D2739)-1),IMDB_Movies!$D2739)</f>
        <v>Drama</v>
      </c>
      <c r="V2739" s="2"/>
      <c r="W2739" s="2"/>
    </row>
    <row r="2740" spans="1:23" ht="12.5" x14ac:dyDescent="0.25">
      <c r="A2740" s="2" t="s">
        <v>1525</v>
      </c>
      <c r="B2740" s="2">
        <v>100</v>
      </c>
      <c r="C2740" s="2">
        <v>50752337</v>
      </c>
      <c r="D2740" s="2" t="s">
        <v>4434</v>
      </c>
      <c r="E2740" s="2" t="s">
        <v>4657</v>
      </c>
      <c r="F2740" s="2" t="s">
        <v>14</v>
      </c>
      <c r="G2740" s="2" t="s">
        <v>15</v>
      </c>
      <c r="H2740" s="2">
        <v>10000000</v>
      </c>
      <c r="I2740" s="2">
        <v>6.4</v>
      </c>
      <c r="J2740" s="2">
        <f t="shared" si="20"/>
        <v>40752337</v>
      </c>
      <c r="K2740" s="2">
        <f t="shared" si="21"/>
        <v>-2.2717130800310032E-2</v>
      </c>
      <c r="L2740" s="2" t="str">
        <f>IF(ISNUMBER(SEARCH("|",IMDB_Movies!$D2740)),LEFT(IMDB_Movies!$D2740,SEARCH("|",IMDB_Movies!$D2740)-1),IMDB_Movies!$D2740)</f>
        <v>Comedy</v>
      </c>
      <c r="V2740" s="2"/>
      <c r="W2740" s="2"/>
    </row>
    <row r="2741" spans="1:23" ht="12.5" x14ac:dyDescent="0.25">
      <c r="A2741" s="2" t="s">
        <v>3498</v>
      </c>
      <c r="B2741" s="2">
        <v>98</v>
      </c>
      <c r="C2741" s="2">
        <v>110175871</v>
      </c>
      <c r="D2741" s="2" t="s">
        <v>1050</v>
      </c>
      <c r="E2741" s="2" t="s">
        <v>4658</v>
      </c>
      <c r="F2741" s="2" t="s">
        <v>14</v>
      </c>
      <c r="G2741" s="2" t="s">
        <v>15</v>
      </c>
      <c r="H2741" s="2">
        <v>10000000</v>
      </c>
      <c r="I2741" s="2">
        <v>5.9</v>
      </c>
      <c r="J2741" s="2">
        <f t="shared" si="20"/>
        <v>100175871</v>
      </c>
      <c r="K2741" s="2">
        <f t="shared" si="21"/>
        <v>-2.2709748094377293E-2</v>
      </c>
      <c r="L2741" s="2" t="str">
        <f>IF(ISNUMBER(SEARCH("|",IMDB_Movies!$D2741)),LEFT(IMDB_Movies!$D2741,SEARCH("|",IMDB_Movies!$D2741)-1),IMDB_Movies!$D2741)</f>
        <v>Horror</v>
      </c>
      <c r="V2741" s="2"/>
      <c r="W2741" s="2"/>
    </row>
    <row r="2742" spans="1:23" ht="12.5" x14ac:dyDescent="0.25">
      <c r="A2742" s="2" t="s">
        <v>781</v>
      </c>
      <c r="B2742" s="2">
        <v>92</v>
      </c>
      <c r="C2742" s="2">
        <v>38624000</v>
      </c>
      <c r="D2742" s="2" t="s">
        <v>1350</v>
      </c>
      <c r="E2742" s="2" t="s">
        <v>4659</v>
      </c>
      <c r="F2742" s="2" t="s">
        <v>14</v>
      </c>
      <c r="G2742" s="2" t="s">
        <v>15</v>
      </c>
      <c r="H2742" s="2">
        <v>12000000</v>
      </c>
      <c r="I2742" s="2">
        <v>7</v>
      </c>
      <c r="J2742" s="2">
        <f t="shared" si="20"/>
        <v>26624000</v>
      </c>
      <c r="K2742" s="2">
        <f t="shared" si="21"/>
        <v>-2.2786117176021019E-2</v>
      </c>
      <c r="L2742" s="2" t="str">
        <f>IF(ISNUMBER(SEARCH("|",IMDB_Movies!$D2742)),LEFT(IMDB_Movies!$D2742,SEARCH("|",IMDB_Movies!$D2742)-1),IMDB_Movies!$D2742)</f>
        <v>Comedy</v>
      </c>
      <c r="V2742" s="2"/>
      <c r="W2742" s="2"/>
    </row>
    <row r="2743" spans="1:23" ht="12.5" x14ac:dyDescent="0.25">
      <c r="A2743" s="2" t="s">
        <v>3127</v>
      </c>
      <c r="B2743" s="2">
        <v>90</v>
      </c>
      <c r="C2743" s="2">
        <v>37470017</v>
      </c>
      <c r="D2743" s="2" t="s">
        <v>2116</v>
      </c>
      <c r="E2743" s="2" t="s">
        <v>4660</v>
      </c>
      <c r="F2743" s="2" t="s">
        <v>14</v>
      </c>
      <c r="G2743" s="2" t="s">
        <v>287</v>
      </c>
      <c r="H2743" s="2">
        <v>10000000</v>
      </c>
      <c r="I2743" s="2">
        <v>6.1</v>
      </c>
      <c r="J2743" s="2">
        <f t="shared" si="20"/>
        <v>27470017</v>
      </c>
      <c r="K2743" s="2">
        <f t="shared" si="21"/>
        <v>-2.2789485201040943E-2</v>
      </c>
      <c r="L2743" s="2" t="str">
        <f>IF(ISNUMBER(SEARCH("|",IMDB_Movies!$D2743)),LEFT(IMDB_Movies!$D2743,SEARCH("|",IMDB_Movies!$D2743)-1),IMDB_Movies!$D2743)</f>
        <v>Horror</v>
      </c>
      <c r="V2743" s="2"/>
      <c r="W2743" s="2"/>
    </row>
    <row r="2744" spans="1:23" ht="12.5" x14ac:dyDescent="0.25">
      <c r="A2744" s="2" t="s">
        <v>1525</v>
      </c>
      <c r="B2744" s="2">
        <v>90</v>
      </c>
      <c r="C2744" s="2">
        <v>40485039</v>
      </c>
      <c r="D2744" s="2" t="s">
        <v>4661</v>
      </c>
      <c r="E2744" s="2" t="s">
        <v>4662</v>
      </c>
      <c r="F2744" s="2" t="s">
        <v>14</v>
      </c>
      <c r="G2744" s="2" t="s">
        <v>15</v>
      </c>
      <c r="H2744" s="2">
        <v>10000000</v>
      </c>
      <c r="I2744" s="2">
        <v>6.9</v>
      </c>
      <c r="J2744" s="2">
        <f t="shared" si="20"/>
        <v>30485039</v>
      </c>
      <c r="K2744" s="2">
        <f t="shared" si="21"/>
        <v>-2.2779544439502582E-2</v>
      </c>
      <c r="L2744" s="2" t="str">
        <f>IF(ISNUMBER(SEARCH("|",IMDB_Movies!$D2744)),LEFT(IMDB_Movies!$D2744,SEARCH("|",IMDB_Movies!$D2744)-1),IMDB_Movies!$D2744)</f>
        <v>Adventure</v>
      </c>
      <c r="V2744" s="2"/>
      <c r="W2744" s="2"/>
    </row>
    <row r="2745" spans="1:23" ht="12.5" x14ac:dyDescent="0.25">
      <c r="A2745" s="2" t="s">
        <v>4663</v>
      </c>
      <c r="B2745" s="2">
        <v>153</v>
      </c>
      <c r="C2745" s="2">
        <v>16800000</v>
      </c>
      <c r="D2745" s="2" t="s">
        <v>4664</v>
      </c>
      <c r="E2745" s="2" t="s">
        <v>4665</v>
      </c>
      <c r="F2745" s="2" t="s">
        <v>14</v>
      </c>
      <c r="G2745" s="2" t="s">
        <v>22</v>
      </c>
      <c r="H2745" s="2">
        <v>10000000</v>
      </c>
      <c r="I2745" s="2">
        <v>7.5</v>
      </c>
      <c r="J2745" s="2">
        <f t="shared" si="20"/>
        <v>6800000</v>
      </c>
      <c r="K2745" s="2">
        <f t="shared" si="21"/>
        <v>-2.2769684049551972E-2</v>
      </c>
      <c r="L2745" s="2" t="str">
        <f>IF(ISNUMBER(SEARCH("|",IMDB_Movies!$D2745)),LEFT(IMDB_Movies!$D2745,SEARCH("|",IMDB_Movies!$D2745)-1),IMDB_Movies!$D2745)</f>
        <v>Drama</v>
      </c>
      <c r="V2745" s="2"/>
      <c r="W2745" s="2"/>
    </row>
    <row r="2746" spans="1:23" ht="12.5" x14ac:dyDescent="0.25">
      <c r="A2746" s="2" t="s">
        <v>1552</v>
      </c>
      <c r="B2746" s="2">
        <v>124</v>
      </c>
      <c r="C2746" s="2">
        <v>46377022</v>
      </c>
      <c r="D2746" s="2" t="s">
        <v>891</v>
      </c>
      <c r="E2746" s="2" t="s">
        <v>4666</v>
      </c>
      <c r="F2746" s="2" t="s">
        <v>14</v>
      </c>
      <c r="G2746" s="2" t="s">
        <v>22</v>
      </c>
      <c r="H2746" s="2">
        <v>10000000</v>
      </c>
      <c r="I2746" s="2">
        <v>7.3</v>
      </c>
      <c r="J2746" s="2">
        <f t="shared" si="20"/>
        <v>36377022</v>
      </c>
      <c r="K2746" s="2">
        <f t="shared" si="21"/>
        <v>-2.2767222032606022E-2</v>
      </c>
      <c r="L2746" s="2" t="str">
        <f>IF(ISNUMBER(SEARCH("|",IMDB_Movies!$D2746)),LEFT(IMDB_Movies!$D2746,SEARCH("|",IMDB_Movies!$D2746)-1),IMDB_Movies!$D2746)</f>
        <v>Comedy</v>
      </c>
      <c r="V2746" s="2"/>
      <c r="W2746" s="2"/>
    </row>
    <row r="2747" spans="1:23" ht="12.5" x14ac:dyDescent="0.25">
      <c r="A2747" s="2" t="s">
        <v>4667</v>
      </c>
      <c r="B2747" s="2">
        <v>82</v>
      </c>
      <c r="C2747" s="2">
        <v>36696761</v>
      </c>
      <c r="D2747" s="2" t="s">
        <v>2746</v>
      </c>
      <c r="E2747" s="2" t="s">
        <v>4668</v>
      </c>
      <c r="F2747" s="2" t="s">
        <v>14</v>
      </c>
      <c r="G2747" s="2" t="s">
        <v>15</v>
      </c>
      <c r="H2747" s="2">
        <v>23000000</v>
      </c>
      <c r="I2747" s="2">
        <v>6.5</v>
      </c>
      <c r="J2747" s="2">
        <f t="shared" si="20"/>
        <v>13696761</v>
      </c>
      <c r="K2747" s="2">
        <f t="shared" si="21"/>
        <v>-2.2758400710964646E-2</v>
      </c>
      <c r="L2747" s="2" t="str">
        <f>IF(ISNUMBER(SEARCH("|",IMDB_Movies!$D2747)),LEFT(IMDB_Movies!$D2747,SEARCH("|",IMDB_Movies!$D2747)-1),IMDB_Movies!$D2747)</f>
        <v>Animation</v>
      </c>
      <c r="V2747" s="2"/>
      <c r="W2747" s="2"/>
    </row>
    <row r="2748" spans="1:23" ht="12.5" x14ac:dyDescent="0.25">
      <c r="A2748" s="2" t="s">
        <v>312</v>
      </c>
      <c r="B2748" s="2">
        <v>107</v>
      </c>
      <c r="C2748" s="2">
        <v>36200000</v>
      </c>
      <c r="D2748" s="2" t="s">
        <v>90</v>
      </c>
      <c r="E2748" s="2" t="s">
        <v>4669</v>
      </c>
      <c r="F2748" s="2" t="s">
        <v>14</v>
      </c>
      <c r="G2748" s="2" t="s">
        <v>135</v>
      </c>
      <c r="H2748" s="2">
        <v>12305523</v>
      </c>
      <c r="I2748" s="2">
        <v>6.2</v>
      </c>
      <c r="J2748" s="2">
        <f t="shared" si="20"/>
        <v>23894477</v>
      </c>
      <c r="K2748" s="2">
        <f t="shared" si="21"/>
        <v>-2.2828795126052563E-2</v>
      </c>
      <c r="L2748" s="2" t="str">
        <f>IF(ISNUMBER(SEARCH("|",IMDB_Movies!$D2748)),LEFT(IMDB_Movies!$D2748,SEARCH("|",IMDB_Movies!$D2748)-1),IMDB_Movies!$D2748)</f>
        <v>Action</v>
      </c>
      <c r="V2748" s="2"/>
      <c r="W2748" s="2"/>
    </row>
    <row r="2749" spans="1:23" ht="12.5" x14ac:dyDescent="0.25">
      <c r="A2749" s="2" t="s">
        <v>3546</v>
      </c>
      <c r="B2749" s="2">
        <v>97</v>
      </c>
      <c r="C2749" s="2">
        <v>35794166</v>
      </c>
      <c r="D2749" s="2" t="s">
        <v>1050</v>
      </c>
      <c r="E2749" s="2" t="s">
        <v>4670</v>
      </c>
      <c r="F2749" s="2" t="s">
        <v>14</v>
      </c>
      <c r="G2749" s="2" t="s">
        <v>15</v>
      </c>
      <c r="H2749" s="2">
        <v>10000000</v>
      </c>
      <c r="I2749" s="2">
        <v>6</v>
      </c>
      <c r="J2749" s="2">
        <f t="shared" si="20"/>
        <v>25794166</v>
      </c>
      <c r="K2749" s="2">
        <f t="shared" si="21"/>
        <v>-2.2832853771352482E-2</v>
      </c>
      <c r="L2749" s="2" t="str">
        <f>IF(ISNUMBER(SEARCH("|",IMDB_Movies!$D2749)),LEFT(IMDB_Movies!$D2749,SEARCH("|",IMDB_Movies!$D2749)-1),IMDB_Movies!$D2749)</f>
        <v>Horror</v>
      </c>
      <c r="V2749" s="2"/>
      <c r="W2749" s="2"/>
    </row>
    <row r="2750" spans="1:23" ht="12.5" x14ac:dyDescent="0.25">
      <c r="A2750" s="2" t="s">
        <v>4470</v>
      </c>
      <c r="B2750" s="2">
        <v>80</v>
      </c>
      <c r="C2750" s="2">
        <v>33583175</v>
      </c>
      <c r="D2750" s="2" t="s">
        <v>1050</v>
      </c>
      <c r="E2750" s="2" t="s">
        <v>4671</v>
      </c>
      <c r="F2750" s="2" t="s">
        <v>14</v>
      </c>
      <c r="G2750" s="2" t="s">
        <v>15</v>
      </c>
      <c r="H2750" s="2">
        <v>10000000</v>
      </c>
      <c r="I2750" s="2">
        <v>6.3</v>
      </c>
      <c r="J2750" s="2">
        <f t="shared" si="20"/>
        <v>23583175</v>
      </c>
      <c r="K2750" s="2">
        <f t="shared" si="21"/>
        <v>-2.2822972847616901E-2</v>
      </c>
      <c r="L2750" s="2" t="str">
        <f>IF(ISNUMBER(SEARCH("|",IMDB_Movies!$D2750)),LEFT(IMDB_Movies!$D2750,SEARCH("|",IMDB_Movies!$D2750)-1),IMDB_Movies!$D2750)</f>
        <v>Horror</v>
      </c>
      <c r="V2750" s="2"/>
      <c r="W2750" s="2"/>
    </row>
    <row r="2751" spans="1:23" ht="12.5" x14ac:dyDescent="0.25">
      <c r="A2751" s="2" t="s">
        <v>4672</v>
      </c>
      <c r="B2751" s="2">
        <v>85</v>
      </c>
      <c r="C2751" s="2">
        <v>32983713</v>
      </c>
      <c r="D2751" s="2" t="s">
        <v>891</v>
      </c>
      <c r="E2751" s="2" t="s">
        <v>4673</v>
      </c>
      <c r="F2751" s="2" t="s">
        <v>14</v>
      </c>
      <c r="G2751" s="2" t="s">
        <v>15</v>
      </c>
      <c r="H2751" s="2">
        <v>20000000</v>
      </c>
      <c r="I2751" s="2">
        <v>5.8</v>
      </c>
      <c r="J2751" s="2">
        <f t="shared" si="20"/>
        <v>12983713</v>
      </c>
      <c r="K2751" s="2">
        <f t="shared" si="21"/>
        <v>-2.2813297864389313E-2</v>
      </c>
      <c r="L2751" s="2" t="str">
        <f>IF(ISNUMBER(SEARCH("|",IMDB_Movies!$D2751)),LEFT(IMDB_Movies!$D2751,SEARCH("|",IMDB_Movies!$D2751)-1),IMDB_Movies!$D2751)</f>
        <v>Comedy</v>
      </c>
      <c r="V2751" s="2"/>
      <c r="W2751" s="2"/>
    </row>
    <row r="2752" spans="1:23" ht="12.5" x14ac:dyDescent="0.25">
      <c r="A2752" s="2" t="s">
        <v>4674</v>
      </c>
      <c r="B2752" s="2">
        <v>97</v>
      </c>
      <c r="C2752" s="2">
        <v>52200504</v>
      </c>
      <c r="D2752" s="2" t="s">
        <v>3172</v>
      </c>
      <c r="E2752" s="2" t="s">
        <v>4675</v>
      </c>
      <c r="F2752" s="2" t="s">
        <v>14</v>
      </c>
      <c r="G2752" s="2" t="s">
        <v>104</v>
      </c>
      <c r="H2752" s="2">
        <v>10000000</v>
      </c>
      <c r="I2752" s="2">
        <v>6.1</v>
      </c>
      <c r="J2752" s="2">
        <f t="shared" si="20"/>
        <v>42200504</v>
      </c>
      <c r="K2752" s="2">
        <f t="shared" si="21"/>
        <v>-2.2855906894081339E-2</v>
      </c>
      <c r="L2752" s="2" t="str">
        <f>IF(ISNUMBER(SEARCH("|",IMDB_Movies!$D2752)),LEFT(IMDB_Movies!$D2752,SEARCH("|",IMDB_Movies!$D2752)-1),IMDB_Movies!$D2752)</f>
        <v>Fantasy</v>
      </c>
      <c r="V2752" s="2"/>
      <c r="W2752" s="2"/>
    </row>
    <row r="2753" spans="1:23" ht="12.5" x14ac:dyDescent="0.25">
      <c r="A2753" s="2" t="s">
        <v>4676</v>
      </c>
      <c r="B2753" s="2">
        <v>109</v>
      </c>
      <c r="C2753" s="2">
        <v>33000000</v>
      </c>
      <c r="D2753" s="2" t="s">
        <v>4677</v>
      </c>
      <c r="E2753" s="2" t="s">
        <v>4678</v>
      </c>
      <c r="F2753" s="2" t="s">
        <v>14</v>
      </c>
      <c r="G2753" s="2" t="s">
        <v>15</v>
      </c>
      <c r="H2753" s="2">
        <v>10000000</v>
      </c>
      <c r="I2753" s="2">
        <v>6.9</v>
      </c>
      <c r="J2753" s="2">
        <f t="shared" si="20"/>
        <v>23000000</v>
      </c>
      <c r="K2753" s="2">
        <f t="shared" si="21"/>
        <v>-2.2849589694242448E-2</v>
      </c>
      <c r="L2753" s="2" t="str">
        <f>IF(ISNUMBER(SEARCH("|",IMDB_Movies!$D2753)),LEFT(IMDB_Movies!$D2753,SEARCH("|",IMDB_Movies!$D2753)-1),IMDB_Movies!$D2753)</f>
        <v>Action</v>
      </c>
      <c r="V2753" s="2"/>
      <c r="W2753" s="2"/>
    </row>
    <row r="2754" spans="1:23" ht="12.5" x14ac:dyDescent="0.25">
      <c r="A2754" s="2" t="s">
        <v>2799</v>
      </c>
      <c r="B2754" s="2">
        <v>140</v>
      </c>
      <c r="C2754" s="2">
        <v>32101000</v>
      </c>
      <c r="D2754" s="2" t="s">
        <v>3315</v>
      </c>
      <c r="E2754" s="2" t="s">
        <v>4679</v>
      </c>
      <c r="F2754" s="2" t="s">
        <v>14</v>
      </c>
      <c r="G2754" s="2" t="s">
        <v>22</v>
      </c>
      <c r="H2754" s="2">
        <v>10000000</v>
      </c>
      <c r="I2754" s="2">
        <v>5.4</v>
      </c>
      <c r="J2754" s="2">
        <f t="shared" si="20"/>
        <v>22101000</v>
      </c>
      <c r="K2754" s="2">
        <f t="shared" si="21"/>
        <v>-2.283999691202385E-2</v>
      </c>
      <c r="L2754" s="2" t="str">
        <f>IF(ISNUMBER(SEARCH("|",IMDB_Movies!$D2754)),LEFT(IMDB_Movies!$D2754,SEARCH("|",IMDB_Movies!$D2754)-1),IMDB_Movies!$D2754)</f>
        <v>Horror</v>
      </c>
      <c r="V2754" s="2"/>
      <c r="W2754" s="2"/>
    </row>
    <row r="2755" spans="1:23" ht="12.5" x14ac:dyDescent="0.25">
      <c r="A2755" s="2" t="s">
        <v>4680</v>
      </c>
      <c r="B2755" s="2">
        <v>90</v>
      </c>
      <c r="C2755" s="2">
        <v>31487293</v>
      </c>
      <c r="D2755" s="2" t="s">
        <v>1946</v>
      </c>
      <c r="E2755" s="2" t="s">
        <v>4681</v>
      </c>
      <c r="F2755" s="2" t="s">
        <v>14</v>
      </c>
      <c r="G2755" s="2" t="s">
        <v>15</v>
      </c>
      <c r="H2755" s="2">
        <v>9000000</v>
      </c>
      <c r="I2755" s="2">
        <v>6.7</v>
      </c>
      <c r="J2755" s="2">
        <f t="shared" si="20"/>
        <v>22487293</v>
      </c>
      <c r="K2755" s="2">
        <f t="shared" si="21"/>
        <v>-2.283053660948688E-2</v>
      </c>
      <c r="L2755" s="2" t="str">
        <f>IF(ISNUMBER(SEARCH("|",IMDB_Movies!$D2755)),LEFT(IMDB_Movies!$D2755,SEARCH("|",IMDB_Movies!$D2755)-1),IMDB_Movies!$D2755)</f>
        <v>Comedy</v>
      </c>
      <c r="V2755" s="2"/>
      <c r="W2755" s="2"/>
    </row>
    <row r="2756" spans="1:23" ht="12.5" x14ac:dyDescent="0.25">
      <c r="A2756" s="2" t="s">
        <v>2378</v>
      </c>
      <c r="B2756" s="2">
        <v>130</v>
      </c>
      <c r="C2756" s="2">
        <v>30651422</v>
      </c>
      <c r="D2756" s="2" t="s">
        <v>4682</v>
      </c>
      <c r="E2756" s="2" t="s">
        <v>4683</v>
      </c>
      <c r="F2756" s="2" t="s">
        <v>14</v>
      </c>
      <c r="G2756" s="2" t="s">
        <v>15</v>
      </c>
      <c r="H2756" s="2">
        <v>10000000</v>
      </c>
      <c r="I2756" s="2">
        <v>7.4</v>
      </c>
      <c r="J2756" s="2">
        <f t="shared" si="20"/>
        <v>20651422</v>
      </c>
      <c r="K2756" s="2">
        <f t="shared" si="21"/>
        <v>-2.281632645415323E-2</v>
      </c>
      <c r="L2756" s="2" t="str">
        <f>IF(ISNUMBER(SEARCH("|",IMDB_Movies!$D2756)),LEFT(IMDB_Movies!$D2756,SEARCH("|",IMDB_Movies!$D2756)-1),IMDB_Movies!$D2756)</f>
        <v>Adventure</v>
      </c>
      <c r="V2756" s="2"/>
      <c r="W2756" s="2"/>
    </row>
    <row r="2757" spans="1:23" ht="12.5" x14ac:dyDescent="0.25">
      <c r="A2757" s="2" t="s">
        <v>4684</v>
      </c>
      <c r="B2757" s="2">
        <v>98</v>
      </c>
      <c r="C2757" s="2">
        <v>30306281</v>
      </c>
      <c r="D2757" s="2" t="s">
        <v>891</v>
      </c>
      <c r="E2757" s="2" t="s">
        <v>4685</v>
      </c>
      <c r="F2757" s="2" t="s">
        <v>14</v>
      </c>
      <c r="G2757" s="2" t="s">
        <v>15</v>
      </c>
      <c r="H2757" s="2">
        <v>10000000</v>
      </c>
      <c r="I2757" s="2">
        <v>5.6</v>
      </c>
      <c r="J2757" s="2">
        <f t="shared" si="20"/>
        <v>20306281</v>
      </c>
      <c r="K2757" s="2">
        <f t="shared" si="21"/>
        <v>-2.2807125592527695E-2</v>
      </c>
      <c r="L2757" s="2" t="str">
        <f>IF(ISNUMBER(SEARCH("|",IMDB_Movies!$D2757)),LEFT(IMDB_Movies!$D2757,SEARCH("|",IMDB_Movies!$D2757)-1),IMDB_Movies!$D2757)</f>
        <v>Comedy</v>
      </c>
      <c r="V2757" s="2"/>
      <c r="W2757" s="2"/>
    </row>
    <row r="2758" spans="1:23" ht="12.5" x14ac:dyDescent="0.25">
      <c r="A2758" s="2" t="s">
        <v>991</v>
      </c>
      <c r="B2758" s="2">
        <v>101</v>
      </c>
      <c r="C2758" s="2">
        <v>29500000</v>
      </c>
      <c r="D2758" s="2" t="s">
        <v>4686</v>
      </c>
      <c r="E2758" s="2" t="s">
        <v>4687</v>
      </c>
      <c r="F2758" s="2" t="s">
        <v>14</v>
      </c>
      <c r="G2758" s="2" t="s">
        <v>15</v>
      </c>
      <c r="H2758" s="2">
        <v>10000000</v>
      </c>
      <c r="I2758" s="2">
        <v>6.5</v>
      </c>
      <c r="J2758" s="2">
        <f t="shared" si="20"/>
        <v>19500000</v>
      </c>
      <c r="K2758" s="2">
        <f t="shared" si="21"/>
        <v>-2.2797988106053661E-2</v>
      </c>
      <c r="L2758" s="2" t="str">
        <f>IF(ISNUMBER(SEARCH("|",IMDB_Movies!$D2758)),LEFT(IMDB_Movies!$D2758,SEARCH("|",IMDB_Movies!$D2758)-1),IMDB_Movies!$D2758)</f>
        <v>Fantasy</v>
      </c>
      <c r="V2758" s="2"/>
      <c r="W2758" s="2"/>
    </row>
    <row r="2759" spans="1:23" ht="12.5" x14ac:dyDescent="0.25">
      <c r="A2759" s="2" t="s">
        <v>4688</v>
      </c>
      <c r="B2759" s="2">
        <v>114</v>
      </c>
      <c r="C2759" s="2">
        <v>30050028</v>
      </c>
      <c r="D2759" s="2" t="s">
        <v>25</v>
      </c>
      <c r="E2759" s="2" t="s">
        <v>4689</v>
      </c>
      <c r="F2759" s="2" t="s">
        <v>14</v>
      </c>
      <c r="G2759" s="2" t="s">
        <v>15</v>
      </c>
      <c r="H2759" s="2">
        <v>17000000</v>
      </c>
      <c r="I2759" s="2">
        <v>6.5</v>
      </c>
      <c r="J2759" s="2">
        <f t="shared" si="20"/>
        <v>13050028</v>
      </c>
      <c r="K2759" s="2">
        <f t="shared" si="21"/>
        <v>-2.278904285669868E-2</v>
      </c>
      <c r="L2759" s="2" t="str">
        <f>IF(ISNUMBER(SEARCH("|",IMDB_Movies!$D2759)),LEFT(IMDB_Movies!$D2759,SEARCH("|",IMDB_Movies!$D2759)-1),IMDB_Movies!$D2759)</f>
        <v>Action</v>
      </c>
      <c r="V2759" s="2"/>
      <c r="W2759" s="2"/>
    </row>
    <row r="2760" spans="1:23" ht="12.5" x14ac:dyDescent="0.25">
      <c r="A2760" s="2" t="s">
        <v>1336</v>
      </c>
      <c r="B2760" s="2">
        <v>100</v>
      </c>
      <c r="C2760" s="2">
        <v>29392418</v>
      </c>
      <c r="D2760" s="2" t="s">
        <v>623</v>
      </c>
      <c r="E2760" s="2" t="s">
        <v>4690</v>
      </c>
      <c r="F2760" s="2" t="s">
        <v>14</v>
      </c>
      <c r="G2760" s="2" t="s">
        <v>15</v>
      </c>
      <c r="H2760" s="2">
        <v>10000000</v>
      </c>
      <c r="I2760" s="2">
        <v>5.8</v>
      </c>
      <c r="J2760" s="2">
        <f t="shared" si="20"/>
        <v>19392418</v>
      </c>
      <c r="K2760" s="2">
        <f t="shared" si="21"/>
        <v>-2.2811365041591172E-2</v>
      </c>
      <c r="L2760" s="2" t="str">
        <f>IF(ISNUMBER(SEARCH("|",IMDB_Movies!$D2760)),LEFT(IMDB_Movies!$D2760,SEARCH("|",IMDB_Movies!$D2760)-1),IMDB_Movies!$D2760)</f>
        <v>Action</v>
      </c>
      <c r="V2760" s="2"/>
      <c r="W2760" s="2"/>
    </row>
    <row r="2761" spans="1:23" ht="12.5" x14ac:dyDescent="0.25">
      <c r="A2761" s="2" t="s">
        <v>3099</v>
      </c>
      <c r="B2761" s="2">
        <v>85</v>
      </c>
      <c r="C2761" s="2">
        <v>28563926</v>
      </c>
      <c r="D2761" s="2" t="s">
        <v>1400</v>
      </c>
      <c r="E2761" s="2" t="s">
        <v>4691</v>
      </c>
      <c r="F2761" s="2" t="s">
        <v>14</v>
      </c>
      <c r="G2761" s="2" t="s">
        <v>15</v>
      </c>
      <c r="H2761" s="2">
        <v>8500000</v>
      </c>
      <c r="I2761" s="2">
        <v>5</v>
      </c>
      <c r="J2761" s="2">
        <f t="shared" si="20"/>
        <v>20063926</v>
      </c>
      <c r="K2761" s="2">
        <f t="shared" si="21"/>
        <v>-2.2802445052919649E-2</v>
      </c>
      <c r="L2761" s="2" t="str">
        <f>IF(ISNUMBER(SEARCH("|",IMDB_Movies!$D2761)),LEFT(IMDB_Movies!$D2761,SEARCH("|",IMDB_Movies!$D2761)-1),IMDB_Movies!$D2761)</f>
        <v>Drama</v>
      </c>
      <c r="V2761" s="2"/>
      <c r="W2761" s="2"/>
    </row>
    <row r="2762" spans="1:23" ht="12.5" x14ac:dyDescent="0.25">
      <c r="A2762" s="2" t="s">
        <v>4692</v>
      </c>
      <c r="B2762" s="2">
        <v>103</v>
      </c>
      <c r="C2762" s="2">
        <v>28435406</v>
      </c>
      <c r="D2762" s="2" t="s">
        <v>600</v>
      </c>
      <c r="E2762" s="2" t="s">
        <v>4693</v>
      </c>
      <c r="F2762" s="2" t="s">
        <v>14</v>
      </c>
      <c r="G2762" s="2" t="s">
        <v>15</v>
      </c>
      <c r="H2762" s="2">
        <v>12000000</v>
      </c>
      <c r="I2762" s="2">
        <v>5.5</v>
      </c>
      <c r="J2762" s="2">
        <f t="shared" si="20"/>
        <v>16435406</v>
      </c>
      <c r="K2762" s="2">
        <f t="shared" si="21"/>
        <v>-2.2787602104238028E-2</v>
      </c>
      <c r="L2762" s="2" t="str">
        <f>IF(ISNUMBER(SEARCH("|",IMDB_Movies!$D2762)),LEFT(IMDB_Movies!$D2762,SEARCH("|",IMDB_Movies!$D2762)-1),IMDB_Movies!$D2762)</f>
        <v>Comedy</v>
      </c>
      <c r="V2762" s="2"/>
      <c r="W2762" s="2"/>
    </row>
    <row r="2763" spans="1:23" ht="12.5" x14ac:dyDescent="0.25">
      <c r="A2763" s="2" t="s">
        <v>3376</v>
      </c>
      <c r="B2763" s="2">
        <v>100</v>
      </c>
      <c r="C2763" s="2">
        <v>25339117</v>
      </c>
      <c r="D2763" s="2" t="s">
        <v>600</v>
      </c>
      <c r="E2763" s="2" t="s">
        <v>4694</v>
      </c>
      <c r="F2763" s="2" t="s">
        <v>14</v>
      </c>
      <c r="G2763" s="2" t="s">
        <v>15</v>
      </c>
      <c r="H2763" s="2">
        <v>10000000</v>
      </c>
      <c r="I2763" s="2">
        <v>6.5</v>
      </c>
      <c r="J2763" s="2">
        <f t="shared" si="20"/>
        <v>15339117</v>
      </c>
      <c r="K2763" s="2">
        <f t="shared" si="21"/>
        <v>-2.2787059454048481E-2</v>
      </c>
      <c r="L2763" s="2" t="str">
        <f>IF(ISNUMBER(SEARCH("|",IMDB_Movies!$D2763)),LEFT(IMDB_Movies!$D2763,SEARCH("|",IMDB_Movies!$D2763)-1),IMDB_Movies!$D2763)</f>
        <v>Comedy</v>
      </c>
      <c r="V2763" s="2"/>
      <c r="W2763" s="2"/>
    </row>
    <row r="2764" spans="1:23" ht="12.5" x14ac:dyDescent="0.25">
      <c r="A2764" s="2" t="s">
        <v>1648</v>
      </c>
      <c r="B2764" s="2">
        <v>114</v>
      </c>
      <c r="C2764" s="2">
        <v>25600000</v>
      </c>
      <c r="D2764" s="2" t="s">
        <v>694</v>
      </c>
      <c r="E2764" s="2" t="s">
        <v>4695</v>
      </c>
      <c r="F2764" s="2" t="s">
        <v>14</v>
      </c>
      <c r="G2764" s="2" t="s">
        <v>15</v>
      </c>
      <c r="H2764" s="2">
        <v>10000000</v>
      </c>
      <c r="I2764" s="2">
        <v>7.2</v>
      </c>
      <c r="J2764" s="2">
        <f t="shared" si="20"/>
        <v>15600000</v>
      </c>
      <c r="K2764" s="2">
        <f t="shared" si="21"/>
        <v>-2.2779500863875222E-2</v>
      </c>
      <c r="L2764" s="2" t="str">
        <f>IF(ISNUMBER(SEARCH("|",IMDB_Movies!$D2764)),LEFT(IMDB_Movies!$D2764,SEARCH("|",IMDB_Movies!$D2764)-1),IMDB_Movies!$D2764)</f>
        <v>Crime</v>
      </c>
      <c r="V2764" s="2"/>
      <c r="W2764" s="2"/>
    </row>
    <row r="2765" spans="1:23" ht="12.5" x14ac:dyDescent="0.25">
      <c r="A2765" s="2" t="s">
        <v>4696</v>
      </c>
      <c r="B2765" s="2">
        <v>97</v>
      </c>
      <c r="C2765" s="2">
        <v>27736779</v>
      </c>
      <c r="D2765" s="2" t="s">
        <v>1050</v>
      </c>
      <c r="E2765" s="2" t="s">
        <v>4697</v>
      </c>
      <c r="F2765" s="2" t="s">
        <v>14</v>
      </c>
      <c r="G2765" s="2" t="s">
        <v>15</v>
      </c>
      <c r="H2765" s="2">
        <v>10000000</v>
      </c>
      <c r="I2765" s="2">
        <v>5.2</v>
      </c>
      <c r="J2765" s="2">
        <f t="shared" si="20"/>
        <v>17736779</v>
      </c>
      <c r="K2765" s="2">
        <f t="shared" si="21"/>
        <v>-2.2771817821781656E-2</v>
      </c>
      <c r="L2765" s="2" t="str">
        <f>IF(ISNUMBER(SEARCH("|",IMDB_Movies!$D2765)),LEFT(IMDB_Movies!$D2765,SEARCH("|",IMDB_Movies!$D2765)-1),IMDB_Movies!$D2765)</f>
        <v>Horror</v>
      </c>
      <c r="V2765" s="2"/>
      <c r="W2765" s="2"/>
    </row>
    <row r="2766" spans="1:23" ht="12.5" x14ac:dyDescent="0.25">
      <c r="A2766" s="2" t="s">
        <v>4698</v>
      </c>
      <c r="B2766" s="2">
        <v>116</v>
      </c>
      <c r="C2766" s="2">
        <v>24397469</v>
      </c>
      <c r="D2766" s="2" t="s">
        <v>2082</v>
      </c>
      <c r="E2766" s="2" t="s">
        <v>4699</v>
      </c>
      <c r="F2766" s="2" t="s">
        <v>14</v>
      </c>
      <c r="G2766" s="2" t="s">
        <v>15</v>
      </c>
      <c r="H2766" s="2">
        <v>17000000</v>
      </c>
      <c r="I2766" s="2">
        <v>5.7</v>
      </c>
      <c r="J2766" s="2">
        <f t="shared" si="20"/>
        <v>7397469</v>
      </c>
      <c r="K2766" s="2">
        <f t="shared" si="21"/>
        <v>-2.2763317453454935E-2</v>
      </c>
      <c r="L2766" s="2" t="str">
        <f>IF(ISNUMBER(SEARCH("|",IMDB_Movies!$D2766)),LEFT(IMDB_Movies!$D2766,SEARCH("|",IMDB_Movies!$D2766)-1),IMDB_Movies!$D2766)</f>
        <v>Drama</v>
      </c>
      <c r="V2766" s="2"/>
      <c r="W2766" s="2"/>
    </row>
    <row r="2767" spans="1:23" ht="12.5" x14ac:dyDescent="0.25">
      <c r="A2767" s="2" t="s">
        <v>4252</v>
      </c>
      <c r="B2767" s="2">
        <v>96</v>
      </c>
      <c r="C2767" s="2">
        <v>20384136</v>
      </c>
      <c r="D2767" s="2" t="s">
        <v>1050</v>
      </c>
      <c r="E2767" s="2" t="s">
        <v>4700</v>
      </c>
      <c r="F2767" s="2" t="s">
        <v>14</v>
      </c>
      <c r="G2767" s="2" t="s">
        <v>15</v>
      </c>
      <c r="H2767" s="2">
        <v>10000000</v>
      </c>
      <c r="I2767" s="2">
        <v>4.7</v>
      </c>
      <c r="J2767" s="2">
        <f t="shared" si="20"/>
        <v>10384136</v>
      </c>
      <c r="K2767" s="2">
        <f t="shared" si="21"/>
        <v>-2.2777156871339559E-2</v>
      </c>
      <c r="L2767" s="2" t="str">
        <f>IF(ISNUMBER(SEARCH("|",IMDB_Movies!$D2767)),LEFT(IMDB_Movies!$D2767,SEARCH("|",IMDB_Movies!$D2767)-1),IMDB_Movies!$D2767)</f>
        <v>Horror</v>
      </c>
      <c r="V2767" s="2"/>
      <c r="W2767" s="2"/>
    </row>
    <row r="2768" spans="1:23" ht="12.5" x14ac:dyDescent="0.25">
      <c r="A2768" s="2" t="s">
        <v>4701</v>
      </c>
      <c r="B2768" s="2">
        <v>98</v>
      </c>
      <c r="C2768" s="2">
        <v>25464480</v>
      </c>
      <c r="D2768" s="2" t="s">
        <v>1710</v>
      </c>
      <c r="E2768" s="2" t="s">
        <v>4702</v>
      </c>
      <c r="F2768" s="2" t="s">
        <v>14</v>
      </c>
      <c r="G2768" s="2" t="s">
        <v>15</v>
      </c>
      <c r="H2768" s="2">
        <v>10000000</v>
      </c>
      <c r="I2768" s="2">
        <v>5.9</v>
      </c>
      <c r="J2768" s="2">
        <f t="shared" si="20"/>
        <v>15464480</v>
      </c>
      <c r="K2768" s="2">
        <f t="shared" si="21"/>
        <v>-2.2772050933164697E-2</v>
      </c>
      <c r="L2768" s="2" t="str">
        <f>IF(ISNUMBER(SEARCH("|",IMDB_Movies!$D2768)),LEFT(IMDB_Movies!$D2768,SEARCH("|",IMDB_Movies!$D2768)-1),IMDB_Movies!$D2768)</f>
        <v>Mystery</v>
      </c>
      <c r="V2768" s="2"/>
      <c r="W2768" s="2"/>
    </row>
    <row r="2769" spans="1:23" ht="12.5" x14ac:dyDescent="0.25">
      <c r="A2769" s="2" t="s">
        <v>3743</v>
      </c>
      <c r="B2769" s="2">
        <v>105</v>
      </c>
      <c r="C2769" s="2">
        <v>20338609</v>
      </c>
      <c r="D2769" s="2" t="s">
        <v>2912</v>
      </c>
      <c r="E2769" s="2" t="s">
        <v>4703</v>
      </c>
      <c r="F2769" s="2" t="s">
        <v>14</v>
      </c>
      <c r="G2769" s="2" t="s">
        <v>15</v>
      </c>
      <c r="H2769" s="2">
        <v>10000000</v>
      </c>
      <c r="I2769" s="2">
        <v>6.8</v>
      </c>
      <c r="J2769" s="2">
        <f t="shared" si="20"/>
        <v>10338609</v>
      </c>
      <c r="K2769" s="2">
        <f t="shared" si="21"/>
        <v>-2.2764385079512686E-2</v>
      </c>
      <c r="L2769" s="2" t="str">
        <f>IF(ISNUMBER(SEARCH("|",IMDB_Movies!$D2769)),LEFT(IMDB_Movies!$D2769,SEARCH("|",IMDB_Movies!$D2769)-1),IMDB_Movies!$D2769)</f>
        <v>Comedy</v>
      </c>
      <c r="V2769" s="2"/>
      <c r="W2769" s="2"/>
    </row>
    <row r="2770" spans="1:23" ht="12.5" x14ac:dyDescent="0.25">
      <c r="A2770" s="2" t="s">
        <v>4704</v>
      </c>
      <c r="B2770" s="2">
        <v>123</v>
      </c>
      <c r="C2770" s="2">
        <v>18272447</v>
      </c>
      <c r="D2770" s="2" t="s">
        <v>1400</v>
      </c>
      <c r="E2770" s="2" t="s">
        <v>4705</v>
      </c>
      <c r="F2770" s="2" t="s">
        <v>14</v>
      </c>
      <c r="G2770" s="2" t="s">
        <v>15</v>
      </c>
      <c r="H2770" s="2">
        <v>10000000</v>
      </c>
      <c r="I2770" s="2">
        <v>5.9</v>
      </c>
      <c r="J2770" s="2">
        <f t="shared" si="20"/>
        <v>8272447</v>
      </c>
      <c r="K2770" s="2">
        <f t="shared" si="21"/>
        <v>-2.2759281831999899E-2</v>
      </c>
      <c r="L2770" s="2" t="str">
        <f>IF(ISNUMBER(SEARCH("|",IMDB_Movies!$D2770)),LEFT(IMDB_Movies!$D2770,SEARCH("|",IMDB_Movies!$D2770)-1),IMDB_Movies!$D2770)</f>
        <v>Drama</v>
      </c>
      <c r="V2770" s="2"/>
      <c r="W2770" s="2"/>
    </row>
    <row r="2771" spans="1:23" ht="12.5" x14ac:dyDescent="0.25">
      <c r="A2771" s="2" t="s">
        <v>1821</v>
      </c>
      <c r="B2771" s="2">
        <v>93</v>
      </c>
      <c r="C2771" s="2">
        <v>17096053</v>
      </c>
      <c r="D2771" s="2" t="s">
        <v>891</v>
      </c>
      <c r="E2771" s="2" t="s">
        <v>4706</v>
      </c>
      <c r="F2771" s="2" t="s">
        <v>14</v>
      </c>
      <c r="G2771" s="2" t="s">
        <v>15</v>
      </c>
      <c r="H2771" s="2">
        <v>9000000</v>
      </c>
      <c r="I2771" s="2">
        <v>7.7</v>
      </c>
      <c r="J2771" s="2">
        <f t="shared" si="20"/>
        <v>8096053</v>
      </c>
      <c r="K2771" s="2">
        <f t="shared" si="21"/>
        <v>-2.2755462247909537E-2</v>
      </c>
      <c r="L2771" s="2" t="str">
        <f>IF(ISNUMBER(SEARCH("|",IMDB_Movies!$D2771)),LEFT(IMDB_Movies!$D2771,SEARCH("|",IMDB_Movies!$D2771)-1),IMDB_Movies!$D2771)</f>
        <v>Comedy</v>
      </c>
      <c r="V2771" s="2"/>
      <c r="W2771" s="2"/>
    </row>
    <row r="2772" spans="1:23" ht="12.5" x14ac:dyDescent="0.25">
      <c r="A2772" s="2" t="s">
        <v>2185</v>
      </c>
      <c r="B2772" s="2">
        <v>97</v>
      </c>
      <c r="C2772" s="2">
        <v>21371425</v>
      </c>
      <c r="D2772" s="2" t="s">
        <v>981</v>
      </c>
      <c r="E2772" s="2" t="s">
        <v>4707</v>
      </c>
      <c r="F2772" s="2" t="s">
        <v>14</v>
      </c>
      <c r="G2772" s="2" t="s">
        <v>15</v>
      </c>
      <c r="H2772" s="2">
        <v>10000000</v>
      </c>
      <c r="I2772" s="2">
        <v>4.4000000000000004</v>
      </c>
      <c r="J2772" s="2">
        <f t="shared" si="20"/>
        <v>11371425</v>
      </c>
      <c r="K2772" s="2">
        <f t="shared" si="21"/>
        <v>-2.2751384431316225E-2</v>
      </c>
      <c r="L2772" s="2" t="str">
        <f>IF(ISNUMBER(SEARCH("|",IMDB_Movies!$D2772)),LEFT(IMDB_Movies!$D2772,SEARCH("|",IMDB_Movies!$D2772)-1),IMDB_Movies!$D2772)</f>
        <v>Action</v>
      </c>
      <c r="V2772" s="2"/>
      <c r="W2772" s="2"/>
    </row>
    <row r="2773" spans="1:23" ht="12.5" x14ac:dyDescent="0.25">
      <c r="A2773" s="2" t="s">
        <v>1552</v>
      </c>
      <c r="B2773" s="2">
        <v>122</v>
      </c>
      <c r="C2773" s="2">
        <v>33071558</v>
      </c>
      <c r="D2773" s="2" t="s">
        <v>891</v>
      </c>
      <c r="E2773" s="2" t="s">
        <v>4708</v>
      </c>
      <c r="F2773" s="2" t="s">
        <v>14</v>
      </c>
      <c r="G2773" s="2" t="s">
        <v>22</v>
      </c>
      <c r="H2773" s="2">
        <v>10000000</v>
      </c>
      <c r="I2773" s="2">
        <v>6.6</v>
      </c>
      <c r="J2773" s="2">
        <f t="shared" si="20"/>
        <v>23071558</v>
      </c>
      <c r="K2773" s="2">
        <f t="shared" si="21"/>
        <v>-2.2745657262335441E-2</v>
      </c>
      <c r="L2773" s="2" t="str">
        <f>IF(ISNUMBER(SEARCH("|",IMDB_Movies!$D2773)),LEFT(IMDB_Movies!$D2773,SEARCH("|",IMDB_Movies!$D2773)-1),IMDB_Movies!$D2773)</f>
        <v>Comedy</v>
      </c>
      <c r="V2773" s="2"/>
      <c r="W2773" s="2"/>
    </row>
    <row r="2774" spans="1:23" ht="12.5" x14ac:dyDescent="0.25">
      <c r="A2774" s="2" t="s">
        <v>4709</v>
      </c>
      <c r="B2774" s="2">
        <v>101</v>
      </c>
      <c r="C2774" s="2">
        <v>17655201</v>
      </c>
      <c r="D2774" s="2" t="s">
        <v>2383</v>
      </c>
      <c r="E2774" s="2" t="s">
        <v>4710</v>
      </c>
      <c r="F2774" s="2" t="s">
        <v>14</v>
      </c>
      <c r="G2774" s="2" t="s">
        <v>15</v>
      </c>
      <c r="H2774" s="2">
        <v>10000000</v>
      </c>
      <c r="I2774" s="2">
        <v>6.7</v>
      </c>
      <c r="J2774" s="2">
        <f t="shared" si="20"/>
        <v>7655201</v>
      </c>
      <c r="K2774" s="2">
        <f t="shared" si="21"/>
        <v>-2.2735717059711735E-2</v>
      </c>
      <c r="L2774" s="2" t="str">
        <f>IF(ISNUMBER(SEARCH("|",IMDB_Movies!$D2774)),LEFT(IMDB_Movies!$D2774,SEARCH("|",IMDB_Movies!$D2774)-1),IMDB_Movies!$D2774)</f>
        <v>Drama</v>
      </c>
      <c r="V2774" s="2"/>
      <c r="W2774" s="2"/>
    </row>
    <row r="2775" spans="1:23" ht="12.5" x14ac:dyDescent="0.25">
      <c r="A2775" s="2" t="s">
        <v>3717</v>
      </c>
      <c r="B2775" s="2">
        <v>100</v>
      </c>
      <c r="C2775" s="2">
        <v>16247775</v>
      </c>
      <c r="D2775" s="2" t="s">
        <v>955</v>
      </c>
      <c r="E2775" s="2" t="s">
        <v>4711</v>
      </c>
      <c r="F2775" s="2" t="s">
        <v>14</v>
      </c>
      <c r="G2775" s="2" t="s">
        <v>15</v>
      </c>
      <c r="H2775" s="2">
        <v>25000000</v>
      </c>
      <c r="I2775" s="2">
        <v>5.5</v>
      </c>
      <c r="J2775" s="2">
        <f t="shared" si="20"/>
        <v>-8752225</v>
      </c>
      <c r="K2775" s="2">
        <f t="shared" si="21"/>
        <v>-2.2732269640574617E-2</v>
      </c>
      <c r="L2775" s="2" t="str">
        <f>IF(ISNUMBER(SEARCH("|",IMDB_Movies!$D2775)),LEFT(IMDB_Movies!$D2775,SEARCH("|",IMDB_Movies!$D2775)-1),IMDB_Movies!$D2775)</f>
        <v>Comedy</v>
      </c>
      <c r="V2775" s="2"/>
      <c r="W2775" s="2"/>
    </row>
    <row r="2776" spans="1:23" ht="12.5" x14ac:dyDescent="0.25">
      <c r="A2776" s="2" t="s">
        <v>1725</v>
      </c>
      <c r="B2776" s="2">
        <v>129</v>
      </c>
      <c r="C2776" s="2">
        <v>16153600</v>
      </c>
      <c r="D2776" s="2" t="s">
        <v>2586</v>
      </c>
      <c r="E2776" s="2" t="s">
        <v>4712</v>
      </c>
      <c r="F2776" s="2" t="s">
        <v>14</v>
      </c>
      <c r="G2776" s="2" t="s">
        <v>15</v>
      </c>
      <c r="H2776" s="2">
        <v>10000000</v>
      </c>
      <c r="I2776" s="2">
        <v>6.5</v>
      </c>
      <c r="J2776" s="2">
        <f t="shared" si="20"/>
        <v>6153600</v>
      </c>
      <c r="K2776" s="2">
        <f t="shared" si="21"/>
        <v>-2.274247739243903E-2</v>
      </c>
      <c r="L2776" s="2" t="str">
        <f>IF(ISNUMBER(SEARCH("|",IMDB_Movies!$D2776)),LEFT(IMDB_Movies!$D2776,SEARCH("|",IMDB_Movies!$D2776)-1),IMDB_Movies!$D2776)</f>
        <v>Drama</v>
      </c>
      <c r="V2776" s="2"/>
      <c r="W2776" s="2"/>
    </row>
    <row r="2777" spans="1:23" ht="12.5" x14ac:dyDescent="0.25">
      <c r="A2777" s="2" t="s">
        <v>1695</v>
      </c>
      <c r="B2777" s="2">
        <v>81</v>
      </c>
      <c r="C2777" s="2">
        <v>16033556</v>
      </c>
      <c r="D2777" s="2" t="s">
        <v>768</v>
      </c>
      <c r="E2777" s="2" t="s">
        <v>4713</v>
      </c>
      <c r="F2777" s="2" t="s">
        <v>14</v>
      </c>
      <c r="G2777" s="2" t="s">
        <v>15</v>
      </c>
      <c r="H2777" s="2">
        <v>10000000</v>
      </c>
      <c r="I2777" s="2">
        <v>6.2</v>
      </c>
      <c r="J2777" s="2">
        <f t="shared" si="20"/>
        <v>6033556</v>
      </c>
      <c r="K2777" s="2">
        <f t="shared" si="21"/>
        <v>-2.2740098710580487E-2</v>
      </c>
      <c r="L2777" s="2" t="str">
        <f>IF(ISNUMBER(SEARCH("|",IMDB_Movies!$D2777)),LEFT(IMDB_Movies!$D2777,SEARCH("|",IMDB_Movies!$D2777)-1),IMDB_Movies!$D2777)</f>
        <v>Action</v>
      </c>
      <c r="V2777" s="2"/>
      <c r="W2777" s="2"/>
    </row>
    <row r="2778" spans="1:23" ht="12.5" x14ac:dyDescent="0.25">
      <c r="A2778" s="2" t="s">
        <v>681</v>
      </c>
      <c r="B2778" s="2">
        <v>96</v>
      </c>
      <c r="C2778" s="2">
        <v>16667084</v>
      </c>
      <c r="D2778" s="2" t="s">
        <v>4021</v>
      </c>
      <c r="E2778" s="2" t="s">
        <v>4714</v>
      </c>
      <c r="F2778" s="2" t="s">
        <v>14</v>
      </c>
      <c r="G2778" s="2" t="s">
        <v>15</v>
      </c>
      <c r="H2778" s="2">
        <v>11000000</v>
      </c>
      <c r="I2778" s="2">
        <v>7.1</v>
      </c>
      <c r="J2778" s="2">
        <f t="shared" si="20"/>
        <v>5667084</v>
      </c>
      <c r="K2778" s="2">
        <f t="shared" si="21"/>
        <v>-2.2737803703337028E-2</v>
      </c>
      <c r="L2778" s="2" t="str">
        <f>IF(ISNUMBER(SEARCH("|",IMDB_Movies!$D2778)),LEFT(IMDB_Movies!$D2778,SEARCH("|",IMDB_Movies!$D2778)-1),IMDB_Movies!$D2778)</f>
        <v>Comedy</v>
      </c>
      <c r="V2778" s="2"/>
      <c r="W2778" s="2"/>
    </row>
    <row r="2779" spans="1:23" ht="12.5" x14ac:dyDescent="0.25">
      <c r="A2779" s="2" t="s">
        <v>4715</v>
      </c>
      <c r="B2779" s="2">
        <v>84</v>
      </c>
      <c r="C2779" s="2">
        <v>15417771</v>
      </c>
      <c r="D2779" s="2" t="s">
        <v>2228</v>
      </c>
      <c r="E2779" s="2" t="s">
        <v>4716</v>
      </c>
      <c r="F2779" s="2" t="s">
        <v>14</v>
      </c>
      <c r="G2779" s="2" t="s">
        <v>15</v>
      </c>
      <c r="H2779" s="2">
        <v>12600000</v>
      </c>
      <c r="I2779" s="2">
        <v>6.1</v>
      </c>
      <c r="J2779" s="2">
        <f t="shared" si="20"/>
        <v>2817771</v>
      </c>
      <c r="K2779" s="2">
        <f t="shared" si="21"/>
        <v>-2.2735994137140725E-2</v>
      </c>
      <c r="L2779" s="2" t="str">
        <f>IF(ISNUMBER(SEARCH("|",IMDB_Movies!$D2779)),LEFT(IMDB_Movies!$D2779,SEARCH("|",IMDB_Movies!$D2779)-1),IMDB_Movies!$D2779)</f>
        <v>Horror</v>
      </c>
      <c r="V2779" s="2"/>
      <c r="W2779" s="2"/>
    </row>
    <row r="2780" spans="1:23" ht="12.5" x14ac:dyDescent="0.25">
      <c r="A2780" s="2" t="s">
        <v>4149</v>
      </c>
      <c r="B2780" s="2">
        <v>110</v>
      </c>
      <c r="C2780" s="2">
        <v>15156200</v>
      </c>
      <c r="D2780" s="2" t="s">
        <v>845</v>
      </c>
      <c r="E2780" s="2" t="s">
        <v>4717</v>
      </c>
      <c r="F2780" s="2" t="s">
        <v>14</v>
      </c>
      <c r="G2780" s="2" t="s">
        <v>15</v>
      </c>
      <c r="H2780" s="2">
        <v>30000000</v>
      </c>
      <c r="I2780" s="2">
        <v>6</v>
      </c>
      <c r="J2780" s="2">
        <f t="shared" si="20"/>
        <v>-14843800</v>
      </c>
      <c r="K2780" s="2">
        <f t="shared" si="21"/>
        <v>-2.2735758910137863E-2</v>
      </c>
      <c r="L2780" s="2" t="str">
        <f>IF(ISNUMBER(SEARCH("|",IMDB_Movies!$D2780)),LEFT(IMDB_Movies!$D2780,SEARCH("|",IMDB_Movies!$D2780)-1),IMDB_Movies!$D2780)</f>
        <v>Action</v>
      </c>
      <c r="V2780" s="2"/>
      <c r="W2780" s="2"/>
    </row>
    <row r="2781" spans="1:23" ht="12.5" x14ac:dyDescent="0.25">
      <c r="A2781" s="2" t="s">
        <v>3838</v>
      </c>
      <c r="B2781" s="2">
        <v>130</v>
      </c>
      <c r="C2781" s="2">
        <v>21589307</v>
      </c>
      <c r="D2781" s="2" t="s">
        <v>1180</v>
      </c>
      <c r="E2781" s="2" t="s">
        <v>4718</v>
      </c>
      <c r="F2781" s="2" t="s">
        <v>14</v>
      </c>
      <c r="G2781" s="2" t="s">
        <v>15</v>
      </c>
      <c r="H2781" s="2">
        <v>10000000</v>
      </c>
      <c r="I2781" s="2">
        <v>7.4</v>
      </c>
      <c r="J2781" s="2">
        <f t="shared" si="20"/>
        <v>11589307</v>
      </c>
      <c r="K2781" s="2">
        <f t="shared" si="21"/>
        <v>-2.274527184551247E-2</v>
      </c>
      <c r="L2781" s="2" t="str">
        <f>IF(ISNUMBER(SEARCH("|",IMDB_Movies!$D2781)),LEFT(IMDB_Movies!$D2781,SEARCH("|",IMDB_Movies!$D2781)-1),IMDB_Movies!$D2781)</f>
        <v>Drama</v>
      </c>
      <c r="V2781" s="2"/>
      <c r="W2781" s="2"/>
    </row>
    <row r="2782" spans="1:23" ht="12.5" x14ac:dyDescent="0.25">
      <c r="A2782" s="2" t="s">
        <v>4719</v>
      </c>
      <c r="B2782" s="2">
        <v>84</v>
      </c>
      <c r="C2782" s="2">
        <v>20339754</v>
      </c>
      <c r="D2782" s="2" t="s">
        <v>375</v>
      </c>
      <c r="E2782" s="2" t="s">
        <v>4720</v>
      </c>
      <c r="F2782" s="2" t="s">
        <v>14</v>
      </c>
      <c r="G2782" s="2" t="s">
        <v>15</v>
      </c>
      <c r="H2782" s="2">
        <v>10000000</v>
      </c>
      <c r="I2782" s="2">
        <v>5.9</v>
      </c>
      <c r="J2782" s="2">
        <f t="shared" si="20"/>
        <v>10339754</v>
      </c>
      <c r="K2782" s="2">
        <f t="shared" si="21"/>
        <v>-2.2739418465680013E-2</v>
      </c>
      <c r="L2782" s="2" t="str">
        <f>IF(ISNUMBER(SEARCH("|",IMDB_Movies!$D2782)),LEFT(IMDB_Movies!$D2782,SEARCH("|",IMDB_Movies!$D2782)-1),IMDB_Movies!$D2782)</f>
        <v>Comedy</v>
      </c>
      <c r="V2782" s="2"/>
      <c r="W2782" s="2"/>
    </row>
    <row r="2783" spans="1:23" ht="12.5" x14ac:dyDescent="0.25">
      <c r="A2783" s="2" t="s">
        <v>4721</v>
      </c>
      <c r="B2783" s="2">
        <v>106</v>
      </c>
      <c r="C2783" s="2">
        <v>28873374</v>
      </c>
      <c r="D2783" s="2" t="s">
        <v>1398</v>
      </c>
      <c r="E2783" s="2" t="s">
        <v>4722</v>
      </c>
      <c r="F2783" s="2" t="s">
        <v>14</v>
      </c>
      <c r="G2783" s="2" t="s">
        <v>15</v>
      </c>
      <c r="H2783" s="2">
        <v>10000000</v>
      </c>
      <c r="I2783" s="2">
        <v>4.0999999999999996</v>
      </c>
      <c r="J2783" s="2">
        <f t="shared" si="20"/>
        <v>18873374</v>
      </c>
      <c r="K2783" s="2">
        <f t="shared" si="21"/>
        <v>-2.2734262452877713E-2</v>
      </c>
      <c r="L2783" s="2" t="str">
        <f>IF(ISNUMBER(SEARCH("|",IMDB_Movies!$D2783)),LEFT(IMDB_Movies!$D2783,SEARCH("|",IMDB_Movies!$D2783)-1),IMDB_Movies!$D2783)</f>
        <v>Documentary</v>
      </c>
      <c r="V2783" s="2"/>
      <c r="W2783" s="2"/>
    </row>
    <row r="2784" spans="1:23" ht="12.5" x14ac:dyDescent="0.25">
      <c r="A2784" s="2" t="s">
        <v>4723</v>
      </c>
      <c r="B2784" s="2">
        <v>76</v>
      </c>
      <c r="C2784" s="2">
        <v>13684949</v>
      </c>
      <c r="D2784" s="2" t="s">
        <v>181</v>
      </c>
      <c r="E2784" s="2" t="s">
        <v>4724</v>
      </c>
      <c r="F2784" s="2" t="s">
        <v>14</v>
      </c>
      <c r="G2784" s="2" t="s">
        <v>15</v>
      </c>
      <c r="H2784" s="2">
        <v>3000000</v>
      </c>
      <c r="I2784" s="2">
        <v>5.9</v>
      </c>
      <c r="J2784" s="2">
        <f t="shared" si="20"/>
        <v>10684949</v>
      </c>
      <c r="K2784" s="2">
        <f t="shared" si="21"/>
        <v>-2.2725302855173428E-2</v>
      </c>
      <c r="L2784" s="2" t="str">
        <f>IF(ISNUMBER(SEARCH("|",IMDB_Movies!$D2784)),LEFT(IMDB_Movies!$D2784,SEARCH("|",IMDB_Movies!$D2784)-1),IMDB_Movies!$D2784)</f>
        <v>Adventure</v>
      </c>
      <c r="V2784" s="2"/>
      <c r="W2784" s="2"/>
    </row>
    <row r="2785" spans="1:23" ht="12.5" x14ac:dyDescent="0.25">
      <c r="A2785" s="2" t="s">
        <v>4604</v>
      </c>
      <c r="B2785" s="2">
        <v>99</v>
      </c>
      <c r="C2785" s="2">
        <v>14597405</v>
      </c>
      <c r="D2785" s="2" t="s">
        <v>555</v>
      </c>
      <c r="E2785" s="2" t="s">
        <v>4725</v>
      </c>
      <c r="F2785" s="2" t="s">
        <v>14</v>
      </c>
      <c r="G2785" s="2" t="s">
        <v>22</v>
      </c>
      <c r="H2785" s="2">
        <v>6400000</v>
      </c>
      <c r="I2785" s="2">
        <v>7</v>
      </c>
      <c r="J2785" s="2">
        <f t="shared" si="20"/>
        <v>8197405</v>
      </c>
      <c r="K2785" s="2">
        <f t="shared" si="21"/>
        <v>-2.2723702927152919E-2</v>
      </c>
      <c r="L2785" s="2" t="str">
        <f>IF(ISNUMBER(SEARCH("|",IMDB_Movies!$D2785)),LEFT(IMDB_Movies!$D2785,SEARCH("|",IMDB_Movies!$D2785)-1),IMDB_Movies!$D2785)</f>
        <v>Biography</v>
      </c>
      <c r="V2785" s="2"/>
      <c r="W2785" s="2"/>
    </row>
    <row r="2786" spans="1:23" ht="12.5" x14ac:dyDescent="0.25">
      <c r="A2786" s="2" t="s">
        <v>2295</v>
      </c>
      <c r="B2786" s="2">
        <v>96</v>
      </c>
      <c r="C2786" s="2">
        <v>12570442</v>
      </c>
      <c r="D2786" s="2" t="s">
        <v>1802</v>
      </c>
      <c r="E2786" s="2" t="s">
        <v>4726</v>
      </c>
      <c r="F2786" s="2" t="s">
        <v>14</v>
      </c>
      <c r="G2786" s="2" t="s">
        <v>15</v>
      </c>
      <c r="H2786" s="2">
        <v>10000000</v>
      </c>
      <c r="I2786" s="2">
        <v>6.8</v>
      </c>
      <c r="J2786" s="2">
        <f t="shared" si="20"/>
        <v>2570442</v>
      </c>
      <c r="K2786" s="2">
        <f t="shared" si="21"/>
        <v>-2.2721011503206247E-2</v>
      </c>
      <c r="L2786" s="2" t="str">
        <f>IF(ISNUMBER(SEARCH("|",IMDB_Movies!$D2786)),LEFT(IMDB_Movies!$D2786,SEARCH("|",IMDB_Movies!$D2786)-1),IMDB_Movies!$D2786)</f>
        <v>Comedy</v>
      </c>
      <c r="V2786" s="2"/>
      <c r="W2786" s="2"/>
    </row>
    <row r="2787" spans="1:23" ht="12.5" x14ac:dyDescent="0.25">
      <c r="A2787" s="2" t="s">
        <v>4727</v>
      </c>
      <c r="B2787" s="2">
        <v>104</v>
      </c>
      <c r="C2787" s="2">
        <v>12514138</v>
      </c>
      <c r="D2787" s="2" t="s">
        <v>85</v>
      </c>
      <c r="E2787" s="2" t="s">
        <v>4728</v>
      </c>
      <c r="F2787" s="2" t="s">
        <v>14</v>
      </c>
      <c r="G2787" s="2" t="s">
        <v>15</v>
      </c>
      <c r="H2787" s="2">
        <v>10000000</v>
      </c>
      <c r="I2787" s="2">
        <v>7.4</v>
      </c>
      <c r="J2787" s="2">
        <f t="shared" si="20"/>
        <v>2514138</v>
      </c>
      <c r="K2787" s="2">
        <f t="shared" si="21"/>
        <v>-2.2721442988456984E-2</v>
      </c>
      <c r="L2787" s="2" t="str">
        <f>IF(ISNUMBER(SEARCH("|",IMDB_Movies!$D2787)),LEFT(IMDB_Movies!$D2787,SEARCH("|",IMDB_Movies!$D2787)-1),IMDB_Movies!$D2787)</f>
        <v>Drama</v>
      </c>
      <c r="V2787" s="2"/>
      <c r="W2787" s="2"/>
    </row>
    <row r="2788" spans="1:23" ht="12.5" x14ac:dyDescent="0.25">
      <c r="A2788" s="2" t="s">
        <v>4729</v>
      </c>
      <c r="B2788" s="2">
        <v>108</v>
      </c>
      <c r="C2788" s="2">
        <v>43771291</v>
      </c>
      <c r="D2788" s="2" t="s">
        <v>315</v>
      </c>
      <c r="E2788" s="2" t="s">
        <v>4730</v>
      </c>
      <c r="F2788" s="2" t="s">
        <v>14</v>
      </c>
      <c r="G2788" s="2" t="s">
        <v>15</v>
      </c>
      <c r="H2788" s="2">
        <v>5000000</v>
      </c>
      <c r="I2788" s="2">
        <v>7.1</v>
      </c>
      <c r="J2788" s="2">
        <f t="shared" si="20"/>
        <v>38771291</v>
      </c>
      <c r="K2788" s="2">
        <f t="shared" si="21"/>
        <v>-2.2721923827060925E-2</v>
      </c>
      <c r="L2788" s="2" t="str">
        <f>IF(ISNUMBER(SEARCH("|",IMDB_Movies!$D2788)),LEFT(IMDB_Movies!$D2788,SEARCH("|",IMDB_Movies!$D2788)-1),IMDB_Movies!$D2788)</f>
        <v>Mystery</v>
      </c>
      <c r="V2788" s="2"/>
      <c r="W2788" s="2"/>
    </row>
    <row r="2789" spans="1:23" ht="12.5" x14ac:dyDescent="0.25">
      <c r="A2789" s="2" t="s">
        <v>4731</v>
      </c>
      <c r="B2789" s="2">
        <v>108</v>
      </c>
      <c r="C2789" s="2">
        <v>11703287</v>
      </c>
      <c r="D2789" s="2" t="s">
        <v>2349</v>
      </c>
      <c r="E2789" s="2" t="s">
        <v>4732</v>
      </c>
      <c r="F2789" s="2" t="s">
        <v>14</v>
      </c>
      <c r="G2789" s="2" t="s">
        <v>15</v>
      </c>
      <c r="H2789" s="2">
        <v>10000000</v>
      </c>
      <c r="I2789" s="2">
        <v>7</v>
      </c>
      <c r="J2789" s="2">
        <f t="shared" si="20"/>
        <v>1703287</v>
      </c>
      <c r="K2789" s="2">
        <f t="shared" si="21"/>
        <v>-2.2670845125429027E-2</v>
      </c>
      <c r="L2789" s="2" t="str">
        <f>IF(ISNUMBER(SEARCH("|",IMDB_Movies!$D2789)),LEFT(IMDB_Movies!$D2789,SEARCH("|",IMDB_Movies!$D2789)-1),IMDB_Movies!$D2789)</f>
        <v>Adventure</v>
      </c>
      <c r="V2789" s="2"/>
      <c r="W2789" s="2"/>
    </row>
    <row r="2790" spans="1:23" ht="12.5" x14ac:dyDescent="0.25">
      <c r="A2790" s="2" t="s">
        <v>2500</v>
      </c>
      <c r="B2790" s="2">
        <v>87</v>
      </c>
      <c r="C2790" s="2">
        <v>11560259</v>
      </c>
      <c r="D2790" s="2" t="s">
        <v>600</v>
      </c>
      <c r="E2790" s="2" t="s">
        <v>4733</v>
      </c>
      <c r="F2790" s="2" t="s">
        <v>14</v>
      </c>
      <c r="G2790" s="2" t="s">
        <v>15</v>
      </c>
      <c r="H2790" s="2">
        <v>22000000</v>
      </c>
      <c r="I2790" s="2">
        <v>5.8</v>
      </c>
      <c r="J2790" s="2">
        <f t="shared" si="20"/>
        <v>-10439741</v>
      </c>
      <c r="K2790" s="2">
        <f t="shared" si="21"/>
        <v>-2.2672014296772E-2</v>
      </c>
      <c r="L2790" s="2" t="str">
        <f>IF(ISNUMBER(SEARCH("|",IMDB_Movies!$D2790)),LEFT(IMDB_Movies!$D2790,SEARCH("|",IMDB_Movies!$D2790)-1),IMDB_Movies!$D2790)</f>
        <v>Comedy</v>
      </c>
      <c r="V2790" s="2"/>
      <c r="W2790" s="2"/>
    </row>
    <row r="2791" spans="1:23" ht="12.5" x14ac:dyDescent="0.25">
      <c r="A2791" s="2" t="s">
        <v>4456</v>
      </c>
      <c r="B2791" s="2">
        <v>89</v>
      </c>
      <c r="C2791" s="2">
        <v>10824921</v>
      </c>
      <c r="D2791" s="2" t="s">
        <v>709</v>
      </c>
      <c r="E2791" s="2" t="s">
        <v>4734</v>
      </c>
      <c r="F2791" s="2" t="s">
        <v>14</v>
      </c>
      <c r="G2791" s="2" t="s">
        <v>15</v>
      </c>
      <c r="H2791" s="2">
        <v>10000000</v>
      </c>
      <c r="I2791" s="2">
        <v>7.8</v>
      </c>
      <c r="J2791" s="2">
        <f t="shared" si="20"/>
        <v>824921</v>
      </c>
      <c r="K2791" s="2">
        <f t="shared" si="21"/>
        <v>-2.2668568893735995E-2</v>
      </c>
      <c r="L2791" s="2" t="str">
        <f>IF(ISNUMBER(SEARCH("|",IMDB_Movies!$D2791)),LEFT(IMDB_Movies!$D2791,SEARCH("|",IMDB_Movies!$D2791)-1),IMDB_Movies!$D2791)</f>
        <v>Comedy</v>
      </c>
      <c r="V2791" s="2"/>
      <c r="W2791" s="2"/>
    </row>
    <row r="2792" spans="1:23" ht="12.5" x14ac:dyDescent="0.25">
      <c r="A2792" s="2" t="s">
        <v>4735</v>
      </c>
      <c r="B2792" s="2">
        <v>97</v>
      </c>
      <c r="C2792" s="2">
        <v>10561238</v>
      </c>
      <c r="D2792" s="2" t="s">
        <v>4736</v>
      </c>
      <c r="E2792" s="2" t="s">
        <v>4737</v>
      </c>
      <c r="F2792" s="2" t="s">
        <v>14</v>
      </c>
      <c r="G2792" s="2" t="s">
        <v>287</v>
      </c>
      <c r="H2792" s="2">
        <v>10000000</v>
      </c>
      <c r="I2792" s="2">
        <v>6.5</v>
      </c>
      <c r="J2792" s="2">
        <f t="shared" si="20"/>
        <v>561238</v>
      </c>
      <c r="K2792" s="2">
        <f t="shared" si="21"/>
        <v>-2.2670534216810003E-2</v>
      </c>
      <c r="L2792" s="2" t="str">
        <f>IF(ISNUMBER(SEARCH("|",IMDB_Movies!$D2792)),LEFT(IMDB_Movies!$D2792,SEARCH("|",IMDB_Movies!$D2792)-1),IMDB_Movies!$D2792)</f>
        <v>Comedy</v>
      </c>
      <c r="V2792" s="2"/>
      <c r="W2792" s="2"/>
    </row>
    <row r="2793" spans="1:23" ht="12.5" x14ac:dyDescent="0.25">
      <c r="A2793" s="2" t="s">
        <v>99</v>
      </c>
      <c r="B2793" s="2">
        <v>106</v>
      </c>
      <c r="C2793" s="2">
        <v>14479776</v>
      </c>
      <c r="D2793" s="2" t="s">
        <v>4738</v>
      </c>
      <c r="E2793" s="2" t="s">
        <v>4739</v>
      </c>
      <c r="F2793" s="2" t="s">
        <v>14</v>
      </c>
      <c r="G2793" s="2" t="s">
        <v>15</v>
      </c>
      <c r="H2793" s="2">
        <v>10000000</v>
      </c>
      <c r="I2793" s="2">
        <v>7</v>
      </c>
      <c r="J2793" s="2">
        <f t="shared" si="20"/>
        <v>4479776</v>
      </c>
      <c r="K2793" s="2">
        <f t="shared" si="21"/>
        <v>-2.2672747747585844E-2</v>
      </c>
      <c r="L2793" s="2" t="str">
        <f>IF(ISNUMBER(SEARCH("|",IMDB_Movies!$D2793)),LEFT(IMDB_Movies!$D2793,SEARCH("|",IMDB_Movies!$D2793)-1),IMDB_Movies!$D2793)</f>
        <v>Biography</v>
      </c>
      <c r="V2793" s="2"/>
      <c r="W2793" s="2"/>
    </row>
    <row r="2794" spans="1:23" ht="12.5" x14ac:dyDescent="0.25">
      <c r="A2794" s="2" t="s">
        <v>89</v>
      </c>
      <c r="B2794" s="2">
        <v>100</v>
      </c>
      <c r="C2794" s="2">
        <v>9801782</v>
      </c>
      <c r="D2794" s="2" t="s">
        <v>2009</v>
      </c>
      <c r="E2794" s="2" t="s">
        <v>4740</v>
      </c>
      <c r="F2794" s="2" t="s">
        <v>14</v>
      </c>
      <c r="G2794" s="2" t="s">
        <v>15</v>
      </c>
      <c r="H2794" s="2">
        <v>10000000</v>
      </c>
      <c r="I2794" s="2">
        <v>6.3</v>
      </c>
      <c r="J2794" s="2">
        <f t="shared" si="20"/>
        <v>-198218</v>
      </c>
      <c r="K2794" s="2">
        <f t="shared" si="21"/>
        <v>-2.267157625163636E-2</v>
      </c>
      <c r="L2794" s="2" t="str">
        <f>IF(ISNUMBER(SEARCH("|",IMDB_Movies!$D2794)),LEFT(IMDB_Movies!$D2794,SEARCH("|",IMDB_Movies!$D2794)-1),IMDB_Movies!$D2794)</f>
        <v>Comedy</v>
      </c>
      <c r="V2794" s="2"/>
      <c r="W2794" s="2"/>
    </row>
    <row r="2795" spans="1:23" ht="12.5" x14ac:dyDescent="0.25">
      <c r="A2795" s="2" t="s">
        <v>3939</v>
      </c>
      <c r="B2795" s="2">
        <v>89</v>
      </c>
      <c r="C2795" s="2">
        <v>8070311</v>
      </c>
      <c r="D2795" s="2" t="s">
        <v>600</v>
      </c>
      <c r="E2795" s="2" t="s">
        <v>4741</v>
      </c>
      <c r="F2795" s="2" t="s">
        <v>14</v>
      </c>
      <c r="G2795" s="2" t="s">
        <v>15</v>
      </c>
      <c r="H2795" s="2">
        <v>10000000</v>
      </c>
      <c r="I2795" s="2">
        <v>5.3</v>
      </c>
      <c r="J2795" s="2">
        <f t="shared" si="20"/>
        <v>-1929689</v>
      </c>
      <c r="K2795" s="2">
        <f t="shared" si="21"/>
        <v>-2.2674513069760271E-2</v>
      </c>
      <c r="L2795" s="2" t="str">
        <f>IF(ISNUMBER(SEARCH("|",IMDB_Movies!$D2795)),LEFT(IMDB_Movies!$D2795,SEARCH("|",IMDB_Movies!$D2795)-1),IMDB_Movies!$D2795)</f>
        <v>Comedy</v>
      </c>
      <c r="V2795" s="2"/>
      <c r="W2795" s="2"/>
    </row>
    <row r="2796" spans="1:23" ht="12.5" x14ac:dyDescent="0.25">
      <c r="A2796" s="2" t="s">
        <v>4742</v>
      </c>
      <c r="B2796" s="2">
        <v>95</v>
      </c>
      <c r="C2796" s="2">
        <v>8460995</v>
      </c>
      <c r="D2796" s="2" t="s">
        <v>517</v>
      </c>
      <c r="E2796" s="2" t="s">
        <v>4743</v>
      </c>
      <c r="F2796" s="2" t="s">
        <v>14</v>
      </c>
      <c r="G2796" s="2" t="s">
        <v>15</v>
      </c>
      <c r="H2796" s="2">
        <v>10000000</v>
      </c>
      <c r="I2796" s="2">
        <v>5.5</v>
      </c>
      <c r="J2796" s="2">
        <f t="shared" si="20"/>
        <v>-1539005</v>
      </c>
      <c r="K2796" s="2">
        <f t="shared" si="21"/>
        <v>-2.2679168039495792E-2</v>
      </c>
      <c r="L2796" s="2" t="str">
        <f>IF(ISNUMBER(SEARCH("|",IMDB_Movies!$D2796)),LEFT(IMDB_Movies!$D2796,SEARCH("|",IMDB_Movies!$D2796)-1),IMDB_Movies!$D2796)</f>
        <v>Action</v>
      </c>
      <c r="V2796" s="2"/>
      <c r="W2796" s="2"/>
    </row>
    <row r="2797" spans="1:23" ht="12.5" x14ac:dyDescent="0.25">
      <c r="A2797" s="2" t="s">
        <v>1900</v>
      </c>
      <c r="B2797" s="2">
        <v>97</v>
      </c>
      <c r="C2797" s="2">
        <v>8111360</v>
      </c>
      <c r="D2797" s="2" t="s">
        <v>763</v>
      </c>
      <c r="E2797" s="2" t="s">
        <v>4744</v>
      </c>
      <c r="F2797" s="2" t="s">
        <v>14</v>
      </c>
      <c r="G2797" s="2" t="s">
        <v>22</v>
      </c>
      <c r="H2797" s="2">
        <v>10000000</v>
      </c>
      <c r="I2797" s="2">
        <v>7.4</v>
      </c>
      <c r="J2797" s="2">
        <f t="shared" si="20"/>
        <v>-1888640</v>
      </c>
      <c r="K2797" s="2">
        <f t="shared" si="21"/>
        <v>-2.2683436909254919E-2</v>
      </c>
      <c r="L2797" s="2" t="str">
        <f>IF(ISNUMBER(SEARCH("|",IMDB_Movies!$D2797)),LEFT(IMDB_Movies!$D2797,SEARCH("|",IMDB_Movies!$D2797)-1),IMDB_Movies!$D2797)</f>
        <v>Crime</v>
      </c>
      <c r="V2797" s="2"/>
      <c r="W2797" s="2"/>
    </row>
    <row r="2798" spans="1:23" ht="12.5" x14ac:dyDescent="0.25">
      <c r="A2798" s="2" t="s">
        <v>2880</v>
      </c>
      <c r="B2798" s="2">
        <v>94</v>
      </c>
      <c r="C2798" s="2">
        <v>8828771</v>
      </c>
      <c r="D2798" s="2" t="s">
        <v>709</v>
      </c>
      <c r="E2798" s="2" t="s">
        <v>4745</v>
      </c>
      <c r="F2798" s="2" t="s">
        <v>14</v>
      </c>
      <c r="G2798" s="2" t="s">
        <v>15</v>
      </c>
      <c r="H2798" s="2">
        <v>6000000</v>
      </c>
      <c r="I2798" s="2">
        <v>4.3</v>
      </c>
      <c r="J2798" s="2">
        <f t="shared" si="20"/>
        <v>2828771</v>
      </c>
      <c r="K2798" s="2">
        <f t="shared" si="21"/>
        <v>-2.2688068779040681E-2</v>
      </c>
      <c r="L2798" s="2" t="str">
        <f>IF(ISNUMBER(SEARCH("|",IMDB_Movies!$D2798)),LEFT(IMDB_Movies!$D2798,SEARCH("|",IMDB_Movies!$D2798)-1),IMDB_Movies!$D2798)</f>
        <v>Comedy</v>
      </c>
      <c r="V2798" s="2"/>
      <c r="W2798" s="2"/>
    </row>
    <row r="2799" spans="1:23" ht="12.5" x14ac:dyDescent="0.25">
      <c r="A2799" s="2" t="s">
        <v>4746</v>
      </c>
      <c r="B2799" s="2">
        <v>95</v>
      </c>
      <c r="C2799" s="2">
        <v>7563670</v>
      </c>
      <c r="D2799" s="2" t="s">
        <v>1256</v>
      </c>
      <c r="E2799" s="2" t="s">
        <v>4747</v>
      </c>
      <c r="F2799" s="2" t="s">
        <v>14</v>
      </c>
      <c r="G2799" s="2" t="s">
        <v>15</v>
      </c>
      <c r="H2799" s="2">
        <v>10000000</v>
      </c>
      <c r="I2799" s="2">
        <v>5.2</v>
      </c>
      <c r="J2799" s="2">
        <f t="shared" si="20"/>
        <v>-2436330</v>
      </c>
      <c r="K2799" s="2">
        <f t="shared" si="21"/>
        <v>-2.2696565391175778E-2</v>
      </c>
      <c r="L2799" s="2" t="str">
        <f>IF(ISNUMBER(SEARCH("|",IMDB_Movies!$D2799)),LEFT(IMDB_Movies!$D2799,SEARCH("|",IMDB_Movies!$D2799)-1),IMDB_Movies!$D2799)</f>
        <v>Comedy</v>
      </c>
      <c r="V2799" s="2"/>
      <c r="W2799" s="2"/>
    </row>
    <row r="2800" spans="1:23" ht="12.5" x14ac:dyDescent="0.25">
      <c r="A2800" s="2" t="s">
        <v>4748</v>
      </c>
      <c r="B2800" s="2">
        <v>101</v>
      </c>
      <c r="C2800" s="2">
        <v>6619173</v>
      </c>
      <c r="D2800" s="2" t="s">
        <v>4749</v>
      </c>
      <c r="E2800" s="2" t="s">
        <v>4750</v>
      </c>
      <c r="F2800" s="2" t="s">
        <v>14</v>
      </c>
      <c r="G2800" s="2" t="s">
        <v>15</v>
      </c>
      <c r="H2800" s="2">
        <v>10000000</v>
      </c>
      <c r="I2800" s="2">
        <v>6.7</v>
      </c>
      <c r="J2800" s="2">
        <f t="shared" si="20"/>
        <v>-3380827</v>
      </c>
      <c r="K2800" s="2">
        <f t="shared" si="21"/>
        <v>-2.2701786160527062E-2</v>
      </c>
      <c r="L2800" s="2" t="str">
        <f>IF(ISNUMBER(SEARCH("|",IMDB_Movies!$D2800)),LEFT(IMDB_Movies!$D2800,SEARCH("|",IMDB_Movies!$D2800)-1),IMDB_Movies!$D2800)</f>
        <v>Adventure</v>
      </c>
      <c r="V2800" s="2"/>
      <c r="W2800" s="2"/>
    </row>
    <row r="2801" spans="1:23" ht="12.5" x14ac:dyDescent="0.25">
      <c r="A2801" s="2" t="s">
        <v>4751</v>
      </c>
      <c r="B2801" s="2">
        <v>101</v>
      </c>
      <c r="C2801" s="2">
        <v>6712241</v>
      </c>
      <c r="D2801" s="2" t="s">
        <v>694</v>
      </c>
      <c r="E2801" s="2" t="s">
        <v>4752</v>
      </c>
      <c r="F2801" s="2" t="s">
        <v>14</v>
      </c>
      <c r="G2801" s="2" t="s">
        <v>15</v>
      </c>
      <c r="H2801" s="2">
        <v>7500000</v>
      </c>
      <c r="I2801" s="2">
        <v>8.6</v>
      </c>
      <c r="J2801" s="2">
        <f t="shared" si="20"/>
        <v>-787759</v>
      </c>
      <c r="K2801" s="2">
        <f t="shared" si="21"/>
        <v>-2.2708017322308441E-2</v>
      </c>
      <c r="L2801" s="2" t="str">
        <f>IF(ISNUMBER(SEARCH("|",IMDB_Movies!$D2801)),LEFT(IMDB_Movies!$D2801,SEARCH("|",IMDB_Movies!$D2801)-1),IMDB_Movies!$D2801)</f>
        <v>Crime</v>
      </c>
      <c r="V2801" s="2"/>
      <c r="W2801" s="2"/>
    </row>
    <row r="2802" spans="1:23" ht="12.5" x14ac:dyDescent="0.25">
      <c r="A2802" s="2" t="s">
        <v>4753</v>
      </c>
      <c r="B2802" s="2">
        <v>82</v>
      </c>
      <c r="C2802" s="2">
        <v>6842058</v>
      </c>
      <c r="D2802" s="2" t="s">
        <v>1667</v>
      </c>
      <c r="E2802" s="2" t="s">
        <v>4754</v>
      </c>
      <c r="F2802" s="2" t="s">
        <v>14</v>
      </c>
      <c r="G2802" s="2" t="s">
        <v>15</v>
      </c>
      <c r="H2802" s="2">
        <v>10000000</v>
      </c>
      <c r="I2802" s="2">
        <v>6.1</v>
      </c>
      <c r="J2802" s="2">
        <f t="shared" si="20"/>
        <v>-3157942</v>
      </c>
      <c r="K2802" s="2">
        <f t="shared" si="21"/>
        <v>-2.2718454841395699E-2</v>
      </c>
      <c r="L2802" s="2" t="str">
        <f>IF(ISNUMBER(SEARCH("|",IMDB_Movies!$D2802)),LEFT(IMDB_Movies!$D2802,SEARCH("|",IMDB_Movies!$D2802)-1),IMDB_Movies!$D2802)</f>
        <v>Action</v>
      </c>
      <c r="V2802" s="2"/>
      <c r="W2802" s="2"/>
    </row>
    <row r="2803" spans="1:23" ht="12.5" x14ac:dyDescent="0.25">
      <c r="A2803" s="2" t="s">
        <v>4755</v>
      </c>
      <c r="B2803" s="2">
        <v>74</v>
      </c>
      <c r="C2803" s="2">
        <v>6491350</v>
      </c>
      <c r="D2803" s="2" t="s">
        <v>2647</v>
      </c>
      <c r="E2803" s="2" t="s">
        <v>4756</v>
      </c>
      <c r="F2803" s="2" t="s">
        <v>14</v>
      </c>
      <c r="G2803" s="2" t="s">
        <v>15</v>
      </c>
      <c r="H2803" s="2">
        <v>10000000</v>
      </c>
      <c r="I2803" s="2">
        <v>5.8</v>
      </c>
      <c r="J2803" s="2">
        <f t="shared" si="20"/>
        <v>-3508650</v>
      </c>
      <c r="K2803" s="2">
        <f t="shared" si="21"/>
        <v>-2.2724477287479831E-2</v>
      </c>
      <c r="L2803" s="2" t="str">
        <f>IF(ISNUMBER(SEARCH("|",IMDB_Movies!$D2803)),LEFT(IMDB_Movies!$D2803,SEARCH("|",IMDB_Movies!$D2803)-1),IMDB_Movies!$D2803)</f>
        <v>Animation</v>
      </c>
      <c r="V2803" s="2"/>
      <c r="W2803" s="2"/>
    </row>
    <row r="2804" spans="1:23" ht="12.5" x14ac:dyDescent="0.25">
      <c r="A2804" s="2" t="s">
        <v>4757</v>
      </c>
      <c r="B2804" s="2">
        <v>130</v>
      </c>
      <c r="C2804" s="2">
        <v>9473382</v>
      </c>
      <c r="D2804" s="2" t="s">
        <v>4758</v>
      </c>
      <c r="E2804" s="2" t="s">
        <v>4759</v>
      </c>
      <c r="F2804" s="2" t="s">
        <v>1006</v>
      </c>
      <c r="G2804" s="2" t="s">
        <v>104</v>
      </c>
      <c r="H2804" s="2">
        <v>10000000</v>
      </c>
      <c r="I2804" s="2">
        <v>7.7</v>
      </c>
      <c r="J2804" s="2">
        <f t="shared" si="20"/>
        <v>-526618</v>
      </c>
      <c r="K2804" s="2">
        <f t="shared" si="21"/>
        <v>-2.2730890091560461E-2</v>
      </c>
      <c r="L2804" s="2" t="str">
        <f>IF(ISNUMBER(SEARCH("|",IMDB_Movies!$D2804)),LEFT(IMDB_Movies!$D2804,SEARCH("|",IMDB_Movies!$D2804)-1),IMDB_Movies!$D2804)</f>
        <v>Drama</v>
      </c>
      <c r="V2804" s="2"/>
      <c r="W2804" s="2"/>
    </row>
    <row r="2805" spans="1:23" ht="12.5" x14ac:dyDescent="0.25">
      <c r="A2805" s="2" t="s">
        <v>1976</v>
      </c>
      <c r="B2805" s="2">
        <v>112</v>
      </c>
      <c r="C2805" s="2">
        <v>6197866</v>
      </c>
      <c r="D2805" s="2" t="s">
        <v>555</v>
      </c>
      <c r="E2805" s="2" t="s">
        <v>4760</v>
      </c>
      <c r="F2805" s="2" t="s">
        <v>14</v>
      </c>
      <c r="G2805" s="2" t="s">
        <v>686</v>
      </c>
      <c r="H2805" s="2">
        <v>10000000</v>
      </c>
      <c r="I2805" s="2">
        <v>8</v>
      </c>
      <c r="J2805" s="2">
        <f t="shared" si="20"/>
        <v>-3802134</v>
      </c>
      <c r="K2805" s="2">
        <f t="shared" si="21"/>
        <v>-2.2734234996068779E-2</v>
      </c>
      <c r="L2805" s="2" t="str">
        <f>IF(ISNUMBER(SEARCH("|",IMDB_Movies!$D2805)),LEFT(IMDB_Movies!$D2805,SEARCH("|",IMDB_Movies!$D2805)-1),IMDB_Movies!$D2805)</f>
        <v>Biography</v>
      </c>
      <c r="V2805" s="2"/>
      <c r="W2805" s="2"/>
    </row>
    <row r="2806" spans="1:23" ht="12.5" x14ac:dyDescent="0.25">
      <c r="A2806" s="2" t="s">
        <v>4761</v>
      </c>
      <c r="B2806" s="2">
        <v>96</v>
      </c>
      <c r="C2806" s="2">
        <v>6044618</v>
      </c>
      <c r="D2806" s="2" t="s">
        <v>4762</v>
      </c>
      <c r="E2806" s="2" t="s">
        <v>4763</v>
      </c>
      <c r="F2806" s="2" t="s">
        <v>14</v>
      </c>
      <c r="G2806" s="2" t="s">
        <v>15</v>
      </c>
      <c r="H2806" s="2">
        <v>10000000</v>
      </c>
      <c r="I2806" s="2">
        <v>5.6</v>
      </c>
      <c r="J2806" s="2">
        <f t="shared" si="20"/>
        <v>-3955382</v>
      </c>
      <c r="K2806" s="2">
        <f t="shared" si="21"/>
        <v>-2.2740991274832301E-2</v>
      </c>
      <c r="L2806" s="2" t="str">
        <f>IF(ISNUMBER(SEARCH("|",IMDB_Movies!$D2806)),LEFT(IMDB_Movies!$D2806,SEARCH("|",IMDB_Movies!$D2806)-1),IMDB_Movies!$D2806)</f>
        <v>Action</v>
      </c>
      <c r="V2806" s="2"/>
      <c r="W2806" s="2"/>
    </row>
    <row r="2807" spans="1:23" ht="12.5" x14ac:dyDescent="0.25">
      <c r="A2807" s="2" t="s">
        <v>4764</v>
      </c>
      <c r="B2807" s="2">
        <v>89</v>
      </c>
      <c r="C2807" s="2">
        <v>7764027</v>
      </c>
      <c r="D2807" s="2" t="s">
        <v>891</v>
      </c>
      <c r="E2807" s="2" t="s">
        <v>4765</v>
      </c>
      <c r="F2807" s="2" t="s">
        <v>14</v>
      </c>
      <c r="G2807" s="2" t="s">
        <v>15</v>
      </c>
      <c r="H2807" s="2">
        <v>10000000</v>
      </c>
      <c r="I2807" s="2">
        <v>6.7</v>
      </c>
      <c r="J2807" s="2">
        <f t="shared" ref="J2807:J3061" si="22">(C2807-H2807)</f>
        <v>-2235973</v>
      </c>
      <c r="K2807" s="2">
        <f t="shared" si="21"/>
        <v>-2.2747930299247689E-2</v>
      </c>
      <c r="L2807" s="2" t="str">
        <f>IF(ISNUMBER(SEARCH("|",IMDB_Movies!$D2807)),LEFT(IMDB_Movies!$D2807,SEARCH("|",IMDB_Movies!$D2807)-1),IMDB_Movies!$D2807)</f>
        <v>Comedy</v>
      </c>
      <c r="V2807" s="2"/>
      <c r="W2807" s="2"/>
    </row>
    <row r="2808" spans="1:23" ht="12.5" x14ac:dyDescent="0.25">
      <c r="A2808" s="2" t="s">
        <v>3568</v>
      </c>
      <c r="B2808" s="2">
        <v>121</v>
      </c>
      <c r="C2808" s="2">
        <v>21569041</v>
      </c>
      <c r="D2808" s="2" t="s">
        <v>1180</v>
      </c>
      <c r="E2808" s="2" t="s">
        <v>4766</v>
      </c>
      <c r="F2808" s="2" t="s">
        <v>14</v>
      </c>
      <c r="G2808" s="2" t="s">
        <v>15</v>
      </c>
      <c r="H2808" s="2">
        <v>9000000</v>
      </c>
      <c r="I2808" s="2">
        <v>6.6</v>
      </c>
      <c r="J2808" s="2">
        <f t="shared" si="22"/>
        <v>12569041</v>
      </c>
      <c r="K2808" s="2">
        <f t="shared" ref="K2808:K3062" si="23">CORREL(H2808:H6593,C2808:C6593)</f>
        <v>-2.2753037956969275E-2</v>
      </c>
      <c r="L2808" s="2" t="str">
        <f>IF(ISNUMBER(SEARCH("|",IMDB_Movies!$D2808)),LEFT(IMDB_Movies!$D2808,SEARCH("|",IMDB_Movies!$D2808)-1),IMDB_Movies!$D2808)</f>
        <v>Drama</v>
      </c>
      <c r="V2808" s="2"/>
      <c r="W2808" s="2"/>
    </row>
    <row r="2809" spans="1:23" ht="12.5" x14ac:dyDescent="0.25">
      <c r="A2809" s="2" t="s">
        <v>4767</v>
      </c>
      <c r="B2809" s="2">
        <v>85</v>
      </c>
      <c r="C2809" s="2">
        <v>4356743</v>
      </c>
      <c r="D2809" s="2" t="s">
        <v>955</v>
      </c>
      <c r="E2809" s="2" t="s">
        <v>4768</v>
      </c>
      <c r="F2809" s="2" t="s">
        <v>14</v>
      </c>
      <c r="G2809" s="2" t="s">
        <v>15</v>
      </c>
      <c r="H2809" s="2">
        <v>16000000</v>
      </c>
      <c r="I2809" s="2">
        <v>4.0999999999999996</v>
      </c>
      <c r="J2809" s="2">
        <f t="shared" si="22"/>
        <v>-11643257</v>
      </c>
      <c r="K2809" s="2">
        <f t="shared" si="23"/>
        <v>-2.2744716476905753E-2</v>
      </c>
      <c r="L2809" s="2" t="str">
        <f>IF(ISNUMBER(SEARCH("|",IMDB_Movies!$D2809)),LEFT(IMDB_Movies!$D2809,SEARCH("|",IMDB_Movies!$D2809)-1),IMDB_Movies!$D2809)</f>
        <v>Comedy</v>
      </c>
      <c r="V2809" s="2"/>
      <c r="W2809" s="2"/>
    </row>
    <row r="2810" spans="1:23" ht="12.5" x14ac:dyDescent="0.25">
      <c r="A2810" s="2" t="s">
        <v>3252</v>
      </c>
      <c r="B2810" s="2">
        <v>120</v>
      </c>
      <c r="C2810" s="2">
        <v>5484375</v>
      </c>
      <c r="D2810" s="2" t="s">
        <v>4769</v>
      </c>
      <c r="E2810" s="2" t="s">
        <v>4770</v>
      </c>
      <c r="F2810" s="2" t="s">
        <v>14</v>
      </c>
      <c r="G2810" s="2" t="s">
        <v>15</v>
      </c>
      <c r="H2810" s="2">
        <v>10000000</v>
      </c>
      <c r="I2810" s="2">
        <v>7.3</v>
      </c>
      <c r="J2810" s="2">
        <f t="shared" si="22"/>
        <v>-4515625</v>
      </c>
      <c r="K2810" s="2">
        <f t="shared" si="23"/>
        <v>-2.2739460561080241E-2</v>
      </c>
      <c r="L2810" s="2" t="str">
        <f>IF(ISNUMBER(SEARCH("|",IMDB_Movies!$D2810)),LEFT(IMDB_Movies!$D2810,SEARCH("|",IMDB_Movies!$D2810)-1),IMDB_Movies!$D2810)</f>
        <v>Adventure</v>
      </c>
      <c r="V2810" s="2"/>
      <c r="W2810" s="2"/>
    </row>
    <row r="2811" spans="1:23" ht="12.5" x14ac:dyDescent="0.25">
      <c r="A2811" s="2" t="s">
        <v>4771</v>
      </c>
      <c r="B2811" s="2">
        <v>106</v>
      </c>
      <c r="C2811" s="2">
        <v>5348317</v>
      </c>
      <c r="D2811" s="2" t="s">
        <v>2912</v>
      </c>
      <c r="E2811" s="2" t="s">
        <v>4772</v>
      </c>
      <c r="F2811" s="2" t="s">
        <v>14</v>
      </c>
      <c r="G2811" s="2" t="s">
        <v>15</v>
      </c>
      <c r="H2811" s="2">
        <v>10000000</v>
      </c>
      <c r="I2811" s="2">
        <v>7.1</v>
      </c>
      <c r="J2811" s="2">
        <f t="shared" si="22"/>
        <v>-4651683</v>
      </c>
      <c r="K2811" s="2">
        <f t="shared" si="23"/>
        <v>-2.2747054671800743E-2</v>
      </c>
      <c r="L2811" s="2" t="str">
        <f>IF(ISNUMBER(SEARCH("|",IMDB_Movies!$D2811)),LEFT(IMDB_Movies!$D2811,SEARCH("|",IMDB_Movies!$D2811)-1),IMDB_Movies!$D2811)</f>
        <v>Comedy</v>
      </c>
      <c r="V2811" s="2"/>
      <c r="W2811" s="2"/>
    </row>
    <row r="2812" spans="1:23" ht="12.5" x14ac:dyDescent="0.25">
      <c r="A2812" s="2" t="s">
        <v>4773</v>
      </c>
      <c r="B2812" s="2">
        <v>83</v>
      </c>
      <c r="C2812" s="2">
        <v>4244155</v>
      </c>
      <c r="D2812" s="2" t="s">
        <v>891</v>
      </c>
      <c r="E2812" s="2" t="s">
        <v>4774</v>
      </c>
      <c r="F2812" s="2" t="s">
        <v>14</v>
      </c>
      <c r="G2812" s="2" t="s">
        <v>15</v>
      </c>
      <c r="H2812" s="2">
        <v>10000000</v>
      </c>
      <c r="I2812" s="2">
        <v>6.5</v>
      </c>
      <c r="J2812" s="2">
        <f t="shared" si="22"/>
        <v>-5755845</v>
      </c>
      <c r="K2812" s="2">
        <f t="shared" si="23"/>
        <v>-2.2754818458382481E-2</v>
      </c>
      <c r="L2812" s="2" t="str">
        <f>IF(ISNUMBER(SEARCH("|",IMDB_Movies!$D2812)),LEFT(IMDB_Movies!$D2812,SEARCH("|",IMDB_Movies!$D2812)-1),IMDB_Movies!$D2812)</f>
        <v>Comedy</v>
      </c>
      <c r="V2812" s="2"/>
      <c r="W2812" s="2"/>
    </row>
    <row r="2813" spans="1:23" ht="12.5" x14ac:dyDescent="0.25">
      <c r="A2813" s="2" t="s">
        <v>4775</v>
      </c>
      <c r="B2813" s="2">
        <v>120</v>
      </c>
      <c r="C2813" s="2">
        <v>5004648</v>
      </c>
      <c r="D2813" s="2" t="s">
        <v>85</v>
      </c>
      <c r="E2813" s="2" t="s">
        <v>4776</v>
      </c>
      <c r="F2813" s="2" t="s">
        <v>3189</v>
      </c>
      <c r="G2813" s="2" t="s">
        <v>2862</v>
      </c>
      <c r="H2813" s="2">
        <v>10000000</v>
      </c>
      <c r="I2813" s="2">
        <v>7</v>
      </c>
      <c r="J2813" s="2">
        <f t="shared" si="22"/>
        <v>-4995352</v>
      </c>
      <c r="K2813" s="2">
        <f t="shared" si="23"/>
        <v>-2.2763868720382767E-2</v>
      </c>
      <c r="L2813" s="2" t="str">
        <f>IF(ISNUMBER(SEARCH("|",IMDB_Movies!$D2813)),LEFT(IMDB_Movies!$D2813,SEARCH("|",IMDB_Movies!$D2813)-1),IMDB_Movies!$D2813)</f>
        <v>Drama</v>
      </c>
      <c r="V2813" s="2"/>
      <c r="W2813" s="2"/>
    </row>
    <row r="2814" spans="1:23" ht="12.5" x14ac:dyDescent="0.25">
      <c r="A2814" s="2" t="s">
        <v>4777</v>
      </c>
      <c r="B2814" s="2">
        <v>111</v>
      </c>
      <c r="C2814" s="2">
        <v>3333823</v>
      </c>
      <c r="D2814" s="2" t="s">
        <v>1878</v>
      </c>
      <c r="E2814" s="2" t="s">
        <v>4778</v>
      </c>
      <c r="F2814" s="2" t="s">
        <v>14</v>
      </c>
      <c r="G2814" s="2" t="s">
        <v>15</v>
      </c>
      <c r="H2814" s="2">
        <v>10000000</v>
      </c>
      <c r="I2814" s="2">
        <v>5.5</v>
      </c>
      <c r="J2814" s="2">
        <f t="shared" si="22"/>
        <v>-6666177</v>
      </c>
      <c r="K2814" s="2">
        <f t="shared" si="23"/>
        <v>-2.2772058618680709E-2</v>
      </c>
      <c r="L2814" s="2" t="str">
        <f>IF(ISNUMBER(SEARCH("|",IMDB_Movies!$D2814)),LEFT(IMDB_Movies!$D2814,SEARCH("|",IMDB_Movies!$D2814)-1),IMDB_Movies!$D2814)</f>
        <v>Drama</v>
      </c>
      <c r="V2814" s="2"/>
      <c r="W2814" s="2"/>
    </row>
    <row r="2815" spans="1:23" ht="12.5" x14ac:dyDescent="0.25">
      <c r="A2815" s="2" t="s">
        <v>4779</v>
      </c>
      <c r="B2815" s="2">
        <v>100</v>
      </c>
      <c r="C2815" s="2">
        <v>3275585</v>
      </c>
      <c r="D2815" s="2" t="s">
        <v>177</v>
      </c>
      <c r="E2815" s="2" t="s">
        <v>4780</v>
      </c>
      <c r="F2815" s="2" t="s">
        <v>14</v>
      </c>
      <c r="G2815" s="2" t="s">
        <v>22</v>
      </c>
      <c r="H2815" s="2">
        <v>11500000</v>
      </c>
      <c r="I2815" s="2">
        <v>6.6</v>
      </c>
      <c r="J2815" s="2">
        <f t="shared" si="22"/>
        <v>-8224415</v>
      </c>
      <c r="K2815" s="2">
        <f t="shared" si="23"/>
        <v>-2.2782228207126307E-2</v>
      </c>
      <c r="L2815" s="2" t="str">
        <f>IF(ISNUMBER(SEARCH("|",IMDB_Movies!$D2815)),LEFT(IMDB_Movies!$D2815,SEARCH("|",IMDB_Movies!$D2815)-1),IMDB_Movies!$D2815)</f>
        <v>Action</v>
      </c>
      <c r="V2815" s="2"/>
      <c r="W2815" s="2"/>
    </row>
    <row r="2816" spans="1:23" ht="12.5" x14ac:dyDescent="0.25">
      <c r="A2816" s="2" t="s">
        <v>549</v>
      </c>
      <c r="B2816" s="2">
        <v>89</v>
      </c>
      <c r="C2816" s="2">
        <v>3193102</v>
      </c>
      <c r="D2816" s="2" t="s">
        <v>770</v>
      </c>
      <c r="E2816" s="2" t="s">
        <v>4781</v>
      </c>
      <c r="F2816" s="2" t="s">
        <v>14</v>
      </c>
      <c r="G2816" s="2" t="s">
        <v>15</v>
      </c>
      <c r="H2816" s="2">
        <v>9000000</v>
      </c>
      <c r="I2816" s="2">
        <v>7.1</v>
      </c>
      <c r="J2816" s="2">
        <f t="shared" si="22"/>
        <v>-5806898</v>
      </c>
      <c r="K2816" s="2">
        <f t="shared" si="23"/>
        <v>-2.278849439882474E-2</v>
      </c>
      <c r="L2816" s="2" t="str">
        <f>IF(ISNUMBER(SEARCH("|",IMDB_Movies!$D2816)),LEFT(IMDB_Movies!$D2816,SEARCH("|",IMDB_Movies!$D2816)-1),IMDB_Movies!$D2816)</f>
        <v>Crime</v>
      </c>
      <c r="V2816" s="2"/>
      <c r="W2816" s="2"/>
    </row>
    <row r="2817" spans="1:23" ht="12.5" x14ac:dyDescent="0.25">
      <c r="A2817" s="2" t="s">
        <v>2810</v>
      </c>
      <c r="B2817" s="2">
        <v>115</v>
      </c>
      <c r="C2817" s="2">
        <v>54557348</v>
      </c>
      <c r="D2817" s="2" t="s">
        <v>763</v>
      </c>
      <c r="E2817" s="2" t="s">
        <v>4782</v>
      </c>
      <c r="F2817" s="2" t="s">
        <v>14</v>
      </c>
      <c r="G2817" s="2" t="s">
        <v>287</v>
      </c>
      <c r="H2817" s="2">
        <v>6500000</v>
      </c>
      <c r="I2817" s="2">
        <v>7.9</v>
      </c>
      <c r="J2817" s="2">
        <f t="shared" si="22"/>
        <v>48057348</v>
      </c>
      <c r="K2817" s="2">
        <f t="shared" si="23"/>
        <v>-2.2801565387377713E-2</v>
      </c>
      <c r="L2817" s="2" t="str">
        <f>IF(ISNUMBER(SEARCH("|",IMDB_Movies!$D2817)),LEFT(IMDB_Movies!$D2817,SEARCH("|",IMDB_Movies!$D2817)-1),IMDB_Movies!$D2817)</f>
        <v>Crime</v>
      </c>
      <c r="V2817" s="2"/>
      <c r="W2817" s="2"/>
    </row>
    <row r="2818" spans="1:23" ht="12.5" x14ac:dyDescent="0.25">
      <c r="A2818" s="2" t="s">
        <v>4783</v>
      </c>
      <c r="B2818" s="2">
        <v>135</v>
      </c>
      <c r="C2818" s="2">
        <v>3041803</v>
      </c>
      <c r="D2818" s="2" t="s">
        <v>85</v>
      </c>
      <c r="E2818" s="2" t="s">
        <v>4784</v>
      </c>
      <c r="F2818" s="2" t="s">
        <v>14</v>
      </c>
      <c r="G2818" s="2" t="s">
        <v>22</v>
      </c>
      <c r="H2818" s="2">
        <v>10000000</v>
      </c>
      <c r="I2818" s="2">
        <v>7.1</v>
      </c>
      <c r="J2818" s="2">
        <f t="shared" si="22"/>
        <v>-6958197</v>
      </c>
      <c r="K2818" s="2">
        <f t="shared" si="23"/>
        <v>-2.2755998472354714E-2</v>
      </c>
      <c r="L2818" s="2" t="str">
        <f>IF(ISNUMBER(SEARCH("|",IMDB_Movies!$D2818)),LEFT(IMDB_Movies!$D2818,SEARCH("|",IMDB_Movies!$D2818)-1),IMDB_Movies!$D2818)</f>
        <v>Drama</v>
      </c>
      <c r="V2818" s="2"/>
      <c r="W2818" s="2"/>
    </row>
    <row r="2819" spans="1:23" ht="12.5" x14ac:dyDescent="0.25">
      <c r="A2819" s="2" t="s">
        <v>4785</v>
      </c>
      <c r="B2819" s="2">
        <v>92</v>
      </c>
      <c r="C2819" s="2">
        <v>3060858</v>
      </c>
      <c r="D2819" s="2" t="s">
        <v>342</v>
      </c>
      <c r="E2819" s="2" t="s">
        <v>4786</v>
      </c>
      <c r="F2819" s="2" t="s">
        <v>14</v>
      </c>
      <c r="G2819" s="2" t="s">
        <v>15</v>
      </c>
      <c r="H2819" s="2">
        <v>10000000</v>
      </c>
      <c r="I2819" s="2">
        <v>5.6</v>
      </c>
      <c r="J2819" s="2">
        <f t="shared" si="22"/>
        <v>-6939142</v>
      </c>
      <c r="K2819" s="2">
        <f t="shared" si="23"/>
        <v>-2.2766568104923862E-2</v>
      </c>
      <c r="L2819" s="2" t="str">
        <f>IF(ISNUMBER(SEARCH("|",IMDB_Movies!$D2819)),LEFT(IMDB_Movies!$D2819,SEARCH("|",IMDB_Movies!$D2819)-1),IMDB_Movies!$D2819)</f>
        <v>Action</v>
      </c>
      <c r="V2819" s="2"/>
      <c r="W2819" s="2"/>
    </row>
    <row r="2820" spans="1:23" ht="12.5" x14ac:dyDescent="0.25">
      <c r="A2820" s="2" t="s">
        <v>3127</v>
      </c>
      <c r="B2820" s="2">
        <v>120</v>
      </c>
      <c r="C2820" s="2">
        <v>1055654</v>
      </c>
      <c r="D2820" s="2" t="s">
        <v>1672</v>
      </c>
      <c r="E2820" s="2" t="s">
        <v>4787</v>
      </c>
      <c r="F2820" s="2" t="s">
        <v>14</v>
      </c>
      <c r="G2820" s="2" t="s">
        <v>287</v>
      </c>
      <c r="H2820" s="2">
        <v>10000000</v>
      </c>
      <c r="I2820" s="2">
        <v>7.3</v>
      </c>
      <c r="J2820" s="2">
        <f t="shared" si="22"/>
        <v>-8944346</v>
      </c>
      <c r="K2820" s="2">
        <f t="shared" si="23"/>
        <v>-2.2777138096559971E-2</v>
      </c>
      <c r="L2820" s="2" t="str">
        <f>IF(ISNUMBER(SEARCH("|",IMDB_Movies!$D2820)),LEFT(IMDB_Movies!$D2820,SEARCH("|",IMDB_Movies!$D2820)-1),IMDB_Movies!$D2820)</f>
        <v>Drama</v>
      </c>
      <c r="V2820" s="2"/>
      <c r="W2820" s="2"/>
    </row>
    <row r="2821" spans="1:23" ht="12.5" x14ac:dyDescent="0.25">
      <c r="A2821" s="2" t="s">
        <v>4788</v>
      </c>
      <c r="B2821" s="2">
        <v>97</v>
      </c>
      <c r="C2821" s="2">
        <v>2331318</v>
      </c>
      <c r="D2821" s="2" t="s">
        <v>709</v>
      </c>
      <c r="E2821" s="2" t="s">
        <v>4789</v>
      </c>
      <c r="F2821" s="2" t="s">
        <v>14</v>
      </c>
      <c r="G2821" s="2" t="s">
        <v>15</v>
      </c>
      <c r="H2821" s="2">
        <v>10000000</v>
      </c>
      <c r="I2821" s="2">
        <v>3.3</v>
      </c>
      <c r="J2821" s="2">
        <f t="shared" si="22"/>
        <v>-7668682</v>
      </c>
      <c r="K2821" s="2">
        <f t="shared" si="23"/>
        <v>-2.2790250242250332E-2</v>
      </c>
      <c r="L2821" s="2" t="str">
        <f>IF(ISNUMBER(SEARCH("|",IMDB_Movies!$D2821)),LEFT(IMDB_Movies!$D2821,SEARCH("|",IMDB_Movies!$D2821)-1),IMDB_Movies!$D2821)</f>
        <v>Comedy</v>
      </c>
      <c r="V2821" s="2"/>
      <c r="W2821" s="2"/>
    </row>
    <row r="2822" spans="1:23" ht="12.5" x14ac:dyDescent="0.25">
      <c r="A2822" s="2" t="s">
        <v>1725</v>
      </c>
      <c r="B2822" s="2">
        <v>135</v>
      </c>
      <c r="C2822" s="2">
        <v>2185266</v>
      </c>
      <c r="D2822" s="2" t="s">
        <v>2912</v>
      </c>
      <c r="E2822" s="2" t="s">
        <v>4790</v>
      </c>
      <c r="F2822" s="2" t="s">
        <v>14</v>
      </c>
      <c r="G2822" s="2" t="s">
        <v>15</v>
      </c>
      <c r="H2822" s="2">
        <v>10000000</v>
      </c>
      <c r="I2822" s="2">
        <v>6.5</v>
      </c>
      <c r="J2822" s="2">
        <f t="shared" si="22"/>
        <v>-7814734</v>
      </c>
      <c r="K2822" s="2">
        <f t="shared" si="23"/>
        <v>-2.2801772253390154E-2</v>
      </c>
      <c r="L2822" s="2" t="str">
        <f>IF(ISNUMBER(SEARCH("|",IMDB_Movies!$D2822)),LEFT(IMDB_Movies!$D2822,SEARCH("|",IMDB_Movies!$D2822)-1),IMDB_Movies!$D2822)</f>
        <v>Comedy</v>
      </c>
      <c r="V2822" s="2"/>
      <c r="W2822" s="2"/>
    </row>
    <row r="2823" spans="1:23" ht="12.5" x14ac:dyDescent="0.25">
      <c r="A2823" s="2" t="s">
        <v>4791</v>
      </c>
      <c r="B2823" s="2">
        <v>93</v>
      </c>
      <c r="C2823" s="2">
        <v>26583369</v>
      </c>
      <c r="D2823" s="2" t="s">
        <v>1050</v>
      </c>
      <c r="E2823" s="2" t="s">
        <v>4792</v>
      </c>
      <c r="F2823" s="2" t="s">
        <v>14</v>
      </c>
      <c r="G2823" s="2" t="s">
        <v>15</v>
      </c>
      <c r="H2823" s="2">
        <v>10000000</v>
      </c>
      <c r="I2823" s="2">
        <v>4.8</v>
      </c>
      <c r="J2823" s="2">
        <f t="shared" si="22"/>
        <v>16583369</v>
      </c>
      <c r="K2823" s="2">
        <f t="shared" si="23"/>
        <v>-2.2813503307871279E-2</v>
      </c>
      <c r="L2823" s="2" t="str">
        <f>IF(ISNUMBER(SEARCH("|",IMDB_Movies!$D2823)),LEFT(IMDB_Movies!$D2823,SEARCH("|",IMDB_Movies!$D2823)-1),IMDB_Movies!$D2823)</f>
        <v>Horror</v>
      </c>
      <c r="V2823" s="2"/>
      <c r="W2823" s="2"/>
    </row>
    <row r="2824" spans="1:23" ht="12.5" x14ac:dyDescent="0.25">
      <c r="A2824" s="2" t="s">
        <v>4793</v>
      </c>
      <c r="B2824" s="2">
        <v>118</v>
      </c>
      <c r="C2824" s="2">
        <v>800000</v>
      </c>
      <c r="D2824" s="2" t="s">
        <v>4264</v>
      </c>
      <c r="E2824" s="2" t="s">
        <v>4794</v>
      </c>
      <c r="F2824" s="2" t="s">
        <v>14</v>
      </c>
      <c r="G2824" s="2" t="s">
        <v>15</v>
      </c>
      <c r="H2824" s="2">
        <v>14000000</v>
      </c>
      <c r="I2824" s="2">
        <v>5.2</v>
      </c>
      <c r="J2824" s="2">
        <f t="shared" si="22"/>
        <v>-13200000</v>
      </c>
      <c r="K2824" s="2">
        <f t="shared" si="23"/>
        <v>-2.2804857680967915E-2</v>
      </c>
      <c r="L2824" s="2" t="str">
        <f>IF(ISNUMBER(SEARCH("|",IMDB_Movies!$D2824)),LEFT(IMDB_Movies!$D2824,SEARCH("|",IMDB_Movies!$D2824)-1),IMDB_Movies!$D2824)</f>
        <v>Adventure</v>
      </c>
      <c r="V2824" s="2"/>
      <c r="W2824" s="2"/>
    </row>
    <row r="2825" spans="1:23" ht="12.5" x14ac:dyDescent="0.25">
      <c r="A2825" s="2" t="s">
        <v>4795</v>
      </c>
      <c r="B2825" s="2">
        <v>97</v>
      </c>
      <c r="C2825" s="2">
        <v>7574066</v>
      </c>
      <c r="D2825" s="2" t="s">
        <v>891</v>
      </c>
      <c r="E2825" s="2" t="s">
        <v>4796</v>
      </c>
      <c r="F2825" s="2" t="s">
        <v>14</v>
      </c>
      <c r="G2825" s="2" t="s">
        <v>15</v>
      </c>
      <c r="H2825" s="2">
        <v>10000000</v>
      </c>
      <c r="I2825" s="2">
        <v>6.3</v>
      </c>
      <c r="J2825" s="2">
        <f t="shared" si="22"/>
        <v>-2425934</v>
      </c>
      <c r="K2825" s="2">
        <f t="shared" si="23"/>
        <v>-2.2805019676872432E-2</v>
      </c>
      <c r="L2825" s="2" t="str">
        <f>IF(ISNUMBER(SEARCH("|",IMDB_Movies!$D2825)),LEFT(IMDB_Movies!$D2825,SEARCH("|",IMDB_Movies!$D2825)-1),IMDB_Movies!$D2825)</f>
        <v>Comedy</v>
      </c>
      <c r="V2825" s="2"/>
      <c r="W2825" s="2"/>
    </row>
    <row r="2826" spans="1:23" ht="12.5" x14ac:dyDescent="0.25">
      <c r="A2826" s="2" t="s">
        <v>80</v>
      </c>
      <c r="B2826" s="2">
        <v>98</v>
      </c>
      <c r="C2826" s="2">
        <v>1754319</v>
      </c>
      <c r="D2826" s="2" t="s">
        <v>85</v>
      </c>
      <c r="E2826" s="2" t="s">
        <v>4797</v>
      </c>
      <c r="F2826" s="2" t="s">
        <v>14</v>
      </c>
      <c r="G2826" s="2" t="s">
        <v>15</v>
      </c>
      <c r="H2826" s="2">
        <v>10000000</v>
      </c>
      <c r="I2826" s="2">
        <v>7.2</v>
      </c>
      <c r="J2826" s="2">
        <f t="shared" si="22"/>
        <v>-8245681</v>
      </c>
      <c r="K2826" s="2">
        <f t="shared" si="23"/>
        <v>-2.2810510717781514E-2</v>
      </c>
      <c r="L2826" s="2" t="str">
        <f>IF(ISNUMBER(SEARCH("|",IMDB_Movies!$D2826)),LEFT(IMDB_Movies!$D2826,SEARCH("|",IMDB_Movies!$D2826)-1),IMDB_Movies!$D2826)</f>
        <v>Drama</v>
      </c>
      <c r="V2826" s="2"/>
      <c r="W2826" s="2"/>
    </row>
    <row r="2827" spans="1:23" ht="12.5" x14ac:dyDescent="0.25">
      <c r="A2827" s="2" t="s">
        <v>1829</v>
      </c>
      <c r="B2827" s="2">
        <v>98</v>
      </c>
      <c r="C2827" s="2">
        <v>1641788</v>
      </c>
      <c r="D2827" s="2" t="s">
        <v>690</v>
      </c>
      <c r="E2827" s="2" t="s">
        <v>4798</v>
      </c>
      <c r="F2827" s="2" t="s">
        <v>14</v>
      </c>
      <c r="G2827" s="2" t="s">
        <v>104</v>
      </c>
      <c r="H2827" s="2">
        <v>8000000</v>
      </c>
      <c r="I2827" s="2">
        <v>6.8</v>
      </c>
      <c r="J2827" s="2">
        <f t="shared" si="22"/>
        <v>-6358212</v>
      </c>
      <c r="K2827" s="2">
        <f t="shared" si="23"/>
        <v>-2.2822841617337431E-2</v>
      </c>
      <c r="L2827" s="2" t="str">
        <f>IF(ISNUMBER(SEARCH("|",IMDB_Movies!$D2827)),LEFT(IMDB_Movies!$D2827,SEARCH("|",IMDB_Movies!$D2827)-1),IMDB_Movies!$D2827)</f>
        <v>Drama</v>
      </c>
      <c r="V2827" s="2"/>
      <c r="W2827" s="2"/>
    </row>
    <row r="2828" spans="1:23" ht="12.5" x14ac:dyDescent="0.25">
      <c r="A2828" s="2" t="s">
        <v>4799</v>
      </c>
      <c r="B2828" s="2">
        <v>101</v>
      </c>
      <c r="C2828" s="2">
        <v>1631839</v>
      </c>
      <c r="D2828" s="2" t="s">
        <v>1464</v>
      </c>
      <c r="E2828" s="2" t="s">
        <v>4800</v>
      </c>
      <c r="F2828" s="2" t="s">
        <v>14</v>
      </c>
      <c r="G2828" s="2" t="s">
        <v>15</v>
      </c>
      <c r="H2828" s="2">
        <v>10000000</v>
      </c>
      <c r="I2828" s="2">
        <v>5.7</v>
      </c>
      <c r="J2828" s="2">
        <f t="shared" si="22"/>
        <v>-8368161</v>
      </c>
      <c r="K2828" s="2">
        <f t="shared" si="23"/>
        <v>-2.2841597336515456E-2</v>
      </c>
      <c r="L2828" s="2" t="str">
        <f>IF(ISNUMBER(SEARCH("|",IMDB_Movies!$D2828)),LEFT(IMDB_Movies!$D2828,SEARCH("|",IMDB_Movies!$D2828)-1),IMDB_Movies!$D2828)</f>
        <v>Comedy</v>
      </c>
      <c r="V2828" s="2"/>
      <c r="W2828" s="2"/>
    </row>
    <row r="2829" spans="1:23" ht="12.5" x14ac:dyDescent="0.25">
      <c r="A2829" s="2" t="s">
        <v>3293</v>
      </c>
      <c r="B2829" s="2">
        <v>132</v>
      </c>
      <c r="C2829" s="2">
        <v>1309849</v>
      </c>
      <c r="D2829" s="2" t="s">
        <v>85</v>
      </c>
      <c r="E2829" s="2" t="s">
        <v>4801</v>
      </c>
      <c r="F2829" s="2" t="s">
        <v>14</v>
      </c>
      <c r="G2829" s="2" t="s">
        <v>22</v>
      </c>
      <c r="H2829" s="2">
        <v>10000000</v>
      </c>
      <c r="I2829" s="2">
        <v>7.2</v>
      </c>
      <c r="J2829" s="2">
        <f t="shared" si="22"/>
        <v>-8690151</v>
      </c>
      <c r="K2829" s="2">
        <f t="shared" si="23"/>
        <v>-2.2854149115603111E-2</v>
      </c>
      <c r="L2829" s="2" t="str">
        <f>IF(ISNUMBER(SEARCH("|",IMDB_Movies!$D2829)),LEFT(IMDB_Movies!$D2829,SEARCH("|",IMDB_Movies!$D2829)-1),IMDB_Movies!$D2829)</f>
        <v>Drama</v>
      </c>
      <c r="V2829" s="2"/>
      <c r="W2829" s="2"/>
    </row>
    <row r="2830" spans="1:23" ht="12.5" x14ac:dyDescent="0.25">
      <c r="A2830" s="2" t="s">
        <v>2656</v>
      </c>
      <c r="B2830" s="2">
        <v>106</v>
      </c>
      <c r="C2830" s="2">
        <v>1939441</v>
      </c>
      <c r="D2830" s="2" t="s">
        <v>614</v>
      </c>
      <c r="E2830" s="2" t="s">
        <v>4802</v>
      </c>
      <c r="F2830" s="2" t="s">
        <v>14</v>
      </c>
      <c r="G2830" s="2" t="s">
        <v>15</v>
      </c>
      <c r="H2830" s="2">
        <v>10000000</v>
      </c>
      <c r="I2830" s="2">
        <v>6.9</v>
      </c>
      <c r="J2830" s="2">
        <f t="shared" si="22"/>
        <v>-8060559</v>
      </c>
      <c r="K2830" s="2">
        <f t="shared" si="23"/>
        <v>-2.2867145055286524E-2</v>
      </c>
      <c r="L2830" s="2" t="str">
        <f>IF(ISNUMBER(SEARCH("|",IMDB_Movies!$D2830)),LEFT(IMDB_Movies!$D2830,SEARCH("|",IMDB_Movies!$D2830)-1),IMDB_Movies!$D2830)</f>
        <v>Biography</v>
      </c>
      <c r="V2830" s="2"/>
      <c r="W2830" s="2"/>
    </row>
    <row r="2831" spans="1:23" ht="12.5" x14ac:dyDescent="0.25">
      <c r="A2831" s="2" t="s">
        <v>4366</v>
      </c>
      <c r="B2831" s="2">
        <v>87</v>
      </c>
      <c r="C2831" s="2">
        <v>1276984</v>
      </c>
      <c r="D2831" s="2" t="s">
        <v>2009</v>
      </c>
      <c r="E2831" s="2" t="s">
        <v>4803</v>
      </c>
      <c r="F2831" s="2" t="s">
        <v>14</v>
      </c>
      <c r="G2831" s="2" t="s">
        <v>686</v>
      </c>
      <c r="H2831" s="2">
        <v>10000000</v>
      </c>
      <c r="I2831" s="2">
        <v>6.2</v>
      </c>
      <c r="J2831" s="2">
        <f t="shared" si="22"/>
        <v>-8723016</v>
      </c>
      <c r="K2831" s="2">
        <f t="shared" si="23"/>
        <v>-2.2879361717399859E-2</v>
      </c>
      <c r="L2831" s="2" t="str">
        <f>IF(ISNUMBER(SEARCH("|",IMDB_Movies!$D2831)),LEFT(IMDB_Movies!$D2831,SEARCH("|",IMDB_Movies!$D2831)-1),IMDB_Movies!$D2831)</f>
        <v>Comedy</v>
      </c>
      <c r="V2831" s="2"/>
      <c r="W2831" s="2"/>
    </row>
    <row r="2832" spans="1:23" ht="12.5" x14ac:dyDescent="0.25">
      <c r="A2832" s="2" t="s">
        <v>1612</v>
      </c>
      <c r="B2832" s="2">
        <v>98</v>
      </c>
      <c r="C2832" s="2">
        <v>1987762</v>
      </c>
      <c r="D2832" s="2" t="s">
        <v>1791</v>
      </c>
      <c r="E2832" s="2" t="s">
        <v>4804</v>
      </c>
      <c r="F2832" s="2" t="s">
        <v>14</v>
      </c>
      <c r="G2832" s="2" t="s">
        <v>15</v>
      </c>
      <c r="H2832" s="2">
        <v>11000000</v>
      </c>
      <c r="I2832" s="2">
        <v>6.7</v>
      </c>
      <c r="J2832" s="2">
        <f t="shared" si="22"/>
        <v>-9012238</v>
      </c>
      <c r="K2832" s="2">
        <f t="shared" si="23"/>
        <v>-2.2892459815376576E-2</v>
      </c>
      <c r="L2832" s="2" t="str">
        <f>IF(ISNUMBER(SEARCH("|",IMDB_Movies!$D2832)),LEFT(IMDB_Movies!$D2832,SEARCH("|",IMDB_Movies!$D2832)-1),IMDB_Movies!$D2832)</f>
        <v>Crime</v>
      </c>
      <c r="V2832" s="2"/>
      <c r="W2832" s="2"/>
    </row>
    <row r="2833" spans="1:23" ht="12.5" x14ac:dyDescent="0.25">
      <c r="A2833" s="2" t="s">
        <v>4805</v>
      </c>
      <c r="B2833" s="2">
        <v>96</v>
      </c>
      <c r="C2833" s="2">
        <v>1474508</v>
      </c>
      <c r="D2833" s="2" t="s">
        <v>891</v>
      </c>
      <c r="E2833" s="2" t="s">
        <v>4806</v>
      </c>
      <c r="F2833" s="2" t="s">
        <v>14</v>
      </c>
      <c r="G2833" s="2" t="s">
        <v>15</v>
      </c>
      <c r="H2833" s="2">
        <v>5000000</v>
      </c>
      <c r="I2833" s="2">
        <v>6.5</v>
      </c>
      <c r="J2833" s="2">
        <f t="shared" si="22"/>
        <v>-3525492</v>
      </c>
      <c r="K2833" s="2">
        <f t="shared" si="23"/>
        <v>-2.2901622816691992E-2</v>
      </c>
      <c r="L2833" s="2" t="str">
        <f>IF(ISNUMBER(SEARCH("|",IMDB_Movies!$D2833)),LEFT(IMDB_Movies!$D2833,SEARCH("|",IMDB_Movies!$D2833)-1),IMDB_Movies!$D2833)</f>
        <v>Comedy</v>
      </c>
      <c r="V2833" s="2"/>
      <c r="W2833" s="2"/>
    </row>
    <row r="2834" spans="1:23" ht="12.5" x14ac:dyDescent="0.25">
      <c r="A2834" s="2" t="s">
        <v>4807</v>
      </c>
      <c r="B2834" s="2">
        <v>104</v>
      </c>
      <c r="C2834" s="2">
        <v>1011054</v>
      </c>
      <c r="D2834" s="2" t="s">
        <v>763</v>
      </c>
      <c r="E2834" s="2" t="s">
        <v>4808</v>
      </c>
      <c r="F2834" s="2" t="s">
        <v>14</v>
      </c>
      <c r="G2834" s="2" t="s">
        <v>104</v>
      </c>
      <c r="H2834" s="2">
        <v>10000000</v>
      </c>
      <c r="I2834" s="2">
        <v>7.2</v>
      </c>
      <c r="J2834" s="2">
        <f t="shared" si="22"/>
        <v>-8988946</v>
      </c>
      <c r="K2834" s="2">
        <f t="shared" si="23"/>
        <v>-2.2930494403129865E-2</v>
      </c>
      <c r="L2834" s="2" t="str">
        <f>IF(ISNUMBER(SEARCH("|",IMDB_Movies!$D2834)),LEFT(IMDB_Movies!$D2834,SEARCH("|",IMDB_Movies!$D2834)-1),IMDB_Movies!$D2834)</f>
        <v>Crime</v>
      </c>
      <c r="V2834" s="2"/>
      <c r="W2834" s="2"/>
    </row>
    <row r="2835" spans="1:23" ht="12.5" x14ac:dyDescent="0.25">
      <c r="A2835" s="2" t="s">
        <v>4809</v>
      </c>
      <c r="B2835" s="2">
        <v>93</v>
      </c>
      <c r="C2835" s="2">
        <v>900926</v>
      </c>
      <c r="D2835" s="2" t="s">
        <v>709</v>
      </c>
      <c r="E2835" s="2" t="s">
        <v>4810</v>
      </c>
      <c r="F2835" s="2" t="s">
        <v>14</v>
      </c>
      <c r="G2835" s="2" t="s">
        <v>15</v>
      </c>
      <c r="H2835" s="2">
        <v>10000000</v>
      </c>
      <c r="I2835" s="2">
        <v>5.3</v>
      </c>
      <c r="J2835" s="2">
        <f t="shared" si="22"/>
        <v>-9099074</v>
      </c>
      <c r="K2835" s="2">
        <f t="shared" si="23"/>
        <v>-2.2944046536247854E-2</v>
      </c>
      <c r="L2835" s="2" t="str">
        <f>IF(ISNUMBER(SEARCH("|",IMDB_Movies!$D2835)),LEFT(IMDB_Movies!$D2835,SEARCH("|",IMDB_Movies!$D2835)-1),IMDB_Movies!$D2835)</f>
        <v>Comedy</v>
      </c>
      <c r="V2835" s="2"/>
      <c r="W2835" s="2"/>
    </row>
    <row r="2836" spans="1:23" ht="12.5" x14ac:dyDescent="0.25">
      <c r="A2836" s="2" t="s">
        <v>2331</v>
      </c>
      <c r="B2836" s="2">
        <v>95</v>
      </c>
      <c r="C2836" s="2">
        <v>866778</v>
      </c>
      <c r="D2836" s="2" t="s">
        <v>85</v>
      </c>
      <c r="E2836" s="2" t="s">
        <v>4811</v>
      </c>
      <c r="F2836" s="2" t="s">
        <v>14</v>
      </c>
      <c r="G2836" s="2" t="s">
        <v>1329</v>
      </c>
      <c r="H2836" s="2">
        <v>10000000</v>
      </c>
      <c r="I2836" s="2">
        <v>6.7</v>
      </c>
      <c r="J2836" s="2">
        <f t="shared" si="22"/>
        <v>-9133222</v>
      </c>
      <c r="K2836" s="2">
        <f t="shared" si="23"/>
        <v>-2.2957775837364448E-2</v>
      </c>
      <c r="L2836" s="2" t="str">
        <f>IF(ISNUMBER(SEARCH("|",IMDB_Movies!$D2836)),LEFT(IMDB_Movies!$D2836,SEARCH("|",IMDB_Movies!$D2836)-1),IMDB_Movies!$D2836)</f>
        <v>Drama</v>
      </c>
      <c r="V2836" s="2"/>
      <c r="W2836" s="2"/>
    </row>
    <row r="2837" spans="1:23" ht="12.5" x14ac:dyDescent="0.25">
      <c r="A2837" s="2" t="s">
        <v>471</v>
      </c>
      <c r="B2837" s="2">
        <v>89</v>
      </c>
      <c r="C2837" s="2">
        <v>598645</v>
      </c>
      <c r="D2837" s="2" t="s">
        <v>600</v>
      </c>
      <c r="E2837" s="2" t="s">
        <v>4812</v>
      </c>
      <c r="F2837" s="2" t="s">
        <v>14</v>
      </c>
      <c r="G2837" s="2" t="s">
        <v>22</v>
      </c>
      <c r="H2837" s="2">
        <v>10000000</v>
      </c>
      <c r="I2837" s="2">
        <v>3.6</v>
      </c>
      <c r="J2837" s="2">
        <f t="shared" si="22"/>
        <v>-9401355</v>
      </c>
      <c r="K2837" s="2">
        <f t="shared" si="23"/>
        <v>-2.2971582742436797E-2</v>
      </c>
      <c r="L2837" s="2" t="str">
        <f>IF(ISNUMBER(SEARCH("|",IMDB_Movies!$D2837)),LEFT(IMDB_Movies!$D2837,SEARCH("|",IMDB_Movies!$D2837)-1),IMDB_Movies!$D2837)</f>
        <v>Comedy</v>
      </c>
      <c r="V2837" s="2"/>
      <c r="W2837" s="2"/>
    </row>
    <row r="2838" spans="1:23" ht="12.5" x14ac:dyDescent="0.25">
      <c r="A2838" s="2" t="s">
        <v>4813</v>
      </c>
      <c r="B2838" s="2">
        <v>107</v>
      </c>
      <c r="C2838" s="2">
        <v>578527</v>
      </c>
      <c r="D2838" s="2" t="s">
        <v>616</v>
      </c>
      <c r="E2838" s="2" t="s">
        <v>4814</v>
      </c>
      <c r="F2838" s="2" t="s">
        <v>14</v>
      </c>
      <c r="G2838" s="2" t="s">
        <v>15</v>
      </c>
      <c r="H2838" s="2">
        <v>10000000</v>
      </c>
      <c r="I2838" s="2">
        <v>5.7</v>
      </c>
      <c r="J2838" s="2">
        <f t="shared" si="22"/>
        <v>-9421473</v>
      </c>
      <c r="K2838" s="2">
        <f t="shared" si="23"/>
        <v>-2.2985779101301555E-2</v>
      </c>
      <c r="L2838" s="2" t="str">
        <f>IF(ISNUMBER(SEARCH("|",IMDB_Movies!$D2838)),LEFT(IMDB_Movies!$D2838,SEARCH("|",IMDB_Movies!$D2838)-1),IMDB_Movies!$D2838)</f>
        <v>Action</v>
      </c>
      <c r="V2838" s="2"/>
      <c r="W2838" s="2"/>
    </row>
    <row r="2839" spans="1:23" ht="12.5" x14ac:dyDescent="0.25">
      <c r="A2839" s="2" t="s">
        <v>3582</v>
      </c>
      <c r="B2839" s="2">
        <v>85</v>
      </c>
      <c r="C2839" s="2">
        <v>488872</v>
      </c>
      <c r="D2839" s="2" t="s">
        <v>1120</v>
      </c>
      <c r="E2839" s="2" t="s">
        <v>4815</v>
      </c>
      <c r="F2839" s="2" t="s">
        <v>2413</v>
      </c>
      <c r="G2839" s="2" t="s">
        <v>1329</v>
      </c>
      <c r="H2839" s="2">
        <v>10000000</v>
      </c>
      <c r="I2839" s="2">
        <v>7.3</v>
      </c>
      <c r="J2839" s="2">
        <f t="shared" si="22"/>
        <v>-9511128</v>
      </c>
      <c r="K2839" s="2">
        <f t="shared" si="23"/>
        <v>-2.3000036147161538E-2</v>
      </c>
      <c r="L2839" s="2" t="str">
        <f>IF(ISNUMBER(SEARCH("|",IMDB_Movies!$D2839)),LEFT(IMDB_Movies!$D2839,SEARCH("|",IMDB_Movies!$D2839)-1),IMDB_Movies!$D2839)</f>
        <v>Action</v>
      </c>
      <c r="V2839" s="2"/>
      <c r="W2839" s="2"/>
    </row>
    <row r="2840" spans="1:23" ht="12.5" x14ac:dyDescent="0.25">
      <c r="A2840" s="2" t="s">
        <v>4816</v>
      </c>
      <c r="B2840" s="2">
        <v>93</v>
      </c>
      <c r="C2840" s="2">
        <v>365734</v>
      </c>
      <c r="D2840" s="2" t="s">
        <v>1180</v>
      </c>
      <c r="E2840" s="2" t="s">
        <v>4817</v>
      </c>
      <c r="F2840" s="2" t="s">
        <v>14</v>
      </c>
      <c r="G2840" s="2" t="s">
        <v>15</v>
      </c>
      <c r="H2840" s="2">
        <v>10000000</v>
      </c>
      <c r="I2840" s="2">
        <v>5</v>
      </c>
      <c r="J2840" s="2">
        <f t="shared" si="22"/>
        <v>-9634266</v>
      </c>
      <c r="K2840" s="2">
        <f t="shared" si="23"/>
        <v>-2.3014447435774989E-2</v>
      </c>
      <c r="L2840" s="2" t="str">
        <f>IF(ISNUMBER(SEARCH("|",IMDB_Movies!$D2840)),LEFT(IMDB_Movies!$D2840,SEARCH("|",IMDB_Movies!$D2840)-1),IMDB_Movies!$D2840)</f>
        <v>Drama</v>
      </c>
      <c r="V2840" s="2"/>
      <c r="W2840" s="2"/>
    </row>
    <row r="2841" spans="1:23" ht="12.5" x14ac:dyDescent="0.25">
      <c r="A2841" s="2" t="s">
        <v>4818</v>
      </c>
      <c r="B2841" s="2">
        <v>101</v>
      </c>
      <c r="C2841" s="2">
        <v>231417</v>
      </c>
      <c r="D2841" s="2" t="s">
        <v>2009</v>
      </c>
      <c r="E2841" s="2" t="s">
        <v>4819</v>
      </c>
      <c r="F2841" s="2" t="s">
        <v>1006</v>
      </c>
      <c r="G2841" s="2" t="s">
        <v>686</v>
      </c>
      <c r="H2841" s="2">
        <v>60000000</v>
      </c>
      <c r="I2841" s="2">
        <v>6.6</v>
      </c>
      <c r="J2841" s="2">
        <f t="shared" si="22"/>
        <v>-59768583</v>
      </c>
      <c r="K2841" s="2">
        <f t="shared" si="23"/>
        <v>-2.3029059044825509E-2</v>
      </c>
      <c r="L2841" s="2" t="str">
        <f>IF(ISNUMBER(SEARCH("|",IMDB_Movies!$D2841)),LEFT(IMDB_Movies!$D2841,SEARCH("|",IMDB_Movies!$D2841)-1),IMDB_Movies!$D2841)</f>
        <v>Comedy</v>
      </c>
      <c r="V2841" s="2"/>
      <c r="W2841" s="2"/>
    </row>
    <row r="2842" spans="1:23" ht="12.5" x14ac:dyDescent="0.25">
      <c r="A2842" s="2" t="s">
        <v>4820</v>
      </c>
      <c r="B2842" s="2">
        <v>103</v>
      </c>
      <c r="C2842" s="2">
        <v>3093491</v>
      </c>
      <c r="D2842" s="2" t="s">
        <v>555</v>
      </c>
      <c r="E2842" s="2" t="s">
        <v>4821</v>
      </c>
      <c r="F2842" s="2" t="s">
        <v>14</v>
      </c>
      <c r="G2842" s="2" t="s">
        <v>15</v>
      </c>
      <c r="H2842" s="2">
        <v>5000000</v>
      </c>
      <c r="I2842" s="2">
        <v>6.6</v>
      </c>
      <c r="J2842" s="2">
        <f t="shared" si="22"/>
        <v>-1906509</v>
      </c>
      <c r="K2842" s="2">
        <f t="shared" si="23"/>
        <v>-2.2867289447461206E-2</v>
      </c>
      <c r="L2842" s="2" t="str">
        <f>IF(ISNUMBER(SEARCH("|",IMDB_Movies!$D2842)),LEFT(IMDB_Movies!$D2842,SEARCH("|",IMDB_Movies!$D2842)-1),IMDB_Movies!$D2842)</f>
        <v>Biography</v>
      </c>
      <c r="V2842" s="2"/>
      <c r="W2842" s="2"/>
    </row>
    <row r="2843" spans="1:23" ht="12.5" x14ac:dyDescent="0.25">
      <c r="A2843" s="2" t="s">
        <v>4822</v>
      </c>
      <c r="B2843" s="2">
        <v>111</v>
      </c>
      <c r="C2843" s="2">
        <v>228524</v>
      </c>
      <c r="D2843" s="2" t="s">
        <v>891</v>
      </c>
      <c r="E2843" s="2" t="s">
        <v>4823</v>
      </c>
      <c r="F2843" s="2" t="s">
        <v>14</v>
      </c>
      <c r="G2843" s="2" t="s">
        <v>15</v>
      </c>
      <c r="H2843" s="2">
        <v>4000000</v>
      </c>
      <c r="I2843" s="2">
        <v>7.3</v>
      </c>
      <c r="J2843" s="2">
        <f t="shared" si="22"/>
        <v>-3771476</v>
      </c>
      <c r="K2843" s="2">
        <f t="shared" si="23"/>
        <v>-2.2892216101908055E-2</v>
      </c>
      <c r="L2843" s="2" t="str">
        <f>IF(ISNUMBER(SEARCH("|",IMDB_Movies!$D2843)),LEFT(IMDB_Movies!$D2843,SEARCH("|",IMDB_Movies!$D2843)-1),IMDB_Movies!$D2843)</f>
        <v>Comedy</v>
      </c>
      <c r="V2843" s="2"/>
      <c r="W2843" s="2"/>
    </row>
    <row r="2844" spans="1:23" ht="12.5" x14ac:dyDescent="0.25">
      <c r="A2844" s="2" t="s">
        <v>4824</v>
      </c>
      <c r="B2844" s="2">
        <v>86</v>
      </c>
      <c r="C2844" s="2">
        <v>226792</v>
      </c>
      <c r="D2844" s="2" t="s">
        <v>4825</v>
      </c>
      <c r="E2844" s="2" t="s">
        <v>4826</v>
      </c>
      <c r="F2844" s="2" t="s">
        <v>14</v>
      </c>
      <c r="G2844" s="2" t="s">
        <v>22</v>
      </c>
      <c r="H2844" s="2">
        <v>10000000</v>
      </c>
      <c r="I2844" s="2">
        <v>6.2</v>
      </c>
      <c r="J2844" s="2">
        <f t="shared" si="22"/>
        <v>-9773208</v>
      </c>
      <c r="K2844" s="2">
        <f t="shared" si="23"/>
        <v>-2.292835085287584E-2</v>
      </c>
      <c r="L2844" s="2" t="str">
        <f>IF(ISNUMBER(SEARCH("|",IMDB_Movies!$D2844)),LEFT(IMDB_Movies!$D2844,SEARCH("|",IMDB_Movies!$D2844)-1),IMDB_Movies!$D2844)</f>
        <v>Action</v>
      </c>
      <c r="V2844" s="2"/>
      <c r="W2844" s="2"/>
    </row>
    <row r="2845" spans="1:23" ht="12.5" x14ac:dyDescent="0.25">
      <c r="A2845" s="2" t="s">
        <v>4827</v>
      </c>
      <c r="B2845" s="2">
        <v>90</v>
      </c>
      <c r="C2845" s="2">
        <v>136432</v>
      </c>
      <c r="D2845" s="2" t="s">
        <v>4081</v>
      </c>
      <c r="E2845" s="2" t="s">
        <v>4828</v>
      </c>
      <c r="F2845" s="2" t="s">
        <v>14</v>
      </c>
      <c r="G2845" s="2" t="s">
        <v>22</v>
      </c>
      <c r="H2845" s="2">
        <v>5000000</v>
      </c>
      <c r="I2845" s="2">
        <v>6.6</v>
      </c>
      <c r="J2845" s="2">
        <f t="shared" si="22"/>
        <v>-4863568</v>
      </c>
      <c r="K2845" s="2">
        <f t="shared" si="23"/>
        <v>-2.2943121841910774E-2</v>
      </c>
      <c r="L2845" s="2" t="str">
        <f>IF(ISNUMBER(SEARCH("|",IMDB_Movies!$D2845)),LEFT(IMDB_Movies!$D2845,SEARCH("|",IMDB_Movies!$D2845)-1),IMDB_Movies!$D2845)</f>
        <v>Comedy</v>
      </c>
      <c r="V2845" s="2"/>
      <c r="W2845" s="2"/>
    </row>
    <row r="2846" spans="1:23" ht="12.5" x14ac:dyDescent="0.25">
      <c r="A2846" s="2" t="s">
        <v>4516</v>
      </c>
      <c r="B2846" s="2">
        <v>82</v>
      </c>
      <c r="C2846" s="2">
        <v>131617</v>
      </c>
      <c r="D2846" s="2" t="s">
        <v>1400</v>
      </c>
      <c r="E2846" s="2" t="s">
        <v>4829</v>
      </c>
      <c r="F2846" s="2" t="s">
        <v>14</v>
      </c>
      <c r="G2846" s="2" t="s">
        <v>15</v>
      </c>
      <c r="H2846" s="2">
        <v>10000000</v>
      </c>
      <c r="I2846" s="2">
        <v>6.3</v>
      </c>
      <c r="J2846" s="2">
        <f t="shared" si="22"/>
        <v>-9868383</v>
      </c>
      <c r="K2846" s="2">
        <f t="shared" si="23"/>
        <v>-2.2976071045215242E-2</v>
      </c>
      <c r="L2846" s="2" t="str">
        <f>IF(ISNUMBER(SEARCH("|",IMDB_Movies!$D2846)),LEFT(IMDB_Movies!$D2846,SEARCH("|",IMDB_Movies!$D2846)-1),IMDB_Movies!$D2846)</f>
        <v>Drama</v>
      </c>
      <c r="V2846" s="2"/>
      <c r="W2846" s="2"/>
    </row>
    <row r="2847" spans="1:23" ht="12.5" x14ac:dyDescent="0.25">
      <c r="A2847" s="2" t="s">
        <v>4830</v>
      </c>
      <c r="B2847" s="2">
        <v>83</v>
      </c>
      <c r="C2847" s="2">
        <v>126247</v>
      </c>
      <c r="D2847" s="2" t="s">
        <v>375</v>
      </c>
      <c r="E2847" s="2" t="s">
        <v>4831</v>
      </c>
      <c r="F2847" s="2" t="s">
        <v>14</v>
      </c>
      <c r="G2847" s="2" t="s">
        <v>15</v>
      </c>
      <c r="H2847" s="2">
        <v>6200000</v>
      </c>
      <c r="I2847" s="2">
        <v>3.3</v>
      </c>
      <c r="J2847" s="2">
        <f t="shared" si="22"/>
        <v>-6073753</v>
      </c>
      <c r="K2847" s="2">
        <f t="shared" si="23"/>
        <v>-2.2991064133951484E-2</v>
      </c>
      <c r="L2847" s="2" t="str">
        <f>IF(ISNUMBER(SEARCH("|",IMDB_Movies!$D2847)),LEFT(IMDB_Movies!$D2847,SEARCH("|",IMDB_Movies!$D2847)-1),IMDB_Movies!$D2847)</f>
        <v>Comedy</v>
      </c>
      <c r="V2847" s="2"/>
      <c r="W2847" s="2"/>
    </row>
    <row r="2848" spans="1:23" ht="12.5" x14ac:dyDescent="0.25">
      <c r="A2848" s="2" t="s">
        <v>4832</v>
      </c>
      <c r="B2848" s="2">
        <v>125</v>
      </c>
      <c r="C2848" s="2">
        <v>169379</v>
      </c>
      <c r="D2848" s="2" t="s">
        <v>706</v>
      </c>
      <c r="E2848" s="2" t="s">
        <v>4833</v>
      </c>
      <c r="F2848" s="2" t="s">
        <v>971</v>
      </c>
      <c r="G2848" s="2" t="s">
        <v>3657</v>
      </c>
      <c r="H2848" s="2">
        <v>10000000</v>
      </c>
      <c r="I2848" s="2">
        <v>6.2</v>
      </c>
      <c r="J2848" s="2">
        <f t="shared" si="22"/>
        <v>-9830621</v>
      </c>
      <c r="K2848" s="2">
        <f t="shared" si="23"/>
        <v>-2.3019837276767343E-2</v>
      </c>
      <c r="L2848" s="2" t="str">
        <f>IF(ISNUMBER(SEARCH("|",IMDB_Movies!$D2848)),LEFT(IMDB_Movies!$D2848,SEARCH("|",IMDB_Movies!$D2848)-1),IMDB_Movies!$D2848)</f>
        <v>Drama</v>
      </c>
      <c r="V2848" s="2"/>
      <c r="W2848" s="2"/>
    </row>
    <row r="2849" spans="1:23" ht="12.5" x14ac:dyDescent="0.25">
      <c r="A2849" s="2" t="s">
        <v>4834</v>
      </c>
      <c r="B2849" s="2">
        <v>86</v>
      </c>
      <c r="C2849" s="2">
        <v>15447</v>
      </c>
      <c r="D2849" s="2" t="s">
        <v>709</v>
      </c>
      <c r="E2849" s="2" t="s">
        <v>4835</v>
      </c>
      <c r="F2849" s="2" t="s">
        <v>14</v>
      </c>
      <c r="G2849" s="2" t="s">
        <v>15</v>
      </c>
      <c r="H2849" s="2">
        <v>10000000</v>
      </c>
      <c r="I2849" s="2">
        <v>3.5</v>
      </c>
      <c r="J2849" s="2">
        <f t="shared" si="22"/>
        <v>-9984553</v>
      </c>
      <c r="K2849" s="2">
        <f t="shared" si="23"/>
        <v>-2.303486835758806E-2</v>
      </c>
      <c r="L2849" s="2" t="str">
        <f>IF(ISNUMBER(SEARCH("|",IMDB_Movies!$D2849)),LEFT(IMDB_Movies!$D2849,SEARCH("|",IMDB_Movies!$D2849)-1),IMDB_Movies!$D2849)</f>
        <v>Comedy</v>
      </c>
      <c r="V2849" s="2"/>
      <c r="W2849" s="2"/>
    </row>
    <row r="2850" spans="1:23" ht="12.5" x14ac:dyDescent="0.25">
      <c r="A2850" s="2" t="s">
        <v>4836</v>
      </c>
      <c r="B2850" s="2">
        <v>91</v>
      </c>
      <c r="C2850" s="2">
        <v>19348</v>
      </c>
      <c r="D2850" s="2" t="s">
        <v>891</v>
      </c>
      <c r="E2850" s="2" t="s">
        <v>4837</v>
      </c>
      <c r="F2850" s="2" t="s">
        <v>14</v>
      </c>
      <c r="G2850" s="2" t="s">
        <v>15</v>
      </c>
      <c r="H2850" s="2">
        <v>10000000</v>
      </c>
      <c r="I2850" s="2">
        <v>5.5</v>
      </c>
      <c r="J2850" s="2">
        <f t="shared" si="22"/>
        <v>-9980652</v>
      </c>
      <c r="K2850" s="2">
        <f t="shared" si="23"/>
        <v>-2.3050146187403101E-2</v>
      </c>
      <c r="L2850" s="2" t="str">
        <f>IF(ISNUMBER(SEARCH("|",IMDB_Movies!$D2850)),LEFT(IMDB_Movies!$D2850,SEARCH("|",IMDB_Movies!$D2850)-1),IMDB_Movies!$D2850)</f>
        <v>Comedy</v>
      </c>
      <c r="V2850" s="2"/>
      <c r="W2850" s="2"/>
    </row>
    <row r="2851" spans="1:23" ht="12.5" x14ac:dyDescent="0.25">
      <c r="A2851" s="2" t="s">
        <v>4838</v>
      </c>
      <c r="B2851" s="2">
        <v>90</v>
      </c>
      <c r="C2851" s="2">
        <v>100503</v>
      </c>
      <c r="D2851" s="2" t="s">
        <v>600</v>
      </c>
      <c r="E2851" s="2" t="s">
        <v>4839</v>
      </c>
      <c r="F2851" s="2" t="s">
        <v>14</v>
      </c>
      <c r="G2851" s="2" t="s">
        <v>15</v>
      </c>
      <c r="H2851" s="2">
        <v>8000000</v>
      </c>
      <c r="I2851" s="2">
        <v>5.9</v>
      </c>
      <c r="J2851" s="2">
        <f t="shared" si="22"/>
        <v>-7899497</v>
      </c>
      <c r="K2851" s="2">
        <f t="shared" si="23"/>
        <v>-2.3065455968623944E-2</v>
      </c>
      <c r="L2851" s="2" t="str">
        <f>IF(ISNUMBER(SEARCH("|",IMDB_Movies!$D2851)),LEFT(IMDB_Movies!$D2851,SEARCH("|",IMDB_Movies!$D2851)-1),IMDB_Movies!$D2851)</f>
        <v>Comedy</v>
      </c>
      <c r="V2851" s="2"/>
      <c r="W2851" s="2"/>
    </row>
    <row r="2852" spans="1:23" ht="12.5" x14ac:dyDescent="0.25">
      <c r="A2852" s="2" t="s">
        <v>4840</v>
      </c>
      <c r="B2852" s="2">
        <v>90</v>
      </c>
      <c r="C2852" s="2">
        <v>92900</v>
      </c>
      <c r="D2852" s="2" t="s">
        <v>891</v>
      </c>
      <c r="E2852" s="2" t="s">
        <v>4841</v>
      </c>
      <c r="F2852" s="2" t="s">
        <v>14</v>
      </c>
      <c r="G2852" s="2" t="s">
        <v>15</v>
      </c>
      <c r="H2852" s="2">
        <v>5000000</v>
      </c>
      <c r="I2852" s="2">
        <v>4.7</v>
      </c>
      <c r="J2852" s="2">
        <f t="shared" si="22"/>
        <v>-4907100</v>
      </c>
      <c r="K2852" s="2">
        <f t="shared" si="23"/>
        <v>-2.3087968530100995E-2</v>
      </c>
      <c r="L2852" s="2" t="str">
        <f>IF(ISNUMBER(SEARCH("|",IMDB_Movies!$D2852)),LEFT(IMDB_Movies!$D2852,SEARCH("|",IMDB_Movies!$D2852)-1),IMDB_Movies!$D2852)</f>
        <v>Comedy</v>
      </c>
      <c r="V2852" s="2"/>
      <c r="W2852" s="2"/>
    </row>
    <row r="2853" spans="1:23" ht="12.5" x14ac:dyDescent="0.25">
      <c r="A2853" s="2" t="s">
        <v>4842</v>
      </c>
      <c r="B2853" s="2">
        <v>93</v>
      </c>
      <c r="C2853" s="2">
        <v>5561</v>
      </c>
      <c r="D2853" s="2" t="s">
        <v>600</v>
      </c>
      <c r="E2853" s="2" t="s">
        <v>4843</v>
      </c>
      <c r="F2853" s="2" t="s">
        <v>14</v>
      </c>
      <c r="G2853" s="2" t="s">
        <v>15</v>
      </c>
      <c r="H2853" s="2">
        <v>10000000</v>
      </c>
      <c r="I2853" s="2">
        <v>3.9</v>
      </c>
      <c r="J2853" s="2">
        <f t="shared" si="22"/>
        <v>-9994439</v>
      </c>
      <c r="K2853" s="2">
        <f t="shared" si="23"/>
        <v>-2.3121493092950512E-2</v>
      </c>
      <c r="L2853" s="2" t="str">
        <f>IF(ISNUMBER(SEARCH("|",IMDB_Movies!$D2853)),LEFT(IMDB_Movies!$D2853,SEARCH("|",IMDB_Movies!$D2853)-1),IMDB_Movies!$D2853)</f>
        <v>Comedy</v>
      </c>
      <c r="V2853" s="2"/>
      <c r="W2853" s="2"/>
    </row>
    <row r="2854" spans="1:23" ht="12.5" x14ac:dyDescent="0.25">
      <c r="A2854" s="2" t="s">
        <v>4844</v>
      </c>
      <c r="B2854" s="2">
        <v>104</v>
      </c>
      <c r="C2854" s="2">
        <v>3607</v>
      </c>
      <c r="D2854" s="2" t="s">
        <v>793</v>
      </c>
      <c r="E2854" s="2" t="s">
        <v>4845</v>
      </c>
      <c r="F2854" s="2" t="s">
        <v>14</v>
      </c>
      <c r="G2854" s="2" t="s">
        <v>1239</v>
      </c>
      <c r="H2854" s="2">
        <v>10000000</v>
      </c>
      <c r="I2854" s="2">
        <v>6.1</v>
      </c>
      <c r="J2854" s="2">
        <f t="shared" si="22"/>
        <v>-9996393</v>
      </c>
      <c r="K2854" s="2">
        <f t="shared" si="23"/>
        <v>-2.3136965291066305E-2</v>
      </c>
      <c r="L2854" s="2" t="str">
        <f>IF(ISNUMBER(SEARCH("|",IMDB_Movies!$D2854)),LEFT(IMDB_Movies!$D2854,SEARCH("|",IMDB_Movies!$D2854)-1),IMDB_Movies!$D2854)</f>
        <v>Crime</v>
      </c>
      <c r="V2854" s="2"/>
      <c r="W2854" s="2"/>
    </row>
    <row r="2855" spans="1:23" ht="12.5" x14ac:dyDescent="0.25">
      <c r="A2855" s="2" t="s">
        <v>4846</v>
      </c>
      <c r="B2855" s="2">
        <v>85</v>
      </c>
      <c r="C2855" s="2">
        <v>70527</v>
      </c>
      <c r="D2855" s="2" t="s">
        <v>891</v>
      </c>
      <c r="E2855" s="2" t="s">
        <v>4847</v>
      </c>
      <c r="F2855" s="2" t="s">
        <v>14</v>
      </c>
      <c r="G2855" s="2" t="s">
        <v>15</v>
      </c>
      <c r="H2855" s="2">
        <v>6500000</v>
      </c>
      <c r="I2855" s="2">
        <v>6.7</v>
      </c>
      <c r="J2855" s="2">
        <f t="shared" si="22"/>
        <v>-6429473</v>
      </c>
      <c r="K2855" s="2">
        <f t="shared" si="23"/>
        <v>-2.3152478155299857E-2</v>
      </c>
      <c r="L2855" s="2" t="str">
        <f>IF(ISNUMBER(SEARCH("|",IMDB_Movies!$D2855)),LEFT(IMDB_Movies!$D2855,SEARCH("|",IMDB_Movies!$D2855)-1),IMDB_Movies!$D2855)</f>
        <v>Comedy</v>
      </c>
      <c r="V2855" s="2"/>
      <c r="W2855" s="2"/>
    </row>
    <row r="2856" spans="1:23" ht="12.5" x14ac:dyDescent="0.25">
      <c r="A2856" s="2" t="s">
        <v>4848</v>
      </c>
      <c r="B2856" s="2">
        <v>81</v>
      </c>
      <c r="C2856" s="2">
        <v>11835</v>
      </c>
      <c r="D2856" s="2" t="s">
        <v>514</v>
      </c>
      <c r="E2856" s="2" t="s">
        <v>4849</v>
      </c>
      <c r="F2856" s="2" t="s">
        <v>4850</v>
      </c>
      <c r="G2856" s="2" t="s">
        <v>4851</v>
      </c>
      <c r="H2856" s="2">
        <v>10000000</v>
      </c>
      <c r="I2856" s="2">
        <v>6.9</v>
      </c>
      <c r="J2856" s="2">
        <f t="shared" si="22"/>
        <v>-9988165</v>
      </c>
      <c r="K2856" s="2">
        <f t="shared" si="23"/>
        <v>-2.318076409561989E-2</v>
      </c>
      <c r="L2856" s="2" t="str">
        <f>IF(ISNUMBER(SEARCH("|",IMDB_Movies!$D2856)),LEFT(IMDB_Movies!$D2856,SEARCH("|",IMDB_Movies!$D2856)-1),IMDB_Movies!$D2856)</f>
        <v>Comedy</v>
      </c>
      <c r="V2856" s="2"/>
      <c r="W2856" s="2"/>
    </row>
    <row r="2857" spans="1:23" ht="12.5" x14ac:dyDescent="0.25">
      <c r="A2857" s="2" t="s">
        <v>2846</v>
      </c>
      <c r="B2857" s="2">
        <v>135</v>
      </c>
      <c r="C2857" s="2">
        <v>128486</v>
      </c>
      <c r="D2857" s="2" t="s">
        <v>1593</v>
      </c>
      <c r="E2857" s="2" t="s">
        <v>4852</v>
      </c>
      <c r="F2857" s="2" t="s">
        <v>4432</v>
      </c>
      <c r="G2857" s="2" t="s">
        <v>2305</v>
      </c>
      <c r="H2857" s="2">
        <v>10000000</v>
      </c>
      <c r="I2857" s="2">
        <v>7.3</v>
      </c>
      <c r="J2857" s="2">
        <f t="shared" si="22"/>
        <v>-9871514</v>
      </c>
      <c r="K2857" s="2">
        <f t="shared" si="23"/>
        <v>-2.3196357445615007E-2</v>
      </c>
      <c r="L2857" s="2" t="str">
        <f>IF(ISNUMBER(SEARCH("|",IMDB_Movies!$D2857)),LEFT(IMDB_Movies!$D2857,SEARCH("|",IMDB_Movies!$D2857)-1),IMDB_Movies!$D2857)</f>
        <v>Action</v>
      </c>
      <c r="V2857" s="2"/>
      <c r="W2857" s="2"/>
    </row>
    <row r="2858" spans="1:23" ht="12.5" x14ac:dyDescent="0.25">
      <c r="A2858" s="2" t="s">
        <v>4853</v>
      </c>
      <c r="B2858" s="2">
        <v>144</v>
      </c>
      <c r="C2858" s="2">
        <v>2483955</v>
      </c>
      <c r="D2858" s="2" t="s">
        <v>85</v>
      </c>
      <c r="E2858" s="2" t="s">
        <v>4854</v>
      </c>
      <c r="F2858" s="2" t="s">
        <v>14</v>
      </c>
      <c r="G2858" s="2" t="s">
        <v>15</v>
      </c>
      <c r="H2858" s="2">
        <v>9600000</v>
      </c>
      <c r="I2858" s="2">
        <v>6.7</v>
      </c>
      <c r="J2858" s="2">
        <f t="shared" si="22"/>
        <v>-7116045</v>
      </c>
      <c r="K2858" s="2">
        <f t="shared" si="23"/>
        <v>-2.3211827451042118E-2</v>
      </c>
      <c r="L2858" s="2" t="str">
        <f>IF(ISNUMBER(SEARCH("|",IMDB_Movies!$D2858)),LEFT(IMDB_Movies!$D2858,SEARCH("|",IMDB_Movies!$D2858)-1),IMDB_Movies!$D2858)</f>
        <v>Drama</v>
      </c>
      <c r="V2858" s="2"/>
      <c r="W2858" s="2"/>
    </row>
    <row r="2859" spans="1:23" ht="12.5" x14ac:dyDescent="0.25">
      <c r="A2859" s="2" t="s">
        <v>1122</v>
      </c>
      <c r="B2859" s="2">
        <v>98</v>
      </c>
      <c r="C2859" s="2">
        <v>57176582</v>
      </c>
      <c r="D2859" s="2" t="s">
        <v>709</v>
      </c>
      <c r="E2859" s="2" t="s">
        <v>4855</v>
      </c>
      <c r="F2859" s="2" t="s">
        <v>14</v>
      </c>
      <c r="G2859" s="2" t="s">
        <v>15</v>
      </c>
      <c r="H2859" s="2">
        <v>9500000</v>
      </c>
      <c r="I2859" s="2">
        <v>6.1</v>
      </c>
      <c r="J2859" s="2">
        <f t="shared" si="22"/>
        <v>47676582</v>
      </c>
      <c r="K2859" s="2">
        <f t="shared" si="23"/>
        <v>-2.3225376978021083E-2</v>
      </c>
      <c r="L2859" s="2" t="str">
        <f>IF(ISNUMBER(SEARCH("|",IMDB_Movies!$D2859)),LEFT(IMDB_Movies!$D2859,SEARCH("|",IMDB_Movies!$D2859)-1),IMDB_Movies!$D2859)</f>
        <v>Comedy</v>
      </c>
      <c r="V2859" s="2"/>
      <c r="W2859" s="2"/>
    </row>
    <row r="2860" spans="1:23" ht="12.5" x14ac:dyDescent="0.25">
      <c r="A2860" s="2" t="s">
        <v>2661</v>
      </c>
      <c r="B2860" s="2">
        <v>117</v>
      </c>
      <c r="C2860" s="2">
        <v>43100000</v>
      </c>
      <c r="D2860" s="2" t="s">
        <v>20</v>
      </c>
      <c r="E2860" s="2" t="s">
        <v>4856</v>
      </c>
      <c r="F2860" s="2" t="s">
        <v>14</v>
      </c>
      <c r="G2860" s="2" t="s">
        <v>22</v>
      </c>
      <c r="H2860" s="2">
        <v>9500000</v>
      </c>
      <c r="I2860" s="2">
        <v>6.9</v>
      </c>
      <c r="J2860" s="2">
        <f t="shared" si="22"/>
        <v>33600000</v>
      </c>
      <c r="K2860" s="2">
        <f t="shared" si="23"/>
        <v>-2.3213397888492724E-2</v>
      </c>
      <c r="L2860" s="2" t="str">
        <f>IF(ISNUMBER(SEARCH("|",IMDB_Movies!$D2860)),LEFT(IMDB_Movies!$D2860,SEARCH("|",IMDB_Movies!$D2860)-1),IMDB_Movies!$D2860)</f>
        <v>Action</v>
      </c>
      <c r="V2860" s="2"/>
      <c r="W2860" s="2"/>
    </row>
    <row r="2861" spans="1:23" ht="12.5" x14ac:dyDescent="0.25">
      <c r="A2861" s="2" t="s">
        <v>3845</v>
      </c>
      <c r="B2861" s="2">
        <v>127</v>
      </c>
      <c r="C2861" s="2">
        <v>225377</v>
      </c>
      <c r="D2861" s="2" t="s">
        <v>85</v>
      </c>
      <c r="E2861" s="2" t="s">
        <v>4857</v>
      </c>
      <c r="F2861" s="2" t="s">
        <v>1006</v>
      </c>
      <c r="G2861" s="2" t="s">
        <v>686</v>
      </c>
      <c r="H2861" s="2">
        <v>8900000</v>
      </c>
      <c r="I2861" s="2">
        <v>7.9</v>
      </c>
      <c r="J2861" s="2">
        <f t="shared" si="22"/>
        <v>-8674623</v>
      </c>
      <c r="K2861" s="2">
        <f t="shared" si="23"/>
        <v>-2.3197914003764121E-2</v>
      </c>
      <c r="L2861" s="2" t="str">
        <f>IF(ISNUMBER(SEARCH("|",IMDB_Movies!$D2861)),LEFT(IMDB_Movies!$D2861,SEARCH("|",IMDB_Movies!$D2861)-1),IMDB_Movies!$D2861)</f>
        <v>Drama</v>
      </c>
      <c r="V2861" s="2"/>
      <c r="W2861" s="2"/>
    </row>
    <row r="2862" spans="1:23" ht="12.5" x14ac:dyDescent="0.25">
      <c r="A2862" s="2" t="s">
        <v>4858</v>
      </c>
      <c r="B2862" s="2">
        <v>98</v>
      </c>
      <c r="C2862" s="2">
        <v>14114488</v>
      </c>
      <c r="D2862" s="2" t="s">
        <v>2228</v>
      </c>
      <c r="E2862" s="2" t="s">
        <v>4859</v>
      </c>
      <c r="F2862" s="2" t="s">
        <v>14</v>
      </c>
      <c r="G2862" s="2" t="s">
        <v>15</v>
      </c>
      <c r="H2862" s="2">
        <v>10500000</v>
      </c>
      <c r="I2862" s="2">
        <v>4.5</v>
      </c>
      <c r="J2862" s="2">
        <f t="shared" si="22"/>
        <v>3614488</v>
      </c>
      <c r="K2862" s="2">
        <f t="shared" si="23"/>
        <v>-2.3217266924489215E-2</v>
      </c>
      <c r="L2862" s="2" t="str">
        <f>IF(ISNUMBER(SEARCH("|",IMDB_Movies!$D2862)),LEFT(IMDB_Movies!$D2862,SEARCH("|",IMDB_Movies!$D2862)-1),IMDB_Movies!$D2862)</f>
        <v>Horror</v>
      </c>
      <c r="V2862" s="2"/>
      <c r="W2862" s="2"/>
    </row>
    <row r="2863" spans="1:23" ht="12.5" x14ac:dyDescent="0.25">
      <c r="A2863" s="2" t="s">
        <v>4860</v>
      </c>
      <c r="B2863" s="2">
        <v>197</v>
      </c>
      <c r="C2863" s="2">
        <v>46300000</v>
      </c>
      <c r="D2863" s="2" t="s">
        <v>498</v>
      </c>
      <c r="E2863" s="2" t="s">
        <v>4861</v>
      </c>
      <c r="F2863" s="2" t="s">
        <v>14</v>
      </c>
      <c r="G2863" s="2" t="s">
        <v>15</v>
      </c>
      <c r="H2863" s="2">
        <v>9400000</v>
      </c>
      <c r="I2863" s="2">
        <v>7.6</v>
      </c>
      <c r="J2863" s="2">
        <f t="shared" si="22"/>
        <v>36900000</v>
      </c>
      <c r="K2863" s="2">
        <f t="shared" si="23"/>
        <v>-2.3216863695039551E-2</v>
      </c>
      <c r="L2863" s="2" t="str">
        <f>IF(ISNUMBER(SEARCH("|",IMDB_Movies!$D2863)),LEFT(IMDB_Movies!$D2863,SEARCH("|",IMDB_Movies!$D2863)-1),IMDB_Movies!$D2863)</f>
        <v>Action</v>
      </c>
      <c r="V2863" s="2"/>
      <c r="W2863" s="2"/>
    </row>
    <row r="2864" spans="1:23" ht="12.5" x14ac:dyDescent="0.25">
      <c r="A2864" s="2" t="s">
        <v>1766</v>
      </c>
      <c r="B2864" s="2">
        <v>104</v>
      </c>
      <c r="C2864" s="2">
        <v>2600000</v>
      </c>
      <c r="D2864" s="2" t="s">
        <v>1175</v>
      </c>
      <c r="E2864" s="2" t="s">
        <v>4862</v>
      </c>
      <c r="F2864" s="2" t="s">
        <v>14</v>
      </c>
      <c r="G2864" s="2" t="s">
        <v>22</v>
      </c>
      <c r="H2864" s="2">
        <v>6000000</v>
      </c>
      <c r="I2864" s="2">
        <v>7.5</v>
      </c>
      <c r="J2864" s="2">
        <f t="shared" si="22"/>
        <v>-3400000</v>
      </c>
      <c r="K2864" s="2">
        <f t="shared" si="23"/>
        <v>-2.3200566960746655E-2</v>
      </c>
      <c r="L2864" s="2" t="str">
        <f>IF(ISNUMBER(SEARCH("|",IMDB_Movies!$D2864)),LEFT(IMDB_Movies!$D2864,SEARCH("|",IMDB_Movies!$D2864)-1),IMDB_Movies!$D2864)</f>
        <v>Drama</v>
      </c>
      <c r="V2864" s="2"/>
      <c r="W2864" s="2"/>
    </row>
    <row r="2865" spans="1:23" ht="12.5" x14ac:dyDescent="0.25">
      <c r="A2865" s="2" t="s">
        <v>4863</v>
      </c>
      <c r="B2865" s="2">
        <v>90</v>
      </c>
      <c r="C2865" s="2">
        <v>1602466</v>
      </c>
      <c r="D2865" s="2" t="s">
        <v>4864</v>
      </c>
      <c r="E2865" s="2" t="s">
        <v>4865</v>
      </c>
      <c r="F2865" s="2" t="s">
        <v>14</v>
      </c>
      <c r="G2865" s="2" t="s">
        <v>2312</v>
      </c>
      <c r="H2865" s="2">
        <v>600000000</v>
      </c>
      <c r="I2865" s="2">
        <v>6</v>
      </c>
      <c r="J2865" s="2">
        <f t="shared" si="22"/>
        <v>-598397534</v>
      </c>
      <c r="K2865" s="2">
        <f t="shared" si="23"/>
        <v>-2.322467615303947E-2</v>
      </c>
      <c r="L2865" s="2" t="str">
        <f>IF(ISNUMBER(SEARCH("|",IMDB_Movies!$D2865)),LEFT(IMDB_Movies!$D2865,SEARCH("|",IMDB_Movies!$D2865)-1),IMDB_Movies!$D2865)</f>
        <v>Action</v>
      </c>
      <c r="V2865" s="2"/>
      <c r="W2865" s="2"/>
    </row>
    <row r="2866" spans="1:23" ht="12.5" x14ac:dyDescent="0.25">
      <c r="A2866" s="2" t="s">
        <v>4240</v>
      </c>
      <c r="B2866" s="2">
        <v>130</v>
      </c>
      <c r="C2866" s="2">
        <v>3029870</v>
      </c>
      <c r="D2866" s="2" t="s">
        <v>660</v>
      </c>
      <c r="E2866" s="2" t="s">
        <v>4866</v>
      </c>
      <c r="F2866" s="2" t="s">
        <v>14</v>
      </c>
      <c r="G2866" s="2" t="s">
        <v>2553</v>
      </c>
      <c r="H2866" s="2">
        <v>7400000</v>
      </c>
      <c r="I2866" s="2">
        <v>7.1</v>
      </c>
      <c r="J2866" s="2">
        <f t="shared" si="22"/>
        <v>-4370130</v>
      </c>
      <c r="K2866" s="2">
        <f t="shared" si="23"/>
        <v>-2.1500831445214533E-2</v>
      </c>
      <c r="L2866" s="2" t="str">
        <f>IF(ISNUMBER(SEARCH("|",IMDB_Movies!$D2866)),LEFT(IMDB_Movies!$D2866,SEARCH("|",IMDB_Movies!$D2866)-1),IMDB_Movies!$D2866)</f>
        <v>Drama</v>
      </c>
      <c r="V2866" s="2"/>
      <c r="W2866" s="2"/>
    </row>
    <row r="2867" spans="1:23" ht="12.5" x14ac:dyDescent="0.25">
      <c r="A2867" s="2" t="s">
        <v>4867</v>
      </c>
      <c r="B2867" s="2">
        <v>176</v>
      </c>
      <c r="C2867" s="2">
        <v>3047539</v>
      </c>
      <c r="D2867" s="2" t="s">
        <v>85</v>
      </c>
      <c r="E2867" s="2" t="s">
        <v>4868</v>
      </c>
      <c r="F2867" s="2" t="s">
        <v>4629</v>
      </c>
      <c r="G2867" s="2" t="s">
        <v>2312</v>
      </c>
      <c r="H2867" s="2">
        <v>7217600</v>
      </c>
      <c r="I2867" s="2">
        <v>6.9</v>
      </c>
      <c r="J2867" s="2">
        <f t="shared" si="22"/>
        <v>-4170061</v>
      </c>
      <c r="K2867" s="2">
        <f t="shared" si="23"/>
        <v>-2.1518138724580662E-2</v>
      </c>
      <c r="L2867" s="2" t="str">
        <f>IF(ISNUMBER(SEARCH("|",IMDB_Movies!$D2867)),LEFT(IMDB_Movies!$D2867,SEARCH("|",IMDB_Movies!$D2867)-1),IMDB_Movies!$D2867)</f>
        <v>Drama</v>
      </c>
      <c r="V2867" s="2"/>
      <c r="W2867" s="2"/>
    </row>
    <row r="2868" spans="1:23" ht="12.5" x14ac:dyDescent="0.25">
      <c r="A2868" s="2" t="s">
        <v>76</v>
      </c>
      <c r="B2868" s="2">
        <v>116</v>
      </c>
      <c r="C2868" s="2">
        <v>78900000</v>
      </c>
      <c r="D2868" s="2" t="s">
        <v>3315</v>
      </c>
      <c r="E2868" s="2" t="s">
        <v>4869</v>
      </c>
      <c r="F2868" s="2" t="s">
        <v>14</v>
      </c>
      <c r="G2868" s="2" t="s">
        <v>22</v>
      </c>
      <c r="H2868" s="2">
        <v>11000000</v>
      </c>
      <c r="I2868" s="2">
        <v>8.5</v>
      </c>
      <c r="J2868" s="2">
        <f t="shared" si="22"/>
        <v>67900000</v>
      </c>
      <c r="K2868" s="2">
        <f t="shared" si="23"/>
        <v>-2.1535982208127784E-2</v>
      </c>
      <c r="L2868" s="2" t="str">
        <f>IF(ISNUMBER(SEARCH("|",IMDB_Movies!$D2868)),LEFT(IMDB_Movies!$D2868,SEARCH("|",IMDB_Movies!$D2868)-1),IMDB_Movies!$D2868)</f>
        <v>Horror</v>
      </c>
      <c r="V2868" s="2"/>
      <c r="W2868" s="2"/>
    </row>
    <row r="2869" spans="1:23" ht="12.5" x14ac:dyDescent="0.25">
      <c r="A2869" s="2" t="s">
        <v>2464</v>
      </c>
      <c r="B2869" s="2">
        <v>88</v>
      </c>
      <c r="C2869" s="2">
        <v>30859000</v>
      </c>
      <c r="D2869" s="2" t="s">
        <v>2228</v>
      </c>
      <c r="E2869" s="2" t="s">
        <v>4870</v>
      </c>
      <c r="F2869" s="2" t="s">
        <v>14</v>
      </c>
      <c r="G2869" s="2" t="s">
        <v>15</v>
      </c>
      <c r="H2869" s="2">
        <v>83532</v>
      </c>
      <c r="I2869" s="2">
        <v>7.5</v>
      </c>
      <c r="J2869" s="2">
        <f t="shared" si="22"/>
        <v>30775468</v>
      </c>
      <c r="K2869" s="2">
        <f t="shared" si="23"/>
        <v>-2.1575053021294647E-2</v>
      </c>
      <c r="L2869" s="2" t="str">
        <f>IF(ISNUMBER(SEARCH("|",IMDB_Movies!$D2869)),LEFT(IMDB_Movies!$D2869,SEARCH("|",IMDB_Movies!$D2869)-1),IMDB_Movies!$D2869)</f>
        <v>Horror</v>
      </c>
      <c r="V2869" s="2"/>
      <c r="W2869" s="2"/>
    </row>
    <row r="2870" spans="1:23" ht="12.5" x14ac:dyDescent="0.25">
      <c r="A2870" s="2" t="s">
        <v>4871</v>
      </c>
      <c r="B2870" s="2">
        <v>106</v>
      </c>
      <c r="C2870" s="2">
        <v>3571735</v>
      </c>
      <c r="D2870" s="2" t="s">
        <v>1473</v>
      </c>
      <c r="E2870" s="2" t="s">
        <v>4872</v>
      </c>
      <c r="F2870" s="2" t="s">
        <v>14</v>
      </c>
      <c r="G2870" s="2" t="s">
        <v>15</v>
      </c>
      <c r="H2870" s="2">
        <v>10000000</v>
      </c>
      <c r="I2870" s="2">
        <v>6.6</v>
      </c>
      <c r="J2870" s="2">
        <f t="shared" si="22"/>
        <v>-6428265</v>
      </c>
      <c r="K2870" s="2">
        <f t="shared" si="23"/>
        <v>-2.1519710322663105E-2</v>
      </c>
      <c r="L2870" s="2" t="str">
        <f>IF(ISNUMBER(SEARCH("|",IMDB_Movies!$D2870)),LEFT(IMDB_Movies!$D2870,SEARCH("|",IMDB_Movies!$D2870)-1),IMDB_Movies!$D2870)</f>
        <v>Biography</v>
      </c>
      <c r="V2870" s="2"/>
      <c r="W2870" s="2"/>
    </row>
    <row r="2871" spans="1:23" ht="12.5" x14ac:dyDescent="0.25">
      <c r="A2871" s="2" t="s">
        <v>2335</v>
      </c>
      <c r="B2871" s="2">
        <v>181</v>
      </c>
      <c r="C2871" s="2">
        <v>50000000</v>
      </c>
      <c r="D2871" s="2" t="s">
        <v>3874</v>
      </c>
      <c r="E2871" s="2" t="s">
        <v>4873</v>
      </c>
      <c r="F2871" s="2" t="s">
        <v>14</v>
      </c>
      <c r="G2871" s="2" t="s">
        <v>15</v>
      </c>
      <c r="H2871" s="2">
        <v>9000000</v>
      </c>
      <c r="I2871" s="2">
        <v>8</v>
      </c>
      <c r="J2871" s="2">
        <f t="shared" si="22"/>
        <v>41000000</v>
      </c>
      <c r="K2871" s="2">
        <f t="shared" si="23"/>
        <v>-2.1528949831052607E-2</v>
      </c>
      <c r="L2871" s="2" t="str">
        <f>IF(ISNUMBER(SEARCH("|",IMDB_Movies!$D2871)),LEFT(IMDB_Movies!$D2871,SEARCH("|",IMDB_Movies!$D2871)-1),IMDB_Movies!$D2871)</f>
        <v>Drama</v>
      </c>
      <c r="V2871" s="2"/>
      <c r="W2871" s="2"/>
    </row>
    <row r="2872" spans="1:23" ht="12.5" x14ac:dyDescent="0.25">
      <c r="A2872" s="2" t="s">
        <v>4874</v>
      </c>
      <c r="B2872" s="2">
        <v>130</v>
      </c>
      <c r="C2872" s="2">
        <v>63600000</v>
      </c>
      <c r="D2872" s="2" t="s">
        <v>20</v>
      </c>
      <c r="E2872" s="2" t="s">
        <v>4875</v>
      </c>
      <c r="F2872" s="2" t="s">
        <v>14</v>
      </c>
      <c r="G2872" s="2" t="s">
        <v>22</v>
      </c>
      <c r="H2872" s="2">
        <v>9000000</v>
      </c>
      <c r="I2872" s="2">
        <v>7</v>
      </c>
      <c r="J2872" s="2">
        <f t="shared" si="22"/>
        <v>54600000</v>
      </c>
      <c r="K2872" s="2">
        <f t="shared" si="23"/>
        <v>-2.1513126193386561E-2</v>
      </c>
      <c r="L2872" s="2" t="str">
        <f>IF(ISNUMBER(SEARCH("|",IMDB_Movies!$D2872)),LEFT(IMDB_Movies!$D2872,SEARCH("|",IMDB_Movies!$D2872)-1),IMDB_Movies!$D2872)</f>
        <v>Action</v>
      </c>
      <c r="V2872" s="2"/>
      <c r="W2872" s="2"/>
    </row>
    <row r="2873" spans="1:23" ht="12.5" x14ac:dyDescent="0.25">
      <c r="A2873" s="2" t="s">
        <v>1067</v>
      </c>
      <c r="B2873" s="2">
        <v>123</v>
      </c>
      <c r="C2873" s="2">
        <v>36049108</v>
      </c>
      <c r="D2873" s="2" t="s">
        <v>1952</v>
      </c>
      <c r="E2873" s="2" t="s">
        <v>4876</v>
      </c>
      <c r="F2873" s="2" t="s">
        <v>14</v>
      </c>
      <c r="G2873" s="2" t="s">
        <v>15</v>
      </c>
      <c r="H2873" s="2">
        <v>9000000</v>
      </c>
      <c r="I2873" s="2">
        <v>6.8</v>
      </c>
      <c r="J2873" s="2">
        <f t="shared" si="22"/>
        <v>27049108</v>
      </c>
      <c r="K2873" s="2">
        <f t="shared" si="23"/>
        <v>-2.1502719450150642E-2</v>
      </c>
      <c r="L2873" s="2" t="str">
        <f>IF(ISNUMBER(SEARCH("|",IMDB_Movies!$D2873)),LEFT(IMDB_Movies!$D2873,SEARCH("|",IMDB_Movies!$D2873)-1),IMDB_Movies!$D2873)</f>
        <v>Action</v>
      </c>
      <c r="V2873" s="2"/>
      <c r="W2873" s="2"/>
    </row>
    <row r="2874" spans="1:23" ht="12.5" x14ac:dyDescent="0.25">
      <c r="A2874" s="2" t="s">
        <v>2965</v>
      </c>
      <c r="B2874" s="2">
        <v>120</v>
      </c>
      <c r="C2874" s="2">
        <v>34074895</v>
      </c>
      <c r="D2874" s="2" t="s">
        <v>891</v>
      </c>
      <c r="E2874" s="2" t="s">
        <v>4877</v>
      </c>
      <c r="F2874" s="2" t="s">
        <v>14</v>
      </c>
      <c r="G2874" s="2" t="s">
        <v>15</v>
      </c>
      <c r="H2874" s="2">
        <v>9000000</v>
      </c>
      <c r="I2874" s="2">
        <v>6.7</v>
      </c>
      <c r="J2874" s="2">
        <f t="shared" si="22"/>
        <v>25074895</v>
      </c>
      <c r="K2874" s="2">
        <f t="shared" si="23"/>
        <v>-2.1487614637829871E-2</v>
      </c>
      <c r="L2874" s="2" t="str">
        <f>IF(ISNUMBER(SEARCH("|",IMDB_Movies!$D2874)),LEFT(IMDB_Movies!$D2874,SEARCH("|",IMDB_Movies!$D2874)-1),IMDB_Movies!$D2874)</f>
        <v>Comedy</v>
      </c>
      <c r="V2874" s="2"/>
      <c r="W2874" s="2"/>
    </row>
    <row r="2875" spans="1:23" ht="12.5" x14ac:dyDescent="0.25">
      <c r="A2875" s="2" t="s">
        <v>4273</v>
      </c>
      <c r="B2875" s="2">
        <v>87</v>
      </c>
      <c r="C2875" s="2">
        <v>33244684</v>
      </c>
      <c r="D2875" s="2" t="s">
        <v>2465</v>
      </c>
      <c r="E2875" s="2" t="s">
        <v>4878</v>
      </c>
      <c r="F2875" s="2" t="s">
        <v>14</v>
      </c>
      <c r="G2875" s="2" t="s">
        <v>15</v>
      </c>
      <c r="H2875" s="2">
        <v>9000000</v>
      </c>
      <c r="I2875" s="2">
        <v>6.5</v>
      </c>
      <c r="J2875" s="2">
        <f t="shared" si="22"/>
        <v>24244684</v>
      </c>
      <c r="K2875" s="2">
        <f t="shared" si="23"/>
        <v>-2.147310740097472E-2</v>
      </c>
      <c r="L2875" s="2" t="str">
        <f>IF(ISNUMBER(SEARCH("|",IMDB_Movies!$D2875)),LEFT(IMDB_Movies!$D2875,SEARCH("|",IMDB_Movies!$D2875)-1),IMDB_Movies!$D2875)</f>
        <v>Fantasy</v>
      </c>
      <c r="V2875" s="2"/>
      <c r="W2875" s="2"/>
    </row>
    <row r="2876" spans="1:23" ht="12.5" x14ac:dyDescent="0.25">
      <c r="A2876" s="2" t="s">
        <v>4879</v>
      </c>
      <c r="B2876" s="2">
        <v>123</v>
      </c>
      <c r="C2876" s="2">
        <v>24530513</v>
      </c>
      <c r="D2876" s="2" t="s">
        <v>1004</v>
      </c>
      <c r="E2876" s="2" t="s">
        <v>4880</v>
      </c>
      <c r="F2876" s="2" t="s">
        <v>14</v>
      </c>
      <c r="G2876" s="2" t="s">
        <v>15</v>
      </c>
      <c r="H2876" s="2">
        <v>9000000</v>
      </c>
      <c r="I2876" s="2">
        <v>8</v>
      </c>
      <c r="J2876" s="2">
        <f t="shared" si="22"/>
        <v>15530513</v>
      </c>
      <c r="K2876" s="2">
        <f t="shared" si="23"/>
        <v>-2.1458869402007041E-2</v>
      </c>
      <c r="L2876" s="2" t="str">
        <f>IF(ISNUMBER(SEARCH("|",IMDB_Movies!$D2876)),LEFT(IMDB_Movies!$D2876,SEARCH("|",IMDB_Movies!$D2876)-1),IMDB_Movies!$D2876)</f>
        <v>Documentary</v>
      </c>
      <c r="V2876" s="2"/>
      <c r="W2876" s="2"/>
    </row>
    <row r="2877" spans="1:23" ht="12.5" x14ac:dyDescent="0.25">
      <c r="A2877" s="2" t="s">
        <v>4650</v>
      </c>
      <c r="B2877" s="2">
        <v>103</v>
      </c>
      <c r="C2877" s="2">
        <v>71519230</v>
      </c>
      <c r="D2877" s="2" t="s">
        <v>790</v>
      </c>
      <c r="E2877" s="2" t="s">
        <v>4881</v>
      </c>
      <c r="F2877" s="2" t="s">
        <v>14</v>
      </c>
      <c r="G2877" s="2" t="s">
        <v>15</v>
      </c>
      <c r="H2877" s="2">
        <v>9000000</v>
      </c>
      <c r="I2877" s="2">
        <v>6.5</v>
      </c>
      <c r="J2877" s="2">
        <f t="shared" si="22"/>
        <v>62519230</v>
      </c>
      <c r="K2877" s="2">
        <f t="shared" si="23"/>
        <v>-2.1449225458297236E-2</v>
      </c>
      <c r="L2877" s="2" t="str">
        <f>IF(ISNUMBER(SEARCH("|",IMDB_Movies!$D2877)),LEFT(IMDB_Movies!$D2877,SEARCH("|",IMDB_Movies!$D2877)-1),IMDB_Movies!$D2877)</f>
        <v>Action</v>
      </c>
      <c r="V2877" s="2"/>
      <c r="W2877" s="2"/>
    </row>
    <row r="2878" spans="1:23" ht="12.5" x14ac:dyDescent="0.25">
      <c r="A2878" s="2" t="s">
        <v>4882</v>
      </c>
      <c r="B2878" s="2">
        <v>91</v>
      </c>
      <c r="C2878" s="2">
        <v>20035310</v>
      </c>
      <c r="D2878" s="2" t="s">
        <v>514</v>
      </c>
      <c r="E2878" s="2" t="s">
        <v>4883</v>
      </c>
      <c r="F2878" s="2" t="s">
        <v>14</v>
      </c>
      <c r="G2878" s="2" t="s">
        <v>15</v>
      </c>
      <c r="H2878" s="2">
        <v>9000000</v>
      </c>
      <c r="I2878" s="2">
        <v>4.9000000000000004</v>
      </c>
      <c r="J2878" s="2">
        <f t="shared" si="22"/>
        <v>11035310</v>
      </c>
      <c r="K2878" s="2">
        <f t="shared" si="23"/>
        <v>-2.1444642919195841E-2</v>
      </c>
      <c r="L2878" s="2" t="str">
        <f>IF(ISNUMBER(SEARCH("|",IMDB_Movies!$D2878)),LEFT(IMDB_Movies!$D2878,SEARCH("|",IMDB_Movies!$D2878)-1),IMDB_Movies!$D2878)</f>
        <v>Comedy</v>
      </c>
      <c r="V2878" s="2"/>
      <c r="W2878" s="2"/>
    </row>
    <row r="2879" spans="1:23" ht="12.5" x14ac:dyDescent="0.25">
      <c r="A2879" s="2" t="s">
        <v>4320</v>
      </c>
      <c r="B2879" s="2">
        <v>88</v>
      </c>
      <c r="C2879" s="2">
        <v>18225165</v>
      </c>
      <c r="D2879" s="2" t="s">
        <v>1450</v>
      </c>
      <c r="E2879" s="2" t="s">
        <v>4884</v>
      </c>
      <c r="F2879" s="2" t="s">
        <v>14</v>
      </c>
      <c r="G2879" s="2" t="s">
        <v>15</v>
      </c>
      <c r="H2879" s="2">
        <v>9000000</v>
      </c>
      <c r="I2879" s="2">
        <v>7.1</v>
      </c>
      <c r="J2879" s="2">
        <f t="shared" si="22"/>
        <v>9225165</v>
      </c>
      <c r="K2879" s="2">
        <f t="shared" si="23"/>
        <v>-2.1438285150563872E-2</v>
      </c>
      <c r="L2879" s="2" t="str">
        <f>IF(ISNUMBER(SEARCH("|",IMDB_Movies!$D2879)),LEFT(IMDB_Movies!$D2879,SEARCH("|",IMDB_Movies!$D2879)-1),IMDB_Movies!$D2879)</f>
        <v>Adventure</v>
      </c>
      <c r="V2879" s="2"/>
      <c r="W2879" s="2"/>
    </row>
    <row r="2880" spans="1:23" ht="12.5" x14ac:dyDescent="0.25">
      <c r="A2880" s="2" t="s">
        <v>1494</v>
      </c>
      <c r="B2880" s="2">
        <v>126</v>
      </c>
      <c r="C2880" s="2">
        <v>17804273</v>
      </c>
      <c r="D2880" s="2" t="s">
        <v>1400</v>
      </c>
      <c r="E2880" s="2" t="s">
        <v>4885</v>
      </c>
      <c r="F2880" s="2" t="s">
        <v>14</v>
      </c>
      <c r="G2880" s="2" t="s">
        <v>15</v>
      </c>
      <c r="H2880" s="2">
        <v>20000000</v>
      </c>
      <c r="I2880" s="2">
        <v>7</v>
      </c>
      <c r="J2880" s="2">
        <f t="shared" si="22"/>
        <v>-2195727</v>
      </c>
      <c r="K2880" s="2">
        <f t="shared" si="23"/>
        <v>-2.143346961746817E-2</v>
      </c>
      <c r="L2880" s="2" t="str">
        <f>IF(ISNUMBER(SEARCH("|",IMDB_Movies!$D2880)),LEFT(IMDB_Movies!$D2880,SEARCH("|",IMDB_Movies!$D2880)-1),IMDB_Movies!$D2880)</f>
        <v>Drama</v>
      </c>
      <c r="V2880" s="2"/>
      <c r="W2880" s="2"/>
    </row>
    <row r="2881" spans="1:23" ht="12.5" x14ac:dyDescent="0.25">
      <c r="A2881" s="2" t="s">
        <v>4886</v>
      </c>
      <c r="B2881" s="2">
        <v>120</v>
      </c>
      <c r="C2881" s="2">
        <v>16938179</v>
      </c>
      <c r="D2881" s="2" t="s">
        <v>763</v>
      </c>
      <c r="E2881" s="2" t="s">
        <v>4887</v>
      </c>
      <c r="F2881" s="2" t="s">
        <v>14</v>
      </c>
      <c r="G2881" s="2" t="s">
        <v>15</v>
      </c>
      <c r="H2881" s="2">
        <v>8000000</v>
      </c>
      <c r="I2881" s="2">
        <v>7</v>
      </c>
      <c r="J2881" s="2">
        <f t="shared" si="22"/>
        <v>8938179</v>
      </c>
      <c r="K2881" s="2">
        <f t="shared" si="23"/>
        <v>-2.1442861512921952E-2</v>
      </c>
      <c r="L2881" s="2" t="str">
        <f>IF(ISNUMBER(SEARCH("|",IMDB_Movies!$D2881)),LEFT(IMDB_Movies!$D2881,SEARCH("|",IMDB_Movies!$D2881)-1),IMDB_Movies!$D2881)</f>
        <v>Crime</v>
      </c>
      <c r="V2881" s="2"/>
      <c r="W2881" s="2"/>
    </row>
    <row r="2882" spans="1:23" ht="12.5" x14ac:dyDescent="0.25">
      <c r="A2882" s="2" t="s">
        <v>3649</v>
      </c>
      <c r="B2882" s="2">
        <v>94</v>
      </c>
      <c r="C2882" s="2">
        <v>16235293</v>
      </c>
      <c r="D2882" s="2" t="s">
        <v>2148</v>
      </c>
      <c r="E2882" s="2" t="s">
        <v>4888</v>
      </c>
      <c r="F2882" s="2" t="s">
        <v>14</v>
      </c>
      <c r="G2882" s="2" t="s">
        <v>15</v>
      </c>
      <c r="H2882" s="2">
        <v>9000000</v>
      </c>
      <c r="I2882" s="2">
        <v>4.5</v>
      </c>
      <c r="J2882" s="2">
        <f t="shared" si="22"/>
        <v>7235293</v>
      </c>
      <c r="K2882" s="2">
        <f t="shared" si="23"/>
        <v>-2.1438199923124856E-2</v>
      </c>
      <c r="L2882" s="2" t="str">
        <f>IF(ISNUMBER(SEARCH("|",IMDB_Movies!$D2882)),LEFT(IMDB_Movies!$D2882,SEARCH("|",IMDB_Movies!$D2882)-1),IMDB_Movies!$D2882)</f>
        <v>Horror</v>
      </c>
      <c r="V2882" s="2"/>
      <c r="W2882" s="2"/>
    </row>
    <row r="2883" spans="1:23" ht="12.5" x14ac:dyDescent="0.25">
      <c r="A2883" s="2" t="s">
        <v>317</v>
      </c>
      <c r="B2883" s="2">
        <v>137</v>
      </c>
      <c r="C2883" s="2">
        <v>10161099</v>
      </c>
      <c r="D2883" s="2" t="s">
        <v>4889</v>
      </c>
      <c r="E2883" s="2" t="s">
        <v>4890</v>
      </c>
      <c r="F2883" s="2" t="s">
        <v>14</v>
      </c>
      <c r="G2883" s="2" t="s">
        <v>22</v>
      </c>
      <c r="H2883" s="2">
        <v>9000000</v>
      </c>
      <c r="I2883" s="2">
        <v>7.7</v>
      </c>
      <c r="J2883" s="2">
        <f t="shared" si="22"/>
        <v>1161099</v>
      </c>
      <c r="K2883" s="2">
        <f t="shared" si="23"/>
        <v>-2.1435207067785171E-2</v>
      </c>
      <c r="L2883" s="2" t="str">
        <f>IF(ISNUMBER(SEARCH("|",IMDB_Movies!$D2883)),LEFT(IMDB_Movies!$D2883,SEARCH("|",IMDB_Movies!$D2883)-1),IMDB_Movies!$D2883)</f>
        <v>Action</v>
      </c>
      <c r="V2883" s="2"/>
      <c r="W2883" s="2"/>
    </row>
    <row r="2884" spans="1:23" ht="12.5" x14ac:dyDescent="0.25">
      <c r="A2884" s="2" t="s">
        <v>329</v>
      </c>
      <c r="B2884" s="2">
        <v>119</v>
      </c>
      <c r="C2884" s="2">
        <v>6047856</v>
      </c>
      <c r="D2884" s="2" t="s">
        <v>177</v>
      </c>
      <c r="E2884" s="2" t="s">
        <v>4891</v>
      </c>
      <c r="F2884" s="2" t="s">
        <v>14</v>
      </c>
      <c r="G2884" s="2" t="s">
        <v>15</v>
      </c>
      <c r="H2884" s="2">
        <v>8500000</v>
      </c>
      <c r="I2884" s="2">
        <v>6.7</v>
      </c>
      <c r="J2884" s="2">
        <f t="shared" si="22"/>
        <v>-2452144</v>
      </c>
      <c r="K2884" s="2">
        <f t="shared" si="23"/>
        <v>-2.1438646512355119E-2</v>
      </c>
      <c r="L2884" s="2" t="str">
        <f>IF(ISNUMBER(SEARCH("|",IMDB_Movies!$D2884)),LEFT(IMDB_Movies!$D2884,SEARCH("|",IMDB_Movies!$D2884)-1),IMDB_Movies!$D2884)</f>
        <v>Action</v>
      </c>
      <c r="V2884" s="2"/>
      <c r="W2884" s="2"/>
    </row>
    <row r="2885" spans="1:23" ht="12.5" x14ac:dyDescent="0.25">
      <c r="A2885" s="2" t="s">
        <v>2042</v>
      </c>
      <c r="B2885" s="2">
        <v>99</v>
      </c>
      <c r="C2885" s="2">
        <v>4681503</v>
      </c>
      <c r="D2885" s="2" t="s">
        <v>891</v>
      </c>
      <c r="E2885" s="2" t="s">
        <v>4892</v>
      </c>
      <c r="F2885" s="2" t="s">
        <v>14</v>
      </c>
      <c r="G2885" s="2" t="s">
        <v>15</v>
      </c>
      <c r="H2885" s="2">
        <v>9000000</v>
      </c>
      <c r="I2885" s="2">
        <v>7</v>
      </c>
      <c r="J2885" s="2">
        <f t="shared" si="22"/>
        <v>-4318497</v>
      </c>
      <c r="K2885" s="2">
        <f t="shared" si="23"/>
        <v>-2.1448162457594597E-2</v>
      </c>
      <c r="L2885" s="2" t="str">
        <f>IF(ISNUMBER(SEARCH("|",IMDB_Movies!$D2885)),LEFT(IMDB_Movies!$D2885,SEARCH("|",IMDB_Movies!$D2885)-1),IMDB_Movies!$D2885)</f>
        <v>Comedy</v>
      </c>
      <c r="V2885" s="2"/>
      <c r="W2885" s="2"/>
    </row>
    <row r="2886" spans="1:23" ht="12.5" x14ac:dyDescent="0.25">
      <c r="A2886" s="2" t="s">
        <v>4893</v>
      </c>
      <c r="B2886" s="2">
        <v>79</v>
      </c>
      <c r="C2886" s="2">
        <v>4350774</v>
      </c>
      <c r="D2886" s="2" t="s">
        <v>709</v>
      </c>
      <c r="E2886" s="2" t="s">
        <v>4894</v>
      </c>
      <c r="F2886" s="2" t="s">
        <v>14</v>
      </c>
      <c r="G2886" s="2" t="s">
        <v>15</v>
      </c>
      <c r="H2886" s="2">
        <v>8000000</v>
      </c>
      <c r="I2886" s="2">
        <v>6.5</v>
      </c>
      <c r="J2886" s="2">
        <f t="shared" si="22"/>
        <v>-3649226</v>
      </c>
      <c r="K2886" s="2">
        <f t="shared" si="23"/>
        <v>-2.145851151571767E-2</v>
      </c>
      <c r="L2886" s="2" t="str">
        <f>IF(ISNUMBER(SEARCH("|",IMDB_Movies!$D2886)),LEFT(IMDB_Movies!$D2886,SEARCH("|",IMDB_Movies!$D2886)-1),IMDB_Movies!$D2886)</f>
        <v>Comedy</v>
      </c>
      <c r="V2886" s="2"/>
      <c r="W2886" s="2"/>
    </row>
    <row r="2887" spans="1:23" ht="12.5" x14ac:dyDescent="0.25">
      <c r="A2887" s="2" t="s">
        <v>4286</v>
      </c>
      <c r="B2887" s="2">
        <v>95</v>
      </c>
      <c r="C2887" s="2">
        <v>2955039</v>
      </c>
      <c r="D2887" s="2" t="s">
        <v>585</v>
      </c>
      <c r="E2887" s="2" t="s">
        <v>4895</v>
      </c>
      <c r="F2887" s="2" t="s">
        <v>14</v>
      </c>
      <c r="G2887" s="2" t="s">
        <v>15</v>
      </c>
      <c r="H2887" s="2">
        <v>9000000</v>
      </c>
      <c r="I2887" s="2">
        <v>6.2</v>
      </c>
      <c r="J2887" s="2">
        <f t="shared" si="22"/>
        <v>-6044961</v>
      </c>
      <c r="K2887" s="2">
        <f t="shared" si="23"/>
        <v>-2.1471808138963131E-2</v>
      </c>
      <c r="L2887" s="2" t="str">
        <f>IF(ISNUMBER(SEARCH("|",IMDB_Movies!$D2887)),LEFT(IMDB_Movies!$D2887,SEARCH("|",IMDB_Movies!$D2887)-1),IMDB_Movies!$D2887)</f>
        <v>Biography</v>
      </c>
      <c r="V2887" s="2"/>
      <c r="W2887" s="2"/>
    </row>
    <row r="2888" spans="1:23" ht="12.5" x14ac:dyDescent="0.25">
      <c r="A2888" s="2" t="s">
        <v>3808</v>
      </c>
      <c r="B2888" s="2">
        <v>103</v>
      </c>
      <c r="C2888" s="2">
        <v>1530535</v>
      </c>
      <c r="D2888" s="2" t="s">
        <v>514</v>
      </c>
      <c r="E2888" s="2" t="s">
        <v>4896</v>
      </c>
      <c r="F2888" s="2" t="s">
        <v>14</v>
      </c>
      <c r="G2888" s="2" t="s">
        <v>15</v>
      </c>
      <c r="H2888" s="2">
        <v>9000000</v>
      </c>
      <c r="I2888" s="2">
        <v>5.7</v>
      </c>
      <c r="J2888" s="2">
        <f t="shared" si="22"/>
        <v>-7469465</v>
      </c>
      <c r="K2888" s="2">
        <f t="shared" si="23"/>
        <v>-2.148459533658716E-2</v>
      </c>
      <c r="L2888" s="2" t="str">
        <f>IF(ISNUMBER(SEARCH("|",IMDB_Movies!$D2888)),LEFT(IMDB_Movies!$D2888,SEARCH("|",IMDB_Movies!$D2888)-1),IMDB_Movies!$D2888)</f>
        <v>Comedy</v>
      </c>
      <c r="V2888" s="2"/>
      <c r="W2888" s="2"/>
    </row>
    <row r="2889" spans="1:23" ht="12.5" x14ac:dyDescent="0.25">
      <c r="A2889" s="2" t="s">
        <v>3536</v>
      </c>
      <c r="B2889" s="2">
        <v>92</v>
      </c>
      <c r="C2889" s="2">
        <v>4881867</v>
      </c>
      <c r="D2889" s="2" t="s">
        <v>2525</v>
      </c>
      <c r="E2889" s="2" t="s">
        <v>4897</v>
      </c>
      <c r="F2889" s="2" t="s">
        <v>14</v>
      </c>
      <c r="G2889" s="2" t="s">
        <v>15</v>
      </c>
      <c r="H2889" s="2">
        <v>9000000</v>
      </c>
      <c r="I2889" s="2">
        <v>6.4</v>
      </c>
      <c r="J2889" s="2">
        <f t="shared" si="22"/>
        <v>-4118133</v>
      </c>
      <c r="K2889" s="2">
        <f t="shared" si="23"/>
        <v>-2.1499460530188457E-2</v>
      </c>
      <c r="L2889" s="2" t="str">
        <f>IF(ISNUMBER(SEARCH("|",IMDB_Movies!$D2889)),LEFT(IMDB_Movies!$D2889,SEARCH("|",IMDB_Movies!$D2889)-1),IMDB_Movies!$D2889)</f>
        <v>Comedy</v>
      </c>
      <c r="V2889" s="2"/>
      <c r="W2889" s="2"/>
    </row>
    <row r="2890" spans="1:23" ht="12.5" x14ac:dyDescent="0.25">
      <c r="A2890" s="2" t="s">
        <v>3801</v>
      </c>
      <c r="B2890" s="2">
        <v>84</v>
      </c>
      <c r="C2890" s="2">
        <v>11860839</v>
      </c>
      <c r="D2890" s="2" t="s">
        <v>1398</v>
      </c>
      <c r="E2890" s="2" t="s">
        <v>4898</v>
      </c>
      <c r="F2890" s="2" t="s">
        <v>14</v>
      </c>
      <c r="G2890" s="2" t="s">
        <v>15</v>
      </c>
      <c r="H2890" s="2">
        <v>9000000</v>
      </c>
      <c r="I2890" s="2">
        <v>5.4</v>
      </c>
      <c r="J2890" s="2">
        <f t="shared" si="22"/>
        <v>2860839</v>
      </c>
      <c r="K2890" s="2">
        <f t="shared" si="23"/>
        <v>-2.1509647927365056E-2</v>
      </c>
      <c r="L2890" s="2" t="str">
        <f>IF(ISNUMBER(SEARCH("|",IMDB_Movies!$D2890)),LEFT(IMDB_Movies!$D2890,SEARCH("|",IMDB_Movies!$D2890)-1),IMDB_Movies!$D2890)</f>
        <v>Documentary</v>
      </c>
      <c r="V2890" s="2"/>
      <c r="W2890" s="2"/>
    </row>
    <row r="2891" spans="1:23" ht="12.5" x14ac:dyDescent="0.25">
      <c r="A2891" s="2" t="s">
        <v>4899</v>
      </c>
      <c r="B2891" s="2">
        <v>300</v>
      </c>
      <c r="C2891" s="2">
        <v>454255</v>
      </c>
      <c r="D2891" s="2" t="s">
        <v>406</v>
      </c>
      <c r="E2891" s="2" t="s">
        <v>4900</v>
      </c>
      <c r="F2891" s="2" t="s">
        <v>4220</v>
      </c>
      <c r="G2891" s="2" t="s">
        <v>4221</v>
      </c>
      <c r="H2891" s="2">
        <v>400000000</v>
      </c>
      <c r="I2891" s="2">
        <v>6.6</v>
      </c>
      <c r="J2891" s="2">
        <f t="shared" si="22"/>
        <v>-399545745</v>
      </c>
      <c r="K2891" s="2">
        <f t="shared" si="23"/>
        <v>-2.1511246083585456E-2</v>
      </c>
      <c r="L2891" s="2" t="str">
        <f>IF(ISNUMBER(SEARCH("|",IMDB_Movies!$D2891)),LEFT(IMDB_Movies!$D2891,SEARCH("|",IMDB_Movies!$D2891)-1),IMDB_Movies!$D2891)</f>
        <v>Action</v>
      </c>
      <c r="V2891" s="2"/>
      <c r="W2891" s="2"/>
    </row>
    <row r="2892" spans="1:23" ht="12.5" x14ac:dyDescent="0.25">
      <c r="A2892" s="2" t="s">
        <v>4901</v>
      </c>
      <c r="B2892" s="2">
        <v>120</v>
      </c>
      <c r="C2892" s="2">
        <v>349618</v>
      </c>
      <c r="D2892" s="2" t="s">
        <v>2148</v>
      </c>
      <c r="E2892" s="2" t="s">
        <v>4902</v>
      </c>
      <c r="F2892" s="2" t="s">
        <v>14</v>
      </c>
      <c r="G2892" s="2" t="s">
        <v>2862</v>
      </c>
      <c r="H2892" s="2">
        <v>9000000</v>
      </c>
      <c r="I2892" s="2">
        <v>6.1</v>
      </c>
      <c r="J2892" s="2">
        <f t="shared" si="22"/>
        <v>-8650382</v>
      </c>
      <c r="K2892" s="2">
        <f t="shared" si="23"/>
        <v>-2.0208984370329839E-2</v>
      </c>
      <c r="L2892" s="2" t="str">
        <f>IF(ISNUMBER(SEARCH("|",IMDB_Movies!$D2892)),LEFT(IMDB_Movies!$D2892,SEARCH("|",IMDB_Movies!$D2892)-1),IMDB_Movies!$D2892)</f>
        <v>Horror</v>
      </c>
      <c r="V2892" s="2"/>
      <c r="W2892" s="2"/>
    </row>
    <row r="2893" spans="1:23" ht="12.5" x14ac:dyDescent="0.25">
      <c r="A2893" s="2" t="s">
        <v>3652</v>
      </c>
      <c r="B2893" s="2">
        <v>121</v>
      </c>
      <c r="C2893" s="2">
        <v>112935</v>
      </c>
      <c r="D2893" s="2" t="s">
        <v>1180</v>
      </c>
      <c r="E2893" s="2" t="s">
        <v>4903</v>
      </c>
      <c r="F2893" s="2" t="s">
        <v>14</v>
      </c>
      <c r="G2893" s="2" t="s">
        <v>22</v>
      </c>
      <c r="H2893" s="2">
        <v>9000000</v>
      </c>
      <c r="I2893" s="2">
        <v>7.6</v>
      </c>
      <c r="J2893" s="2">
        <f t="shared" si="22"/>
        <v>-8887065</v>
      </c>
      <c r="K2893" s="2">
        <f t="shared" si="23"/>
        <v>-2.0224029638695313E-2</v>
      </c>
      <c r="L2893" s="2" t="str">
        <f>IF(ISNUMBER(SEARCH("|",IMDB_Movies!$D2893)),LEFT(IMDB_Movies!$D2893,SEARCH("|",IMDB_Movies!$D2893)-1),IMDB_Movies!$D2893)</f>
        <v>Drama</v>
      </c>
      <c r="V2893" s="2"/>
      <c r="W2893" s="2"/>
    </row>
    <row r="2894" spans="1:23" ht="12.5" x14ac:dyDescent="0.25">
      <c r="A2894" s="2" t="s">
        <v>4904</v>
      </c>
      <c r="B2894" s="2">
        <v>97</v>
      </c>
      <c r="C2894" s="2">
        <v>883887</v>
      </c>
      <c r="D2894" s="2" t="s">
        <v>1180</v>
      </c>
      <c r="E2894" s="2" t="s">
        <v>4905</v>
      </c>
      <c r="F2894" s="2" t="s">
        <v>14</v>
      </c>
      <c r="G2894" s="2" t="s">
        <v>15</v>
      </c>
      <c r="H2894" s="2">
        <v>9000000</v>
      </c>
      <c r="I2894" s="2">
        <v>6.2</v>
      </c>
      <c r="J2894" s="2">
        <f t="shared" si="22"/>
        <v>-8116113</v>
      </c>
      <c r="K2894" s="2">
        <f t="shared" si="23"/>
        <v>-2.0239437208081256E-2</v>
      </c>
      <c r="L2894" s="2" t="str">
        <f>IF(ISNUMBER(SEARCH("|",IMDB_Movies!$D2894)),LEFT(IMDB_Movies!$D2894,SEARCH("|",IMDB_Movies!$D2894)-1),IMDB_Movies!$D2894)</f>
        <v>Drama</v>
      </c>
      <c r="V2894" s="2"/>
      <c r="W2894" s="2"/>
    </row>
    <row r="2895" spans="1:23" ht="12.5" x14ac:dyDescent="0.25">
      <c r="A2895" s="2" t="s">
        <v>4183</v>
      </c>
      <c r="B2895" s="2">
        <v>86</v>
      </c>
      <c r="C2895" s="2">
        <v>13751</v>
      </c>
      <c r="D2895" s="2" t="s">
        <v>2383</v>
      </c>
      <c r="E2895" s="2" t="s">
        <v>4906</v>
      </c>
      <c r="F2895" s="2" t="s">
        <v>14</v>
      </c>
      <c r="G2895" s="2" t="s">
        <v>135</v>
      </c>
      <c r="H2895" s="2">
        <v>11400000</v>
      </c>
      <c r="I2895" s="2">
        <v>6.6</v>
      </c>
      <c r="J2895" s="2">
        <f t="shared" si="22"/>
        <v>-11386249</v>
      </c>
      <c r="K2895" s="2">
        <f t="shared" si="23"/>
        <v>-2.0253832535903668E-2</v>
      </c>
      <c r="L2895" s="2" t="str">
        <f>IF(ISNUMBER(SEARCH("|",IMDB_Movies!$D2895)),LEFT(IMDB_Movies!$D2895,SEARCH("|",IMDB_Movies!$D2895)-1),IMDB_Movies!$D2895)</f>
        <v>Drama</v>
      </c>
      <c r="V2895" s="2"/>
      <c r="W2895" s="2"/>
    </row>
    <row r="2896" spans="1:23" ht="12.5" x14ac:dyDescent="0.25">
      <c r="A2896" s="2" t="s">
        <v>4907</v>
      </c>
      <c r="B2896" s="2">
        <v>45</v>
      </c>
      <c r="C2896" s="2">
        <v>145109</v>
      </c>
      <c r="D2896" s="2" t="s">
        <v>779</v>
      </c>
      <c r="E2896" s="2" t="s">
        <v>4908</v>
      </c>
      <c r="F2896" s="2" t="s">
        <v>4909</v>
      </c>
      <c r="G2896" s="2" t="s">
        <v>2553</v>
      </c>
      <c r="H2896" s="2">
        <v>45000000</v>
      </c>
      <c r="I2896" s="2">
        <v>7.3</v>
      </c>
      <c r="J2896" s="2">
        <f t="shared" si="22"/>
        <v>-44854891</v>
      </c>
      <c r="K2896" s="2">
        <f t="shared" si="23"/>
        <v>-2.0260529044453482E-2</v>
      </c>
      <c r="L2896" s="2" t="str">
        <f>IF(ISNUMBER(SEARCH("|",IMDB_Movies!$D2896)),LEFT(IMDB_Movies!$D2896,SEARCH("|",IMDB_Movies!$D2896)-1),IMDB_Movies!$D2896)</f>
        <v>Drama</v>
      </c>
      <c r="V2896" s="2"/>
      <c r="W2896" s="2"/>
    </row>
    <row r="2897" spans="1:23" ht="12.5" x14ac:dyDescent="0.25">
      <c r="A2897" s="2" t="s">
        <v>4910</v>
      </c>
      <c r="B2897" s="2">
        <v>97</v>
      </c>
      <c r="C2897" s="2">
        <v>1046166</v>
      </c>
      <c r="D2897" s="2" t="s">
        <v>3891</v>
      </c>
      <c r="E2897" s="2" t="s">
        <v>4911</v>
      </c>
      <c r="F2897" s="2" t="s">
        <v>14</v>
      </c>
      <c r="G2897" s="2" t="s">
        <v>287</v>
      </c>
      <c r="H2897" s="2">
        <v>9000000</v>
      </c>
      <c r="I2897" s="2">
        <v>4.2</v>
      </c>
      <c r="J2897" s="2">
        <f t="shared" si="22"/>
        <v>-7953834</v>
      </c>
      <c r="K2897" s="2">
        <f t="shared" si="23"/>
        <v>-2.0143874580718681E-2</v>
      </c>
      <c r="L2897" s="2" t="str">
        <f>IF(ISNUMBER(SEARCH("|",IMDB_Movies!$D2897)),LEFT(IMDB_Movies!$D2897,SEARCH("|",IMDB_Movies!$D2897)-1),IMDB_Movies!$D2897)</f>
        <v>Comedy</v>
      </c>
      <c r="V2897" s="2"/>
      <c r="W2897" s="2"/>
    </row>
    <row r="2898" spans="1:23" ht="12.5" x14ac:dyDescent="0.25">
      <c r="A2898" s="2" t="s">
        <v>4912</v>
      </c>
      <c r="B2898" s="2">
        <v>93</v>
      </c>
      <c r="C2898" s="2">
        <v>174635000</v>
      </c>
      <c r="D2898" s="2" t="s">
        <v>1450</v>
      </c>
      <c r="E2898" s="2" t="s">
        <v>4913</v>
      </c>
      <c r="F2898" s="2" t="s">
        <v>14</v>
      </c>
      <c r="G2898" s="2" t="s">
        <v>135</v>
      </c>
      <c r="H2898" s="2">
        <v>8800000</v>
      </c>
      <c r="I2898" s="2">
        <v>6.5</v>
      </c>
      <c r="J2898" s="2">
        <f t="shared" si="22"/>
        <v>165835000</v>
      </c>
      <c r="K2898" s="2">
        <f t="shared" si="23"/>
        <v>-2.0157997044988617E-2</v>
      </c>
      <c r="L2898" s="2" t="str">
        <f>IF(ISNUMBER(SEARCH("|",IMDB_Movies!$D2898)),LEFT(IMDB_Movies!$D2898,SEARCH("|",IMDB_Movies!$D2898)-1),IMDB_Movies!$D2898)</f>
        <v>Adventure</v>
      </c>
      <c r="V2898" s="2"/>
      <c r="W2898" s="2"/>
    </row>
    <row r="2899" spans="1:23" ht="12.5" x14ac:dyDescent="0.25">
      <c r="A2899" s="2" t="s">
        <v>4914</v>
      </c>
      <c r="B2899" s="2">
        <v>84</v>
      </c>
      <c r="C2899" s="2">
        <v>14373825</v>
      </c>
      <c r="D2899" s="2" t="s">
        <v>793</v>
      </c>
      <c r="E2899" s="2" t="s">
        <v>4915</v>
      </c>
      <c r="F2899" s="2" t="s">
        <v>14</v>
      </c>
      <c r="G2899" s="2" t="s">
        <v>15</v>
      </c>
      <c r="H2899" s="2">
        <v>8600000</v>
      </c>
      <c r="I2899" s="2">
        <v>6.5</v>
      </c>
      <c r="J2899" s="2">
        <f t="shared" si="22"/>
        <v>5773825</v>
      </c>
      <c r="K2899" s="2">
        <f t="shared" si="23"/>
        <v>-2.0417052503076391E-2</v>
      </c>
      <c r="L2899" s="2" t="str">
        <f>IF(ISNUMBER(SEARCH("|",IMDB_Movies!$D2899)),LEFT(IMDB_Movies!$D2899,SEARCH("|",IMDB_Movies!$D2899)-1),IMDB_Movies!$D2899)</f>
        <v>Crime</v>
      </c>
      <c r="V2899" s="2"/>
      <c r="W2899" s="2"/>
    </row>
    <row r="2900" spans="1:23" ht="12.5" x14ac:dyDescent="0.25">
      <c r="A2900" s="2" t="s">
        <v>4916</v>
      </c>
      <c r="B2900" s="2">
        <v>96</v>
      </c>
      <c r="C2900" s="2">
        <v>162</v>
      </c>
      <c r="D2900" s="2" t="s">
        <v>125</v>
      </c>
      <c r="E2900" s="2" t="s">
        <v>4917</v>
      </c>
      <c r="F2900" s="2" t="s">
        <v>14</v>
      </c>
      <c r="G2900" s="2" t="s">
        <v>4221</v>
      </c>
      <c r="H2900" s="2">
        <v>9000000</v>
      </c>
      <c r="I2900" s="2">
        <v>5.7</v>
      </c>
      <c r="J2900" s="2">
        <f t="shared" si="22"/>
        <v>-8999838</v>
      </c>
      <c r="K2900" s="2">
        <f t="shared" si="23"/>
        <v>-2.0415852824559121E-2</v>
      </c>
      <c r="L2900" s="2" t="str">
        <f>IF(ISNUMBER(SEARCH("|",IMDB_Movies!$D2900)),LEFT(IMDB_Movies!$D2900,SEARCH("|",IMDB_Movies!$D2900)-1),IMDB_Movies!$D2900)</f>
        <v>Action</v>
      </c>
      <c r="V2900" s="2"/>
      <c r="W2900" s="2"/>
    </row>
    <row r="2901" spans="1:23" ht="12.5" x14ac:dyDescent="0.25">
      <c r="A2901" s="2" t="s">
        <v>1662</v>
      </c>
      <c r="B2901" s="2">
        <v>112</v>
      </c>
      <c r="C2901" s="2">
        <v>39462438</v>
      </c>
      <c r="D2901" s="2" t="s">
        <v>2586</v>
      </c>
      <c r="E2901" s="2" t="s">
        <v>4918</v>
      </c>
      <c r="F2901" s="2" t="s">
        <v>14</v>
      </c>
      <c r="G2901" s="2" t="s">
        <v>15</v>
      </c>
      <c r="H2901" s="2">
        <v>7000000</v>
      </c>
      <c r="I2901" s="2">
        <v>7.3</v>
      </c>
      <c r="J2901" s="2">
        <f t="shared" si="22"/>
        <v>32462438</v>
      </c>
      <c r="K2901" s="2">
        <f t="shared" si="23"/>
        <v>-2.0431629990539383E-2</v>
      </c>
      <c r="L2901" s="2" t="str">
        <f>IF(ISNUMBER(SEARCH("|",IMDB_Movies!$D2901)),LEFT(IMDB_Movies!$D2901,SEARCH("|",IMDB_Movies!$D2901)-1),IMDB_Movies!$D2901)</f>
        <v>Drama</v>
      </c>
      <c r="V2901" s="2"/>
      <c r="W2901" s="2"/>
    </row>
    <row r="2902" spans="1:23" ht="12.5" x14ac:dyDescent="0.25">
      <c r="A2902" s="2" t="s">
        <v>4919</v>
      </c>
      <c r="B2902" s="2">
        <v>125</v>
      </c>
      <c r="C2902" s="2">
        <v>29200000</v>
      </c>
      <c r="D2902" s="2" t="s">
        <v>2586</v>
      </c>
      <c r="E2902" s="2" t="s">
        <v>4920</v>
      </c>
      <c r="F2902" s="2" t="s">
        <v>14</v>
      </c>
      <c r="G2902" s="2" t="s">
        <v>15</v>
      </c>
      <c r="H2902" s="2">
        <v>8500000</v>
      </c>
      <c r="I2902" s="2">
        <v>6.9</v>
      </c>
      <c r="J2902" s="2">
        <f t="shared" si="22"/>
        <v>20700000</v>
      </c>
      <c r="K2902" s="2">
        <f t="shared" si="23"/>
        <v>-2.0402769236224041E-2</v>
      </c>
      <c r="L2902" s="2" t="str">
        <f>IF(ISNUMBER(SEARCH("|",IMDB_Movies!$D2902)),LEFT(IMDB_Movies!$D2902,SEARCH("|",IMDB_Movies!$D2902)-1),IMDB_Movies!$D2902)</f>
        <v>Drama</v>
      </c>
      <c r="V2902" s="2"/>
      <c r="W2902" s="2"/>
    </row>
    <row r="2903" spans="1:23" ht="12.5" x14ac:dyDescent="0.25">
      <c r="A2903" s="2" t="s">
        <v>4921</v>
      </c>
      <c r="B2903" s="2">
        <v>96</v>
      </c>
      <c r="C2903" s="2">
        <v>21564616</v>
      </c>
      <c r="D2903" s="2" t="s">
        <v>709</v>
      </c>
      <c r="E2903" s="2" t="s">
        <v>4922</v>
      </c>
      <c r="F2903" s="2" t="s">
        <v>14</v>
      </c>
      <c r="G2903" s="2" t="s">
        <v>15</v>
      </c>
      <c r="H2903" s="2">
        <v>8500000</v>
      </c>
      <c r="I2903" s="2">
        <v>5</v>
      </c>
      <c r="J2903" s="2">
        <f t="shared" si="22"/>
        <v>13064616</v>
      </c>
      <c r="K2903" s="2">
        <f t="shared" si="23"/>
        <v>-2.0389215934227496E-2</v>
      </c>
      <c r="L2903" s="2" t="str">
        <f>IF(ISNUMBER(SEARCH("|",IMDB_Movies!$D2903)),LEFT(IMDB_Movies!$D2903,SEARCH("|",IMDB_Movies!$D2903)-1),IMDB_Movies!$D2903)</f>
        <v>Comedy</v>
      </c>
      <c r="V2903" s="2"/>
      <c r="W2903" s="2"/>
    </row>
    <row r="2904" spans="1:23" ht="12.5" x14ac:dyDescent="0.25">
      <c r="A2904" s="2" t="s">
        <v>2711</v>
      </c>
      <c r="B2904" s="2">
        <v>103</v>
      </c>
      <c r="C2904" s="2">
        <v>14879556</v>
      </c>
      <c r="D2904" s="2" t="s">
        <v>891</v>
      </c>
      <c r="E2904" s="2" t="s">
        <v>4923</v>
      </c>
      <c r="F2904" s="2" t="s">
        <v>14</v>
      </c>
      <c r="G2904" s="2" t="s">
        <v>15</v>
      </c>
      <c r="H2904" s="2">
        <v>8000000</v>
      </c>
      <c r="I2904" s="2">
        <v>7.3</v>
      </c>
      <c r="J2904" s="2">
        <f t="shared" si="22"/>
        <v>6879556</v>
      </c>
      <c r="K2904" s="2">
        <f t="shared" si="23"/>
        <v>-2.0381051577106197E-2</v>
      </c>
      <c r="L2904" s="2" t="str">
        <f>IF(ISNUMBER(SEARCH("|",IMDB_Movies!$D2904)),LEFT(IMDB_Movies!$D2904,SEARCH("|",IMDB_Movies!$D2904)-1),IMDB_Movies!$D2904)</f>
        <v>Comedy</v>
      </c>
      <c r="V2904" s="2"/>
      <c r="W2904" s="2"/>
    </row>
    <row r="2905" spans="1:23" ht="12.5" x14ac:dyDescent="0.25">
      <c r="A2905" s="2" t="s">
        <v>4924</v>
      </c>
      <c r="B2905" s="2">
        <v>101</v>
      </c>
      <c r="C2905" s="2">
        <v>34017854</v>
      </c>
      <c r="D2905" s="2" t="s">
        <v>709</v>
      </c>
      <c r="E2905" s="2" t="s">
        <v>4925</v>
      </c>
      <c r="F2905" s="2" t="s">
        <v>14</v>
      </c>
      <c r="G2905" s="2" t="s">
        <v>15</v>
      </c>
      <c r="H2905" s="2">
        <v>8500000</v>
      </c>
      <c r="I2905" s="2">
        <v>6.5</v>
      </c>
      <c r="J2905" s="2">
        <f t="shared" si="22"/>
        <v>25517854</v>
      </c>
      <c r="K2905" s="2">
        <f t="shared" si="23"/>
        <v>-2.0378985688473683E-2</v>
      </c>
      <c r="L2905" s="2" t="str">
        <f>IF(ISNUMBER(SEARCH("|",IMDB_Movies!$D2905)),LEFT(IMDB_Movies!$D2905,SEARCH("|",IMDB_Movies!$D2905)-1),IMDB_Movies!$D2905)</f>
        <v>Comedy</v>
      </c>
      <c r="V2905" s="2"/>
      <c r="W2905" s="2"/>
    </row>
    <row r="2906" spans="1:23" ht="12.5" x14ac:dyDescent="0.25">
      <c r="A2906" s="2" t="s">
        <v>4926</v>
      </c>
      <c r="B2906" s="2">
        <v>104</v>
      </c>
      <c r="C2906" s="2">
        <v>4273372</v>
      </c>
      <c r="D2906" s="2" t="s">
        <v>2586</v>
      </c>
      <c r="E2906" s="2" t="s">
        <v>4927</v>
      </c>
      <c r="F2906" s="2" t="s">
        <v>14</v>
      </c>
      <c r="G2906" s="2" t="s">
        <v>15</v>
      </c>
      <c r="H2906" s="2">
        <v>22000000</v>
      </c>
      <c r="I2906" s="2">
        <v>2.1</v>
      </c>
      <c r="J2906" s="2">
        <f t="shared" si="22"/>
        <v>-17726628</v>
      </c>
      <c r="K2906" s="2">
        <f t="shared" si="23"/>
        <v>-2.0362911140450513E-2</v>
      </c>
      <c r="L2906" s="2" t="str">
        <f>IF(ISNUMBER(SEARCH("|",IMDB_Movies!$D2906)),LEFT(IMDB_Movies!$D2906,SEARCH("|",IMDB_Movies!$D2906)-1),IMDB_Movies!$D2906)</f>
        <v>Drama</v>
      </c>
      <c r="V2906" s="2"/>
      <c r="W2906" s="2"/>
    </row>
    <row r="2907" spans="1:23" ht="12.5" x14ac:dyDescent="0.25">
      <c r="A2907" s="2" t="s">
        <v>4524</v>
      </c>
      <c r="B2907" s="2">
        <v>119</v>
      </c>
      <c r="C2907" s="2">
        <v>4440055</v>
      </c>
      <c r="D2907" s="2" t="s">
        <v>2124</v>
      </c>
      <c r="E2907" s="2" t="s">
        <v>4928</v>
      </c>
      <c r="F2907" s="2" t="s">
        <v>14</v>
      </c>
      <c r="G2907" s="2" t="s">
        <v>22</v>
      </c>
      <c r="H2907" s="2">
        <v>8500000</v>
      </c>
      <c r="I2907" s="2">
        <v>7</v>
      </c>
      <c r="J2907" s="2">
        <f t="shared" si="22"/>
        <v>-4059945</v>
      </c>
      <c r="K2907" s="2">
        <f t="shared" si="23"/>
        <v>-2.0340095353371085E-2</v>
      </c>
      <c r="L2907" s="2" t="str">
        <f>IF(ISNUMBER(SEARCH("|",IMDB_Movies!$D2907)),LEFT(IMDB_Movies!$D2907,SEARCH("|",IMDB_Movies!$D2907)-1),IMDB_Movies!$D2907)</f>
        <v>Biography</v>
      </c>
      <c r="V2907" s="2"/>
      <c r="W2907" s="2"/>
    </row>
    <row r="2908" spans="1:23" ht="12.5" x14ac:dyDescent="0.25">
      <c r="A2908" s="2" t="s">
        <v>4627</v>
      </c>
      <c r="B2908" s="2">
        <v>128</v>
      </c>
      <c r="C2908" s="2">
        <v>4018695</v>
      </c>
      <c r="D2908" s="2" t="s">
        <v>652</v>
      </c>
      <c r="E2908" s="2" t="s">
        <v>4929</v>
      </c>
      <c r="F2908" s="2" t="s">
        <v>4629</v>
      </c>
      <c r="G2908" s="2" t="s">
        <v>2312</v>
      </c>
      <c r="H2908" s="2">
        <v>12000000</v>
      </c>
      <c r="I2908" s="2">
        <v>8</v>
      </c>
      <c r="J2908" s="2">
        <f t="shared" si="22"/>
        <v>-7981305</v>
      </c>
      <c r="K2908" s="2">
        <f t="shared" si="23"/>
        <v>-2.0351155835732045E-2</v>
      </c>
      <c r="L2908" s="2" t="str">
        <f>IF(ISNUMBER(SEARCH("|",IMDB_Movies!$D2908)),LEFT(IMDB_Movies!$D2908,SEARCH("|",IMDB_Movies!$D2908)-1),IMDB_Movies!$D2908)</f>
        <v>Adventure</v>
      </c>
      <c r="V2908" s="2"/>
      <c r="W2908" s="2"/>
    </row>
    <row r="2909" spans="1:23" ht="12.5" x14ac:dyDescent="0.25">
      <c r="A2909" s="2" t="s">
        <v>3666</v>
      </c>
      <c r="B2909" s="2">
        <v>106</v>
      </c>
      <c r="C2909" s="2">
        <v>6262942</v>
      </c>
      <c r="D2909" s="2" t="s">
        <v>380</v>
      </c>
      <c r="E2909" s="2" t="s">
        <v>4930</v>
      </c>
      <c r="F2909" s="2" t="s">
        <v>14</v>
      </c>
      <c r="G2909" s="2" t="s">
        <v>15</v>
      </c>
      <c r="H2909" s="2">
        <v>9000000</v>
      </c>
      <c r="I2909" s="2">
        <v>6.9</v>
      </c>
      <c r="J2909" s="2">
        <f t="shared" si="22"/>
        <v>-2737058</v>
      </c>
      <c r="K2909" s="2">
        <f t="shared" si="23"/>
        <v>-2.0353701441366327E-2</v>
      </c>
      <c r="L2909" s="2" t="str">
        <f>IF(ISNUMBER(SEARCH("|",IMDB_Movies!$D2909)),LEFT(IMDB_Movies!$D2909,SEARCH("|",IMDB_Movies!$D2909)-1),IMDB_Movies!$D2909)</f>
        <v>Action</v>
      </c>
      <c r="V2909" s="2"/>
      <c r="W2909" s="2"/>
    </row>
    <row r="2910" spans="1:23" ht="12.5" x14ac:dyDescent="0.25">
      <c r="A2910" s="2" t="s">
        <v>4931</v>
      </c>
      <c r="B2910" s="2">
        <v>126</v>
      </c>
      <c r="C2910" s="2">
        <v>1997807</v>
      </c>
      <c r="D2910" s="2" t="s">
        <v>652</v>
      </c>
      <c r="E2910" s="2" t="s">
        <v>4932</v>
      </c>
      <c r="F2910" s="2" t="s">
        <v>14</v>
      </c>
      <c r="G2910" s="2" t="s">
        <v>15</v>
      </c>
      <c r="H2910" s="2">
        <v>8000000</v>
      </c>
      <c r="I2910" s="2">
        <v>7.1</v>
      </c>
      <c r="J2910" s="2">
        <f t="shared" si="22"/>
        <v>-6002193</v>
      </c>
      <c r="K2910" s="2">
        <f t="shared" si="23"/>
        <v>-2.0361296411964797E-2</v>
      </c>
      <c r="L2910" s="2" t="str">
        <f>IF(ISNUMBER(SEARCH("|",IMDB_Movies!$D2910)),LEFT(IMDB_Movies!$D2910,SEARCH("|",IMDB_Movies!$D2910)-1),IMDB_Movies!$D2910)</f>
        <v>Adventure</v>
      </c>
      <c r="V2910" s="2"/>
      <c r="W2910" s="2"/>
    </row>
    <row r="2911" spans="1:23" ht="12.5" x14ac:dyDescent="0.25">
      <c r="A2911" s="2" t="s">
        <v>4645</v>
      </c>
      <c r="B2911" s="2">
        <v>150</v>
      </c>
      <c r="C2911" s="2">
        <v>140244</v>
      </c>
      <c r="D2911" s="2" t="s">
        <v>4933</v>
      </c>
      <c r="E2911" s="2" t="s">
        <v>4934</v>
      </c>
      <c r="F2911" s="2" t="s">
        <v>14</v>
      </c>
      <c r="G2911" s="2" t="s">
        <v>15</v>
      </c>
      <c r="H2911" s="2">
        <v>8500000</v>
      </c>
      <c r="I2911" s="2">
        <v>6.7</v>
      </c>
      <c r="J2911" s="2">
        <f t="shared" si="22"/>
        <v>-8359756</v>
      </c>
      <c r="K2911" s="2">
        <f t="shared" si="23"/>
        <v>-2.0377574519284573E-2</v>
      </c>
      <c r="L2911" s="2" t="str">
        <f>IF(ISNUMBER(SEARCH("|",IMDB_Movies!$D2911)),LEFT(IMDB_Movies!$D2911,SEARCH("|",IMDB_Movies!$D2911)-1),IMDB_Movies!$D2911)</f>
        <v>Horror</v>
      </c>
      <c r="V2911" s="2"/>
      <c r="W2911" s="2"/>
    </row>
    <row r="2912" spans="1:23" ht="12.5" x14ac:dyDescent="0.25">
      <c r="A2912" s="2" t="s">
        <v>628</v>
      </c>
      <c r="B2912" s="2">
        <v>178</v>
      </c>
      <c r="C2912" s="2">
        <v>107930000</v>
      </c>
      <c r="D2912" s="2" t="s">
        <v>694</v>
      </c>
      <c r="E2912" s="2" t="s">
        <v>4935</v>
      </c>
      <c r="F2912" s="2" t="s">
        <v>14</v>
      </c>
      <c r="G2912" s="2" t="s">
        <v>15</v>
      </c>
      <c r="H2912" s="2">
        <v>8000000</v>
      </c>
      <c r="I2912" s="2">
        <v>8.9</v>
      </c>
      <c r="J2912" s="2">
        <f t="shared" si="22"/>
        <v>99930000</v>
      </c>
      <c r="K2912" s="2">
        <f t="shared" si="23"/>
        <v>-2.039513668672574E-2</v>
      </c>
      <c r="L2912" s="2" t="str">
        <f>IF(ISNUMBER(SEARCH("|",IMDB_Movies!$D2912)),LEFT(IMDB_Movies!$D2912,SEARCH("|",IMDB_Movies!$D2912)-1),IMDB_Movies!$D2912)</f>
        <v>Crime</v>
      </c>
      <c r="V2912" s="2"/>
      <c r="W2912" s="2"/>
    </row>
    <row r="2913" spans="1:23" ht="12.5" x14ac:dyDescent="0.25">
      <c r="A2913" s="2" t="s">
        <v>4936</v>
      </c>
      <c r="B2913" s="2">
        <v>117</v>
      </c>
      <c r="C2913" s="2">
        <v>32279955</v>
      </c>
      <c r="D2913" s="2" t="s">
        <v>763</v>
      </c>
      <c r="E2913" s="2" t="s">
        <v>4937</v>
      </c>
      <c r="F2913" s="2" t="s">
        <v>14</v>
      </c>
      <c r="G2913" s="2" t="s">
        <v>15</v>
      </c>
      <c r="H2913" s="2">
        <v>8500000</v>
      </c>
      <c r="I2913" s="2">
        <v>7.9</v>
      </c>
      <c r="J2913" s="2">
        <f t="shared" si="22"/>
        <v>23779955</v>
      </c>
      <c r="K2913" s="2">
        <f t="shared" si="23"/>
        <v>-2.0426173328005517E-2</v>
      </c>
      <c r="L2913" s="2" t="str">
        <f>IF(ISNUMBER(SEARCH("|",IMDB_Movies!$D2913)),LEFT(IMDB_Movies!$D2913,SEARCH("|",IMDB_Movies!$D2913)-1),IMDB_Movies!$D2913)</f>
        <v>Crime</v>
      </c>
      <c r="V2913" s="2"/>
      <c r="W2913" s="2"/>
    </row>
    <row r="2914" spans="1:23" ht="12.5" x14ac:dyDescent="0.25">
      <c r="A2914" s="2" t="s">
        <v>1681</v>
      </c>
      <c r="B2914" s="2">
        <v>119</v>
      </c>
      <c r="C2914" s="2">
        <v>4992159</v>
      </c>
      <c r="D2914" s="2" t="s">
        <v>4081</v>
      </c>
      <c r="E2914" s="2" t="s">
        <v>4938</v>
      </c>
      <c r="F2914" s="2" t="s">
        <v>14</v>
      </c>
      <c r="G2914" s="2" t="s">
        <v>15</v>
      </c>
      <c r="H2914" s="2">
        <v>8550000</v>
      </c>
      <c r="I2914" s="2">
        <v>5.6</v>
      </c>
      <c r="J2914" s="2">
        <f t="shared" si="22"/>
        <v>-3557841</v>
      </c>
      <c r="K2914" s="2">
        <f t="shared" si="23"/>
        <v>-2.0410699664014299E-2</v>
      </c>
      <c r="L2914" s="2" t="str">
        <f>IF(ISNUMBER(SEARCH("|",IMDB_Movies!$D2914)),LEFT(IMDB_Movies!$D2914,SEARCH("|",IMDB_Movies!$D2914)-1),IMDB_Movies!$D2914)</f>
        <v>Comedy</v>
      </c>
      <c r="V2914" s="2"/>
      <c r="W2914" s="2"/>
    </row>
    <row r="2915" spans="1:23" ht="12.5" x14ac:dyDescent="0.25">
      <c r="A2915" s="2" t="s">
        <v>2424</v>
      </c>
      <c r="B2915" s="2">
        <v>174</v>
      </c>
      <c r="C2915" s="2">
        <v>163214286</v>
      </c>
      <c r="D2915" s="2" t="s">
        <v>4939</v>
      </c>
      <c r="E2915" s="2" t="s">
        <v>4940</v>
      </c>
      <c r="F2915" s="2" t="s">
        <v>14</v>
      </c>
      <c r="G2915" s="2" t="s">
        <v>15</v>
      </c>
      <c r="H2915" s="2">
        <v>8200000</v>
      </c>
      <c r="I2915" s="2">
        <v>8</v>
      </c>
      <c r="J2915" s="2">
        <f t="shared" si="22"/>
        <v>155014286</v>
      </c>
      <c r="K2915" s="2">
        <f t="shared" si="23"/>
        <v>-2.0420928384826224E-2</v>
      </c>
      <c r="L2915" s="2" t="str">
        <f>IF(ISNUMBER(SEARCH("|",IMDB_Movies!$D2915)),LEFT(IMDB_Movies!$D2915,SEARCH("|",IMDB_Movies!$D2915)-1),IMDB_Movies!$D2915)</f>
        <v>Biography</v>
      </c>
      <c r="V2915" s="2"/>
      <c r="W2915" s="2"/>
    </row>
    <row r="2916" spans="1:23" ht="12.5" x14ac:dyDescent="0.25">
      <c r="A2916" s="2" t="s">
        <v>314</v>
      </c>
      <c r="B2916" s="2">
        <v>111</v>
      </c>
      <c r="C2916" s="2">
        <v>69800000</v>
      </c>
      <c r="D2916" s="2" t="s">
        <v>1256</v>
      </c>
      <c r="E2916" s="2" t="s">
        <v>4941</v>
      </c>
      <c r="F2916" s="2" t="s">
        <v>14</v>
      </c>
      <c r="G2916" s="2" t="s">
        <v>15</v>
      </c>
      <c r="H2916" s="2">
        <v>8000000</v>
      </c>
      <c r="I2916" s="2">
        <v>6.2</v>
      </c>
      <c r="J2916" s="2">
        <f t="shared" si="22"/>
        <v>61800000</v>
      </c>
      <c r="K2916" s="2">
        <f t="shared" si="23"/>
        <v>-2.0628696144038079E-2</v>
      </c>
      <c r="L2916" s="2" t="str">
        <f>IF(ISNUMBER(SEARCH("|",IMDB_Movies!$D2916)),LEFT(IMDB_Movies!$D2916,SEARCH("|",IMDB_Movies!$D2916)-1),IMDB_Movies!$D2916)</f>
        <v>Comedy</v>
      </c>
      <c r="V2916" s="2"/>
      <c r="W2916" s="2"/>
    </row>
    <row r="2917" spans="1:23" ht="12.5" x14ac:dyDescent="0.25">
      <c r="A2917" s="2" t="s">
        <v>4942</v>
      </c>
      <c r="B2917" s="2">
        <v>101</v>
      </c>
      <c r="C2917" s="2">
        <v>59889948</v>
      </c>
      <c r="D2917" s="2" t="s">
        <v>891</v>
      </c>
      <c r="E2917" s="2" t="s">
        <v>4943</v>
      </c>
      <c r="F2917" s="2" t="s">
        <v>14</v>
      </c>
      <c r="G2917" s="2" t="s">
        <v>15</v>
      </c>
      <c r="H2917" s="2">
        <v>8000000</v>
      </c>
      <c r="I2917" s="2">
        <v>7.9</v>
      </c>
      <c r="J2917" s="2">
        <f t="shared" si="22"/>
        <v>51889948</v>
      </c>
      <c r="K2917" s="2">
        <f t="shared" si="23"/>
        <v>-2.061223569185543E-2</v>
      </c>
      <c r="L2917" s="2" t="str">
        <f>IF(ISNUMBER(SEARCH("|",IMDB_Movies!$D2917)),LEFT(IMDB_Movies!$D2917,SEARCH("|",IMDB_Movies!$D2917)-1),IMDB_Movies!$D2917)</f>
        <v>Comedy</v>
      </c>
      <c r="V2917" s="2"/>
      <c r="W2917" s="2"/>
    </row>
    <row r="2918" spans="1:23" ht="12.5" x14ac:dyDescent="0.25">
      <c r="A2918" s="2" t="s">
        <v>1340</v>
      </c>
      <c r="B2918" s="2">
        <v>89</v>
      </c>
      <c r="C2918" s="2">
        <v>52287414</v>
      </c>
      <c r="D2918" s="2" t="s">
        <v>2349</v>
      </c>
      <c r="E2918" s="2" t="s">
        <v>4944</v>
      </c>
      <c r="F2918" s="2" t="s">
        <v>14</v>
      </c>
      <c r="G2918" s="2" t="s">
        <v>15</v>
      </c>
      <c r="H2918" s="2">
        <v>8000000</v>
      </c>
      <c r="I2918" s="2">
        <v>8.1</v>
      </c>
      <c r="J2918" s="2">
        <f t="shared" si="22"/>
        <v>44287414</v>
      </c>
      <c r="K2918" s="2">
        <f t="shared" si="23"/>
        <v>-2.0590266936902562E-2</v>
      </c>
      <c r="L2918" s="2" t="str">
        <f>IF(ISNUMBER(SEARCH("|",IMDB_Movies!$D2918)),LEFT(IMDB_Movies!$D2918,SEARCH("|",IMDB_Movies!$D2918)-1),IMDB_Movies!$D2918)</f>
        <v>Adventure</v>
      </c>
      <c r="V2918" s="2"/>
      <c r="W2918" s="2"/>
    </row>
    <row r="2919" spans="1:23" ht="12.5" x14ac:dyDescent="0.25">
      <c r="A2919" s="2" t="s">
        <v>1796</v>
      </c>
      <c r="B2919" s="2">
        <v>113</v>
      </c>
      <c r="C2919" s="2">
        <v>45063889</v>
      </c>
      <c r="D2919" s="2" t="s">
        <v>1260</v>
      </c>
      <c r="E2919" s="2" t="s">
        <v>4945</v>
      </c>
      <c r="F2919" s="2" t="s">
        <v>14</v>
      </c>
      <c r="G2919" s="2" t="s">
        <v>22</v>
      </c>
      <c r="H2919" s="2">
        <v>8000000</v>
      </c>
      <c r="I2919" s="2">
        <v>7.6</v>
      </c>
      <c r="J2919" s="2">
        <f t="shared" si="22"/>
        <v>37063889</v>
      </c>
      <c r="K2919" s="2">
        <f t="shared" si="23"/>
        <v>-2.0566384225695018E-2</v>
      </c>
      <c r="L2919" s="2" t="str">
        <f>IF(ISNUMBER(SEARCH("|",IMDB_Movies!$D2919)),LEFT(IMDB_Movies!$D2919,SEARCH("|",IMDB_Movies!$D2919)-1),IMDB_Movies!$D2919)</f>
        <v>Drama</v>
      </c>
      <c r="V2919" s="2"/>
      <c r="W2919" s="2"/>
    </row>
    <row r="2920" spans="1:23" ht="12.5" x14ac:dyDescent="0.25">
      <c r="A2920" s="2" t="s">
        <v>4946</v>
      </c>
      <c r="B2920" s="2">
        <v>95</v>
      </c>
      <c r="C2920" s="2">
        <v>40066497</v>
      </c>
      <c r="D2920" s="2" t="s">
        <v>2082</v>
      </c>
      <c r="E2920" s="2" t="s">
        <v>4947</v>
      </c>
      <c r="F2920" s="2" t="s">
        <v>14</v>
      </c>
      <c r="G2920" s="2" t="s">
        <v>15</v>
      </c>
      <c r="H2920" s="2">
        <v>8000000</v>
      </c>
      <c r="I2920" s="2">
        <v>3.5</v>
      </c>
      <c r="J2920" s="2">
        <f t="shared" si="22"/>
        <v>32066497</v>
      </c>
      <c r="K2920" s="2">
        <f t="shared" si="23"/>
        <v>-2.0542592746823417E-2</v>
      </c>
      <c r="L2920" s="2" t="str">
        <f>IF(ISNUMBER(SEARCH("|",IMDB_Movies!$D2920)),LEFT(IMDB_Movies!$D2920,SEARCH("|",IMDB_Movies!$D2920)-1),IMDB_Movies!$D2920)</f>
        <v>Drama</v>
      </c>
      <c r="V2920" s="2"/>
      <c r="W2920" s="2"/>
    </row>
    <row r="2921" spans="1:23" ht="12.5" x14ac:dyDescent="0.25">
      <c r="A2921" s="2" t="s">
        <v>4948</v>
      </c>
      <c r="B2921" s="2">
        <v>112</v>
      </c>
      <c r="C2921" s="2">
        <v>36500000</v>
      </c>
      <c r="D2921" s="2" t="s">
        <v>614</v>
      </c>
      <c r="E2921" s="2" t="s">
        <v>4949</v>
      </c>
      <c r="F2921" s="2" t="s">
        <v>14</v>
      </c>
      <c r="G2921" s="2" t="s">
        <v>15</v>
      </c>
      <c r="H2921" s="2">
        <v>8000000</v>
      </c>
      <c r="I2921" s="2">
        <v>7.6</v>
      </c>
      <c r="J2921" s="2">
        <f t="shared" si="22"/>
        <v>28500000</v>
      </c>
      <c r="K2921" s="2">
        <f t="shared" si="23"/>
        <v>-2.0519947616344857E-2</v>
      </c>
      <c r="L2921" s="2" t="str">
        <f>IF(ISNUMBER(SEARCH("|",IMDB_Movies!$D2921)),LEFT(IMDB_Movies!$D2921,SEARCH("|",IMDB_Movies!$D2921)-1),IMDB_Movies!$D2921)</f>
        <v>Biography</v>
      </c>
      <c r="V2921" s="2"/>
      <c r="W2921" s="2"/>
    </row>
    <row r="2922" spans="1:23" ht="12.5" x14ac:dyDescent="0.25">
      <c r="A2922" s="2" t="s">
        <v>4266</v>
      </c>
      <c r="B2922" s="2">
        <v>109</v>
      </c>
      <c r="C2922" s="2">
        <v>27362712</v>
      </c>
      <c r="D2922" s="2" t="s">
        <v>1946</v>
      </c>
      <c r="E2922" s="2" t="s">
        <v>4950</v>
      </c>
      <c r="F2922" s="2" t="s">
        <v>14</v>
      </c>
      <c r="G2922" s="2" t="s">
        <v>15</v>
      </c>
      <c r="H2922" s="2">
        <v>8000000</v>
      </c>
      <c r="I2922" s="2">
        <v>6.5</v>
      </c>
      <c r="J2922" s="2">
        <f t="shared" si="22"/>
        <v>19362712</v>
      </c>
      <c r="K2922" s="2">
        <f t="shared" si="23"/>
        <v>-2.0498661071033611E-2</v>
      </c>
      <c r="L2922" s="2" t="str">
        <f>IF(ISNUMBER(SEARCH("|",IMDB_Movies!$D2922)),LEFT(IMDB_Movies!$D2922,SEARCH("|",IMDB_Movies!$D2922)-1),IMDB_Movies!$D2922)</f>
        <v>Comedy</v>
      </c>
      <c r="V2922" s="2"/>
      <c r="W2922" s="2"/>
    </row>
    <row r="2923" spans="1:23" ht="12.5" x14ac:dyDescent="0.25">
      <c r="A2923" s="2" t="s">
        <v>4951</v>
      </c>
      <c r="B2923" s="2">
        <v>108</v>
      </c>
      <c r="C2923" s="2">
        <v>34746109</v>
      </c>
      <c r="D2923" s="2" t="s">
        <v>4952</v>
      </c>
      <c r="E2923" s="2" t="s">
        <v>4953</v>
      </c>
      <c r="F2923" s="2" t="s">
        <v>14</v>
      </c>
      <c r="G2923" s="2" t="s">
        <v>15</v>
      </c>
      <c r="H2923" s="2">
        <v>8000000</v>
      </c>
      <c r="I2923" s="2">
        <v>5.6</v>
      </c>
      <c r="J2923" s="2">
        <f t="shared" si="22"/>
        <v>26746109</v>
      </c>
      <c r="K2923" s="2">
        <f t="shared" si="23"/>
        <v>-2.0483084345138337E-2</v>
      </c>
      <c r="L2923" s="2" t="str">
        <f>IF(ISNUMBER(SEARCH("|",IMDB_Movies!$D2923)),LEFT(IMDB_Movies!$D2923,SEARCH("|",IMDB_Movies!$D2923)-1),IMDB_Movies!$D2923)</f>
        <v>Comedy</v>
      </c>
      <c r="V2923" s="2"/>
      <c r="W2923" s="2"/>
    </row>
    <row r="2924" spans="1:23" ht="12.5" x14ac:dyDescent="0.25">
      <c r="A2924" s="2" t="s">
        <v>2713</v>
      </c>
      <c r="B2924" s="2">
        <v>100</v>
      </c>
      <c r="C2924" s="2">
        <v>34963967</v>
      </c>
      <c r="D2924" s="2" t="s">
        <v>514</v>
      </c>
      <c r="E2924" s="2" t="s">
        <v>4954</v>
      </c>
      <c r="F2924" s="2" t="s">
        <v>14</v>
      </c>
      <c r="G2924" s="2" t="s">
        <v>15</v>
      </c>
      <c r="H2924" s="2">
        <v>8000000</v>
      </c>
      <c r="I2924" s="2">
        <v>7.7</v>
      </c>
      <c r="J2924" s="2">
        <f t="shared" si="22"/>
        <v>26963967</v>
      </c>
      <c r="K2924" s="2">
        <f t="shared" si="23"/>
        <v>-2.0462555380786188E-2</v>
      </c>
      <c r="L2924" s="2" t="str">
        <f>IF(ISNUMBER(SEARCH("|",IMDB_Movies!$D2924)),LEFT(IMDB_Movies!$D2924,SEARCH("|",IMDB_Movies!$D2924)-1),IMDB_Movies!$D2924)</f>
        <v>Comedy</v>
      </c>
      <c r="V2924" s="2"/>
      <c r="W2924" s="2"/>
    </row>
    <row r="2925" spans="1:23" ht="12.5" x14ac:dyDescent="0.25">
      <c r="A2925" s="2" t="s">
        <v>4955</v>
      </c>
      <c r="B2925" s="2">
        <v>90</v>
      </c>
      <c r="C2925" s="2">
        <v>25926543</v>
      </c>
      <c r="D2925" s="2" t="s">
        <v>1050</v>
      </c>
      <c r="E2925" s="2" t="s">
        <v>4956</v>
      </c>
      <c r="F2925" s="2" t="s">
        <v>14</v>
      </c>
      <c r="G2925" s="2" t="s">
        <v>15</v>
      </c>
      <c r="H2925" s="2">
        <v>8000000</v>
      </c>
      <c r="I2925" s="2">
        <v>5.2</v>
      </c>
      <c r="J2925" s="2">
        <f t="shared" si="22"/>
        <v>17926543</v>
      </c>
      <c r="K2925" s="2">
        <f t="shared" si="23"/>
        <v>-2.044184956582689E-2</v>
      </c>
      <c r="L2925" s="2" t="str">
        <f>IF(ISNUMBER(SEARCH("|",IMDB_Movies!$D2925)),LEFT(IMDB_Movies!$D2925,SEARCH("|",IMDB_Movies!$D2925)-1),IMDB_Movies!$D2925)</f>
        <v>Horror</v>
      </c>
      <c r="V2925" s="2"/>
      <c r="W2925" s="2"/>
    </row>
    <row r="2926" spans="1:23" ht="12.5" x14ac:dyDescent="0.25">
      <c r="A2926" s="2" t="s">
        <v>4957</v>
      </c>
      <c r="B2926" s="2">
        <v>94</v>
      </c>
      <c r="C2926" s="2">
        <v>26049082</v>
      </c>
      <c r="D2926" s="2" t="s">
        <v>600</v>
      </c>
      <c r="E2926" s="2" t="s">
        <v>4958</v>
      </c>
      <c r="F2926" s="2" t="s">
        <v>14</v>
      </c>
      <c r="G2926" s="2" t="s">
        <v>15</v>
      </c>
      <c r="H2926" s="2">
        <v>8000000</v>
      </c>
      <c r="I2926" s="2">
        <v>6.1</v>
      </c>
      <c r="J2926" s="2">
        <f t="shared" si="22"/>
        <v>18049082</v>
      </c>
      <c r="K2926" s="2">
        <f t="shared" si="23"/>
        <v>-2.042731423222206E-2</v>
      </c>
      <c r="L2926" s="2" t="str">
        <f>IF(ISNUMBER(SEARCH("|",IMDB_Movies!$D2926)),LEFT(IMDB_Movies!$D2926,SEARCH("|",IMDB_Movies!$D2926)-1),IMDB_Movies!$D2926)</f>
        <v>Comedy</v>
      </c>
      <c r="V2926" s="2"/>
      <c r="W2926" s="2"/>
    </row>
    <row r="2927" spans="1:23" ht="12.5" x14ac:dyDescent="0.25">
      <c r="A2927" s="2" t="s">
        <v>317</v>
      </c>
      <c r="B2927" s="2">
        <v>111</v>
      </c>
      <c r="C2927" s="2">
        <v>22551000</v>
      </c>
      <c r="D2927" s="2" t="s">
        <v>514</v>
      </c>
      <c r="E2927" s="2" t="s">
        <v>4959</v>
      </c>
      <c r="F2927" s="2" t="s">
        <v>14</v>
      </c>
      <c r="G2927" s="2" t="s">
        <v>22</v>
      </c>
      <c r="H2927" s="2">
        <v>8000000</v>
      </c>
      <c r="I2927" s="2">
        <v>7.4</v>
      </c>
      <c r="J2927" s="2">
        <f t="shared" si="22"/>
        <v>14551000</v>
      </c>
      <c r="K2927" s="2">
        <f t="shared" si="23"/>
        <v>-2.0412636675615933E-2</v>
      </c>
      <c r="L2927" s="2" t="str">
        <f>IF(ISNUMBER(SEARCH("|",IMDB_Movies!$D2927)),LEFT(IMDB_Movies!$D2927,SEARCH("|",IMDB_Movies!$D2927)-1),IMDB_Movies!$D2927)</f>
        <v>Comedy</v>
      </c>
      <c r="V2927" s="2"/>
      <c r="W2927" s="2"/>
    </row>
    <row r="2928" spans="1:23" ht="12.5" x14ac:dyDescent="0.25">
      <c r="A2928" s="2" t="s">
        <v>4960</v>
      </c>
      <c r="B2928" s="2">
        <v>142</v>
      </c>
      <c r="C2928" s="2">
        <v>22800000</v>
      </c>
      <c r="D2928" s="2" t="s">
        <v>20</v>
      </c>
      <c r="E2928" s="2" t="s">
        <v>4961</v>
      </c>
      <c r="F2928" s="2" t="s">
        <v>14</v>
      </c>
      <c r="G2928" s="2" t="s">
        <v>22</v>
      </c>
      <c r="H2928" s="2">
        <v>7000000</v>
      </c>
      <c r="I2928" s="2">
        <v>6.8</v>
      </c>
      <c r="J2928" s="2">
        <f t="shared" si="22"/>
        <v>15800000</v>
      </c>
      <c r="K2928" s="2">
        <f t="shared" si="23"/>
        <v>-2.0401117950539567E-2</v>
      </c>
      <c r="L2928" s="2" t="str">
        <f>IF(ISNUMBER(SEARCH("|",IMDB_Movies!$D2928)),LEFT(IMDB_Movies!$D2928,SEARCH("|",IMDB_Movies!$D2928)-1),IMDB_Movies!$D2928)</f>
        <v>Action</v>
      </c>
      <c r="V2928" s="2"/>
      <c r="W2928" s="2"/>
    </row>
    <row r="2929" spans="1:23" ht="12.5" x14ac:dyDescent="0.25">
      <c r="A2929" s="2" t="s">
        <v>2115</v>
      </c>
      <c r="B2929" s="2">
        <v>107</v>
      </c>
      <c r="C2929" s="2">
        <v>18090181</v>
      </c>
      <c r="D2929" s="2" t="s">
        <v>934</v>
      </c>
      <c r="E2929" s="2" t="s">
        <v>4962</v>
      </c>
      <c r="F2929" s="2" t="s">
        <v>14</v>
      </c>
      <c r="G2929" s="2" t="s">
        <v>15</v>
      </c>
      <c r="H2929" s="2">
        <v>8000000</v>
      </c>
      <c r="I2929" s="2">
        <v>6.4</v>
      </c>
      <c r="J2929" s="2">
        <f t="shared" si="22"/>
        <v>10090181</v>
      </c>
      <c r="K2929" s="2">
        <f t="shared" si="23"/>
        <v>-2.0386313434649996E-2</v>
      </c>
      <c r="L2929" s="2" t="str">
        <f>IF(ISNUMBER(SEARCH("|",IMDB_Movies!$D2929)),LEFT(IMDB_Movies!$D2929,SEARCH("|",IMDB_Movies!$D2929)-1),IMDB_Movies!$D2929)</f>
        <v>Fantasy</v>
      </c>
      <c r="V2929" s="2"/>
      <c r="W2929" s="2"/>
    </row>
    <row r="2930" spans="1:23" ht="12.5" x14ac:dyDescent="0.25">
      <c r="A2930" s="2" t="s">
        <v>1988</v>
      </c>
      <c r="B2930" s="2">
        <v>91</v>
      </c>
      <c r="C2930" s="2">
        <v>17843379</v>
      </c>
      <c r="D2930" s="2" t="s">
        <v>514</v>
      </c>
      <c r="E2930" s="2" t="s">
        <v>4963</v>
      </c>
      <c r="F2930" s="2" t="s">
        <v>14</v>
      </c>
      <c r="G2930" s="2" t="s">
        <v>15</v>
      </c>
      <c r="H2930" s="2">
        <v>8000000</v>
      </c>
      <c r="I2930" s="2">
        <v>5.7</v>
      </c>
      <c r="J2930" s="2">
        <f t="shared" si="22"/>
        <v>9843379</v>
      </c>
      <c r="K2930" s="2">
        <f t="shared" si="23"/>
        <v>-2.0379463615352401E-2</v>
      </c>
      <c r="L2930" s="2" t="str">
        <f>IF(ISNUMBER(SEARCH("|",IMDB_Movies!$D2930)),LEFT(IMDB_Movies!$D2930,SEARCH("|",IMDB_Movies!$D2930)-1),IMDB_Movies!$D2930)</f>
        <v>Comedy</v>
      </c>
      <c r="V2930" s="2"/>
      <c r="W2930" s="2"/>
    </row>
    <row r="2931" spans="1:23" ht="12.5" x14ac:dyDescent="0.25">
      <c r="A2931" s="2" t="s">
        <v>4465</v>
      </c>
      <c r="B2931" s="2">
        <v>82</v>
      </c>
      <c r="C2931" s="2">
        <v>17278980</v>
      </c>
      <c r="D2931" s="2" t="s">
        <v>375</v>
      </c>
      <c r="E2931" s="2" t="s">
        <v>4964</v>
      </c>
      <c r="F2931" s="2" t="s">
        <v>14</v>
      </c>
      <c r="G2931" s="2" t="s">
        <v>15</v>
      </c>
      <c r="H2931" s="2">
        <v>8000000</v>
      </c>
      <c r="I2931" s="2">
        <v>6.7</v>
      </c>
      <c r="J2931" s="2">
        <f t="shared" si="22"/>
        <v>9278980</v>
      </c>
      <c r="K2931" s="2">
        <f t="shared" si="23"/>
        <v>-2.0372880429632076E-2</v>
      </c>
      <c r="L2931" s="2" t="str">
        <f>IF(ISNUMBER(SEARCH("|",IMDB_Movies!$D2931)),LEFT(IMDB_Movies!$D2931,SEARCH("|",IMDB_Movies!$D2931)-1),IMDB_Movies!$D2931)</f>
        <v>Comedy</v>
      </c>
      <c r="V2931" s="2"/>
      <c r="W2931" s="2"/>
    </row>
    <row r="2932" spans="1:23" ht="12.5" x14ac:dyDescent="0.25">
      <c r="A2932" s="2" t="s">
        <v>4965</v>
      </c>
      <c r="B2932" s="2">
        <v>97</v>
      </c>
      <c r="C2932" s="2">
        <v>16699684</v>
      </c>
      <c r="D2932" s="2" t="s">
        <v>600</v>
      </c>
      <c r="E2932" s="2" t="s">
        <v>4966</v>
      </c>
      <c r="F2932" s="2" t="s">
        <v>14</v>
      </c>
      <c r="G2932" s="2" t="s">
        <v>15</v>
      </c>
      <c r="H2932" s="2">
        <v>8000000</v>
      </c>
      <c r="I2932" s="2">
        <v>5.6</v>
      </c>
      <c r="J2932" s="2">
        <f t="shared" si="22"/>
        <v>8699684</v>
      </c>
      <c r="K2932" s="2">
        <f t="shared" si="23"/>
        <v>-2.0366937726991805E-2</v>
      </c>
      <c r="L2932" s="2" t="str">
        <f>IF(ISNUMBER(SEARCH("|",IMDB_Movies!$D2932)),LEFT(IMDB_Movies!$D2932,SEARCH("|",IMDB_Movies!$D2932)-1),IMDB_Movies!$D2932)</f>
        <v>Comedy</v>
      </c>
      <c r="V2932" s="2"/>
      <c r="W2932" s="2"/>
    </row>
    <row r="2933" spans="1:23" ht="12.5" x14ac:dyDescent="0.25">
      <c r="A2933" s="2" t="s">
        <v>4967</v>
      </c>
      <c r="B2933" s="2">
        <v>102</v>
      </c>
      <c r="C2933" s="2">
        <v>15047419</v>
      </c>
      <c r="D2933" s="2" t="s">
        <v>694</v>
      </c>
      <c r="E2933" s="2" t="s">
        <v>4968</v>
      </c>
      <c r="F2933" s="2" t="s">
        <v>14</v>
      </c>
      <c r="G2933" s="2" t="s">
        <v>15</v>
      </c>
      <c r="H2933" s="2">
        <v>7000000</v>
      </c>
      <c r="I2933" s="2">
        <v>7.6</v>
      </c>
      <c r="J2933" s="2">
        <f t="shared" si="22"/>
        <v>8047419</v>
      </c>
      <c r="K2933" s="2">
        <f t="shared" si="23"/>
        <v>-2.0361667148764705E-2</v>
      </c>
      <c r="L2933" s="2" t="str">
        <f>IF(ISNUMBER(SEARCH("|",IMDB_Movies!$D2933)),LEFT(IMDB_Movies!$D2933,SEARCH("|",IMDB_Movies!$D2933)-1),IMDB_Movies!$D2933)</f>
        <v>Crime</v>
      </c>
      <c r="V2933" s="2"/>
      <c r="W2933" s="2"/>
    </row>
    <row r="2934" spans="1:23" ht="12.5" x14ac:dyDescent="0.25">
      <c r="A2934" s="2" t="s">
        <v>2932</v>
      </c>
      <c r="B2934" s="2">
        <v>93</v>
      </c>
      <c r="C2934" s="2">
        <v>14015786</v>
      </c>
      <c r="D2934" s="2" t="s">
        <v>85</v>
      </c>
      <c r="E2934" s="2" t="s">
        <v>4969</v>
      </c>
      <c r="F2934" s="2" t="s">
        <v>14</v>
      </c>
      <c r="G2934" s="2" t="s">
        <v>15</v>
      </c>
      <c r="H2934" s="2">
        <v>5000000</v>
      </c>
      <c r="I2934" s="2">
        <v>6.5</v>
      </c>
      <c r="J2934" s="2">
        <f t="shared" si="22"/>
        <v>9015786</v>
      </c>
      <c r="K2934" s="2">
        <f t="shared" si="23"/>
        <v>-2.0357673807275833E-2</v>
      </c>
      <c r="L2934" s="2" t="str">
        <f>IF(ISNUMBER(SEARCH("|",IMDB_Movies!$D2934)),LEFT(IMDB_Movies!$D2934,SEARCH("|",IMDB_Movies!$D2934)-1),IMDB_Movies!$D2934)</f>
        <v>Drama</v>
      </c>
      <c r="V2934" s="2"/>
      <c r="W2934" s="2"/>
    </row>
    <row r="2935" spans="1:23" ht="12.5" x14ac:dyDescent="0.25">
      <c r="A2935" s="2" t="s">
        <v>4970</v>
      </c>
      <c r="B2935" s="2">
        <v>138</v>
      </c>
      <c r="C2935" s="2">
        <v>10269307</v>
      </c>
      <c r="D2935" s="2" t="s">
        <v>125</v>
      </c>
      <c r="E2935" s="2" t="s">
        <v>4971</v>
      </c>
      <c r="F2935" s="2" t="s">
        <v>14</v>
      </c>
      <c r="G2935" s="2" t="s">
        <v>15</v>
      </c>
      <c r="H2935" s="2">
        <v>8000000</v>
      </c>
      <c r="I2935" s="2">
        <v>6.3</v>
      </c>
      <c r="J2935" s="2">
        <f t="shared" si="22"/>
        <v>2269307</v>
      </c>
      <c r="K2935" s="2">
        <f t="shared" si="23"/>
        <v>-2.0354430146825954E-2</v>
      </c>
      <c r="L2935" s="2" t="str">
        <f>IF(ISNUMBER(SEARCH("|",IMDB_Movies!$D2935)),LEFT(IMDB_Movies!$D2935,SEARCH("|",IMDB_Movies!$D2935)-1),IMDB_Movies!$D2935)</f>
        <v>Action</v>
      </c>
      <c r="V2935" s="2"/>
      <c r="W2935" s="2"/>
    </row>
    <row r="2936" spans="1:23" ht="12.5" x14ac:dyDescent="0.25">
      <c r="A2936" s="2" t="s">
        <v>4972</v>
      </c>
      <c r="B2936" s="2">
        <v>93</v>
      </c>
      <c r="C2936" s="2">
        <v>17536788</v>
      </c>
      <c r="D2936" s="2" t="s">
        <v>514</v>
      </c>
      <c r="E2936" s="2" t="s">
        <v>4973</v>
      </c>
      <c r="F2936" s="2" t="s">
        <v>14</v>
      </c>
      <c r="G2936" s="2" t="s">
        <v>15</v>
      </c>
      <c r="H2936" s="2">
        <v>8000000</v>
      </c>
      <c r="I2936" s="2">
        <v>7.1</v>
      </c>
      <c r="J2936" s="2">
        <f t="shared" si="22"/>
        <v>9536788</v>
      </c>
      <c r="K2936" s="2">
        <f t="shared" si="23"/>
        <v>-2.0357588728605148E-2</v>
      </c>
      <c r="L2936" s="2" t="str">
        <f>IF(ISNUMBER(SEARCH("|",IMDB_Movies!$D2936)),LEFT(IMDB_Movies!$D2936,SEARCH("|",IMDB_Movies!$D2936)-1),IMDB_Movies!$D2936)</f>
        <v>Comedy</v>
      </c>
      <c r="V2936" s="2"/>
      <c r="W2936" s="2"/>
    </row>
    <row r="2937" spans="1:23" ht="12.5" x14ac:dyDescent="0.25">
      <c r="A2937" s="2" t="s">
        <v>1290</v>
      </c>
      <c r="B2937" s="2">
        <v>92</v>
      </c>
      <c r="C2937" s="2">
        <v>58401464</v>
      </c>
      <c r="D2937" s="2" t="s">
        <v>600</v>
      </c>
      <c r="E2937" s="2" t="s">
        <v>4974</v>
      </c>
      <c r="F2937" s="2" t="s">
        <v>14</v>
      </c>
      <c r="G2937" s="2" t="s">
        <v>15</v>
      </c>
      <c r="H2937" s="2">
        <v>8000000</v>
      </c>
      <c r="I2937" s="2">
        <v>7.1</v>
      </c>
      <c r="J2937" s="2">
        <f t="shared" si="22"/>
        <v>50401464</v>
      </c>
      <c r="K2937" s="2">
        <f t="shared" si="23"/>
        <v>-2.0351283512613904E-2</v>
      </c>
      <c r="L2937" s="2" t="str">
        <f>IF(ISNUMBER(SEARCH("|",IMDB_Movies!$D2937)),LEFT(IMDB_Movies!$D2937,SEARCH("|",IMDB_Movies!$D2937)-1),IMDB_Movies!$D2937)</f>
        <v>Comedy</v>
      </c>
      <c r="V2937" s="2"/>
      <c r="W2937" s="2"/>
    </row>
    <row r="2938" spans="1:23" ht="12.5" x14ac:dyDescent="0.25">
      <c r="A2938" s="2" t="s">
        <v>2995</v>
      </c>
      <c r="B2938" s="2">
        <v>92</v>
      </c>
      <c r="C2938" s="2">
        <v>8279017</v>
      </c>
      <c r="D2938" s="2" t="s">
        <v>4975</v>
      </c>
      <c r="E2938" s="2" t="s">
        <v>4976</v>
      </c>
      <c r="F2938" s="2" t="s">
        <v>14</v>
      </c>
      <c r="G2938" s="2" t="s">
        <v>22</v>
      </c>
      <c r="H2938" s="2">
        <v>8000000</v>
      </c>
      <c r="I2938" s="2">
        <v>6.9</v>
      </c>
      <c r="J2938" s="2">
        <f t="shared" si="22"/>
        <v>279017</v>
      </c>
      <c r="K2938" s="2">
        <f t="shared" si="23"/>
        <v>-2.0327023133623553E-2</v>
      </c>
      <c r="L2938" s="2" t="str">
        <f>IF(ISNUMBER(SEARCH("|",IMDB_Movies!$D2938)),LEFT(IMDB_Movies!$D2938,SEARCH("|",IMDB_Movies!$D2938)-1),IMDB_Movies!$D2938)</f>
        <v>Drama</v>
      </c>
      <c r="V2938" s="2"/>
      <c r="W2938" s="2"/>
    </row>
    <row r="2939" spans="1:23" ht="12.5" x14ac:dyDescent="0.25">
      <c r="A2939" s="2" t="s">
        <v>3939</v>
      </c>
      <c r="B2939" s="2">
        <v>104</v>
      </c>
      <c r="C2939" s="2">
        <v>10106233</v>
      </c>
      <c r="D2939" s="2" t="s">
        <v>891</v>
      </c>
      <c r="E2939" s="2" t="s">
        <v>4977</v>
      </c>
      <c r="F2939" s="2" t="s">
        <v>14</v>
      </c>
      <c r="G2939" s="2" t="s">
        <v>15</v>
      </c>
      <c r="H2939" s="2">
        <v>8000000</v>
      </c>
      <c r="I2939" s="2">
        <v>5.4</v>
      </c>
      <c r="J2939" s="2">
        <f t="shared" si="22"/>
        <v>2106233</v>
      </c>
      <c r="K2939" s="2">
        <f t="shared" si="23"/>
        <v>-2.0333049405564598E-2</v>
      </c>
      <c r="L2939" s="2" t="str">
        <f>IF(ISNUMBER(SEARCH("|",IMDB_Movies!$D2939)),LEFT(IMDB_Movies!$D2939,SEARCH("|",IMDB_Movies!$D2939)-1),IMDB_Movies!$D2939)</f>
        <v>Comedy</v>
      </c>
      <c r="V2939" s="2"/>
      <c r="W2939" s="2"/>
    </row>
    <row r="2940" spans="1:23" ht="12.5" x14ac:dyDescent="0.25">
      <c r="A2940" s="2" t="s">
        <v>3565</v>
      </c>
      <c r="B2940" s="2">
        <v>89</v>
      </c>
      <c r="C2940" s="2">
        <v>4692814</v>
      </c>
      <c r="D2940" s="2" t="s">
        <v>709</v>
      </c>
      <c r="E2940" s="2" t="s">
        <v>4978</v>
      </c>
      <c r="F2940" s="2" t="s">
        <v>14</v>
      </c>
      <c r="G2940" s="2" t="s">
        <v>15</v>
      </c>
      <c r="H2940" s="2">
        <v>8000000</v>
      </c>
      <c r="I2940" s="2">
        <v>5.0999999999999996</v>
      </c>
      <c r="J2940" s="2">
        <f t="shared" si="22"/>
        <v>-3307186</v>
      </c>
      <c r="K2940" s="2">
        <f t="shared" si="23"/>
        <v>-2.033638858299221E-2</v>
      </c>
      <c r="L2940" s="2" t="str">
        <f>IF(ISNUMBER(SEARCH("|",IMDB_Movies!$D2940)),LEFT(IMDB_Movies!$D2940,SEARCH("|",IMDB_Movies!$D2940)-1),IMDB_Movies!$D2940)</f>
        <v>Comedy</v>
      </c>
      <c r="V2940" s="2"/>
      <c r="W2940" s="2"/>
    </row>
    <row r="2941" spans="1:23" ht="12.5" x14ac:dyDescent="0.25">
      <c r="A2941" s="2" t="s">
        <v>4979</v>
      </c>
      <c r="B2941" s="2">
        <v>92</v>
      </c>
      <c r="C2941" s="2">
        <v>5018450</v>
      </c>
      <c r="D2941" s="2" t="s">
        <v>1256</v>
      </c>
      <c r="E2941" s="2" t="s">
        <v>4980</v>
      </c>
      <c r="F2941" s="2" t="s">
        <v>14</v>
      </c>
      <c r="G2941" s="2" t="s">
        <v>15</v>
      </c>
      <c r="H2941" s="2">
        <v>8000000</v>
      </c>
      <c r="I2941" s="2">
        <v>5.3</v>
      </c>
      <c r="J2941" s="2">
        <f t="shared" si="22"/>
        <v>-2981550</v>
      </c>
      <c r="K2941" s="2">
        <f t="shared" si="23"/>
        <v>-2.0348099428245059E-2</v>
      </c>
      <c r="L2941" s="2" t="str">
        <f>IF(ISNUMBER(SEARCH("|",IMDB_Movies!$D2941)),LEFT(IMDB_Movies!$D2941,SEARCH("|",IMDB_Movies!$D2941)-1),IMDB_Movies!$D2941)</f>
        <v>Comedy</v>
      </c>
      <c r="V2941" s="2"/>
      <c r="W2941" s="2"/>
    </row>
    <row r="2942" spans="1:23" ht="12.5" x14ac:dyDescent="0.25">
      <c r="A2942" s="2" t="s">
        <v>4981</v>
      </c>
      <c r="B2942" s="2">
        <v>90</v>
      </c>
      <c r="C2942" s="2">
        <v>3442820</v>
      </c>
      <c r="D2942" s="2" t="s">
        <v>4982</v>
      </c>
      <c r="E2942" s="2" t="s">
        <v>4983</v>
      </c>
      <c r="F2942" s="2" t="s">
        <v>14</v>
      </c>
      <c r="G2942" s="2" t="s">
        <v>15</v>
      </c>
      <c r="H2942" s="2">
        <v>8000000</v>
      </c>
      <c r="I2942" s="2">
        <v>7.3</v>
      </c>
      <c r="J2942" s="2">
        <f t="shared" si="22"/>
        <v>-4557180</v>
      </c>
      <c r="K2942" s="2">
        <f t="shared" si="23"/>
        <v>-2.0359305529284971E-2</v>
      </c>
      <c r="L2942" s="2" t="str">
        <f>IF(ISNUMBER(SEARCH("|",IMDB_Movies!$D2942)),LEFT(IMDB_Movies!$D2942,SEARCH("|",IMDB_Movies!$D2942)-1),IMDB_Movies!$D2942)</f>
        <v>Animation</v>
      </c>
      <c r="V2942" s="2"/>
      <c r="W2942" s="2"/>
    </row>
    <row r="2943" spans="1:23" ht="12.5" x14ac:dyDescent="0.25">
      <c r="A2943" s="2" t="s">
        <v>3652</v>
      </c>
      <c r="B2943" s="2">
        <v>129</v>
      </c>
      <c r="C2943" s="2">
        <v>3205244</v>
      </c>
      <c r="D2943" s="2" t="s">
        <v>891</v>
      </c>
      <c r="E2943" s="2" t="s">
        <v>4984</v>
      </c>
      <c r="F2943" s="2" t="s">
        <v>14</v>
      </c>
      <c r="G2943" s="2" t="s">
        <v>22</v>
      </c>
      <c r="H2943" s="2">
        <v>10000000</v>
      </c>
      <c r="I2943" s="2">
        <v>7.3</v>
      </c>
      <c r="J2943" s="2">
        <f t="shared" si="22"/>
        <v>-6794756</v>
      </c>
      <c r="K2943" s="2">
        <f t="shared" si="23"/>
        <v>-2.0373161118414036E-2</v>
      </c>
      <c r="L2943" s="2" t="str">
        <f>IF(ISNUMBER(SEARCH("|",IMDB_Movies!$D2943)),LEFT(IMDB_Movies!$D2943,SEARCH("|",IMDB_Movies!$D2943)-1),IMDB_Movies!$D2943)</f>
        <v>Comedy</v>
      </c>
      <c r="V2943" s="2"/>
      <c r="W2943" s="2"/>
    </row>
    <row r="2944" spans="1:23" ht="12.5" x14ac:dyDescent="0.25">
      <c r="A2944" s="2" t="s">
        <v>4985</v>
      </c>
      <c r="B2944" s="2">
        <v>111</v>
      </c>
      <c r="C2944" s="2">
        <v>3076425</v>
      </c>
      <c r="D2944" s="2" t="s">
        <v>4986</v>
      </c>
      <c r="E2944" s="2" t="s">
        <v>4987</v>
      </c>
      <c r="F2944" s="2" t="s">
        <v>1006</v>
      </c>
      <c r="G2944" s="2" t="s">
        <v>686</v>
      </c>
      <c r="H2944" s="2">
        <v>8000000</v>
      </c>
      <c r="I2944" s="2">
        <v>7.1</v>
      </c>
      <c r="J2944" s="2">
        <f t="shared" si="22"/>
        <v>-4923575</v>
      </c>
      <c r="K2944" s="2">
        <f t="shared" si="23"/>
        <v>-2.0381941359738746E-2</v>
      </c>
      <c r="L2944" s="2" t="str">
        <f>IF(ISNUMBER(SEARCH("|",IMDB_Movies!$D2944)),LEFT(IMDB_Movies!$D2944,SEARCH("|",IMDB_Movies!$D2944)-1),IMDB_Movies!$D2944)</f>
        <v>Comedy</v>
      </c>
      <c r="V2944" s="2"/>
      <c r="W2944" s="2"/>
    </row>
    <row r="2945" spans="1:23" ht="12.5" x14ac:dyDescent="0.25">
      <c r="A2945" s="2" t="s">
        <v>4132</v>
      </c>
      <c r="B2945" s="2">
        <v>79</v>
      </c>
      <c r="C2945" s="2">
        <v>2275557</v>
      </c>
      <c r="D2945" s="2" t="s">
        <v>150</v>
      </c>
      <c r="E2945" s="2" t="s">
        <v>4988</v>
      </c>
      <c r="F2945" s="2" t="s">
        <v>14</v>
      </c>
      <c r="G2945" s="2" t="s">
        <v>15</v>
      </c>
      <c r="H2945" s="2">
        <v>8000000</v>
      </c>
      <c r="I2945" s="2">
        <v>6</v>
      </c>
      <c r="J2945" s="2">
        <f t="shared" si="22"/>
        <v>-5724443</v>
      </c>
      <c r="K2945" s="2">
        <f t="shared" si="23"/>
        <v>-2.0396484841532857E-2</v>
      </c>
      <c r="L2945" s="2" t="str">
        <f>IF(ISNUMBER(SEARCH("|",IMDB_Movies!$D2945)),LEFT(IMDB_Movies!$D2945,SEARCH("|",IMDB_Movies!$D2945)-1),IMDB_Movies!$D2945)</f>
        <v>Action</v>
      </c>
      <c r="V2945" s="2"/>
      <c r="W2945" s="2"/>
    </row>
    <row r="2946" spans="1:23" ht="12.5" x14ac:dyDescent="0.25">
      <c r="A2946" s="2" t="s">
        <v>1685</v>
      </c>
      <c r="B2946" s="2">
        <v>104</v>
      </c>
      <c r="C2946" s="2">
        <v>1789892</v>
      </c>
      <c r="D2946" s="2" t="s">
        <v>375</v>
      </c>
      <c r="E2946" s="2" t="s">
        <v>4989</v>
      </c>
      <c r="F2946" s="2" t="s">
        <v>14</v>
      </c>
      <c r="G2946" s="2" t="s">
        <v>287</v>
      </c>
      <c r="H2946" s="2">
        <v>8000000</v>
      </c>
      <c r="I2946" s="2">
        <v>6.6</v>
      </c>
      <c r="J2946" s="2">
        <f t="shared" si="22"/>
        <v>-6210108</v>
      </c>
      <c r="K2946" s="2">
        <f t="shared" si="23"/>
        <v>-2.0412448235442193E-2</v>
      </c>
      <c r="L2946" s="2" t="str">
        <f>IF(ISNUMBER(SEARCH("|",IMDB_Movies!$D2946)),LEFT(IMDB_Movies!$D2946,SEARCH("|",IMDB_Movies!$D2946)-1),IMDB_Movies!$D2946)</f>
        <v>Comedy</v>
      </c>
      <c r="V2946" s="2"/>
      <c r="W2946" s="2"/>
    </row>
    <row r="2947" spans="1:23" ht="12.5" x14ac:dyDescent="0.25">
      <c r="A2947" s="2" t="s">
        <v>4990</v>
      </c>
      <c r="B2947" s="2">
        <v>101</v>
      </c>
      <c r="C2947" s="2">
        <v>6350058</v>
      </c>
      <c r="D2947" s="2" t="s">
        <v>514</v>
      </c>
      <c r="E2947" s="2" t="s">
        <v>4991</v>
      </c>
      <c r="F2947" s="2" t="s">
        <v>14</v>
      </c>
      <c r="G2947" s="2" t="s">
        <v>15</v>
      </c>
      <c r="H2947" s="2">
        <v>8000000</v>
      </c>
      <c r="I2947" s="2">
        <v>7.2</v>
      </c>
      <c r="J2947" s="2">
        <f t="shared" si="22"/>
        <v>-1649942</v>
      </c>
      <c r="K2947" s="2">
        <f t="shared" si="23"/>
        <v>-2.0429304006366073E-2</v>
      </c>
      <c r="L2947" s="2" t="str">
        <f>IF(ISNUMBER(SEARCH("|",IMDB_Movies!$D2947)),LEFT(IMDB_Movies!$D2947,SEARCH("|",IMDB_Movies!$D2947)-1),IMDB_Movies!$D2947)</f>
        <v>Comedy</v>
      </c>
      <c r="V2947" s="2"/>
      <c r="W2947" s="2"/>
    </row>
    <row r="2948" spans="1:23" ht="12.5" x14ac:dyDescent="0.25">
      <c r="A2948" s="2" t="s">
        <v>3160</v>
      </c>
      <c r="B2948" s="2">
        <v>113</v>
      </c>
      <c r="C2948" s="2">
        <v>1094798</v>
      </c>
      <c r="D2948" s="2" t="s">
        <v>1062</v>
      </c>
      <c r="E2948" s="2" t="s">
        <v>4992</v>
      </c>
      <c r="F2948" s="2" t="s">
        <v>14</v>
      </c>
      <c r="G2948" s="2" t="s">
        <v>22</v>
      </c>
      <c r="H2948" s="2">
        <v>7200000</v>
      </c>
      <c r="I2948" s="2">
        <v>7.2</v>
      </c>
      <c r="J2948" s="2">
        <f t="shared" si="22"/>
        <v>-6105202</v>
      </c>
      <c r="K2948" s="2">
        <f t="shared" si="23"/>
        <v>-2.0438536995567969E-2</v>
      </c>
      <c r="L2948" s="2" t="str">
        <f>IF(ISNUMBER(SEARCH("|",IMDB_Movies!$D2948)),LEFT(IMDB_Movies!$D2948,SEARCH("|",IMDB_Movies!$D2948)-1),IMDB_Movies!$D2948)</f>
        <v>Biography</v>
      </c>
      <c r="V2948" s="2"/>
      <c r="W2948" s="2"/>
    </row>
    <row r="2949" spans="1:23" ht="12.5" x14ac:dyDescent="0.25">
      <c r="A2949" s="2" t="s">
        <v>3736</v>
      </c>
      <c r="B2949" s="2">
        <v>92</v>
      </c>
      <c r="C2949" s="2">
        <v>1071240</v>
      </c>
      <c r="D2949" s="2" t="s">
        <v>555</v>
      </c>
      <c r="E2949" s="2" t="s">
        <v>4993</v>
      </c>
      <c r="F2949" s="2" t="s">
        <v>14</v>
      </c>
      <c r="G2949" s="2" t="s">
        <v>22</v>
      </c>
      <c r="H2949" s="2">
        <v>8000000</v>
      </c>
      <c r="I2949" s="2">
        <v>6.9</v>
      </c>
      <c r="J2949" s="2">
        <f t="shared" si="22"/>
        <v>-6928760</v>
      </c>
      <c r="K2949" s="2">
        <f t="shared" si="23"/>
        <v>-2.0459425923704946E-2</v>
      </c>
      <c r="L2949" s="2" t="str">
        <f>IF(ISNUMBER(SEARCH("|",IMDB_Movies!$D2949)),LEFT(IMDB_Movies!$D2949,SEARCH("|",IMDB_Movies!$D2949)-1),IMDB_Movies!$D2949)</f>
        <v>Biography</v>
      </c>
      <c r="V2949" s="2"/>
      <c r="W2949" s="2"/>
    </row>
    <row r="2950" spans="1:23" ht="12.5" x14ac:dyDescent="0.25">
      <c r="A2950" s="2" t="s">
        <v>4994</v>
      </c>
      <c r="B2950" s="2">
        <v>106</v>
      </c>
      <c r="C2950" s="2">
        <v>532190</v>
      </c>
      <c r="D2950" s="2" t="s">
        <v>2319</v>
      </c>
      <c r="E2950" s="2" t="s">
        <v>4995</v>
      </c>
      <c r="F2950" s="2" t="s">
        <v>14</v>
      </c>
      <c r="G2950" s="2" t="s">
        <v>15</v>
      </c>
      <c r="H2950" s="2">
        <v>8000000</v>
      </c>
      <c r="I2950" s="2">
        <v>6.8</v>
      </c>
      <c r="J2950" s="2">
        <f t="shared" si="22"/>
        <v>-7467810</v>
      </c>
      <c r="K2950" s="2">
        <f t="shared" si="23"/>
        <v>-2.0477688205815702E-2</v>
      </c>
      <c r="L2950" s="2" t="str">
        <f>IF(ISNUMBER(SEARCH("|",IMDB_Movies!$D2950)),LEFT(IMDB_Movies!$D2950,SEARCH("|",IMDB_Movies!$D2950)-1),IMDB_Movies!$D2950)</f>
        <v>Biography</v>
      </c>
      <c r="V2950" s="2"/>
      <c r="W2950" s="2"/>
    </row>
    <row r="2951" spans="1:23" ht="12.5" x14ac:dyDescent="0.25">
      <c r="A2951" s="2" t="s">
        <v>4996</v>
      </c>
      <c r="B2951" s="2">
        <v>75</v>
      </c>
      <c r="C2951" s="2">
        <v>686383</v>
      </c>
      <c r="D2951" s="2" t="s">
        <v>240</v>
      </c>
      <c r="E2951" s="2" t="s">
        <v>4997</v>
      </c>
      <c r="F2951" s="2" t="s">
        <v>14</v>
      </c>
      <c r="G2951" s="2" t="s">
        <v>686</v>
      </c>
      <c r="H2951" s="2">
        <v>6500000</v>
      </c>
      <c r="I2951" s="2">
        <v>7.7</v>
      </c>
      <c r="J2951" s="2">
        <f t="shared" si="22"/>
        <v>-5813617</v>
      </c>
      <c r="K2951" s="2">
        <f t="shared" si="23"/>
        <v>-2.0496973478326491E-2</v>
      </c>
      <c r="L2951" s="2" t="str">
        <f>IF(ISNUMBER(SEARCH("|",IMDB_Movies!$D2951)),LEFT(IMDB_Movies!$D2951,SEARCH("|",IMDB_Movies!$D2951)-1),IMDB_Movies!$D2951)</f>
        <v>Adventure</v>
      </c>
      <c r="V2951" s="2"/>
      <c r="W2951" s="2"/>
    </row>
    <row r="2952" spans="1:23" ht="12.5" x14ac:dyDescent="0.25">
      <c r="A2952" s="2" t="s">
        <v>4998</v>
      </c>
      <c r="B2952" s="2">
        <v>104</v>
      </c>
      <c r="C2952" s="2">
        <v>16168741</v>
      </c>
      <c r="D2952" s="2" t="s">
        <v>2082</v>
      </c>
      <c r="E2952" s="2" t="s">
        <v>4999</v>
      </c>
      <c r="F2952" s="2" t="s">
        <v>14</v>
      </c>
      <c r="G2952" s="2" t="s">
        <v>15</v>
      </c>
      <c r="H2952" s="2">
        <v>8000000</v>
      </c>
      <c r="I2952" s="2">
        <v>7.4</v>
      </c>
      <c r="J2952" s="2">
        <f t="shared" si="22"/>
        <v>8168741</v>
      </c>
      <c r="K2952" s="2">
        <f t="shared" si="23"/>
        <v>-2.0521333213823403E-2</v>
      </c>
      <c r="L2952" s="2" t="str">
        <f>IF(ISNUMBER(SEARCH("|",IMDB_Movies!$D2952)),LEFT(IMDB_Movies!$D2952,SEARCH("|",IMDB_Movies!$D2952)-1),IMDB_Movies!$D2952)</f>
        <v>Drama</v>
      </c>
      <c r="V2952" s="2"/>
      <c r="W2952" s="2"/>
    </row>
    <row r="2953" spans="1:23" ht="12.5" x14ac:dyDescent="0.25">
      <c r="A2953" s="2" t="s">
        <v>5000</v>
      </c>
      <c r="B2953" s="2">
        <v>108</v>
      </c>
      <c r="C2953" s="2">
        <v>568695</v>
      </c>
      <c r="D2953" s="2" t="s">
        <v>2924</v>
      </c>
      <c r="E2953" s="2" t="s">
        <v>5001</v>
      </c>
      <c r="F2953" s="2" t="s">
        <v>14</v>
      </c>
      <c r="G2953" s="2" t="s">
        <v>15</v>
      </c>
      <c r="H2953" s="2">
        <v>8000000</v>
      </c>
      <c r="I2953" s="2">
        <v>6.5</v>
      </c>
      <c r="J2953" s="2">
        <f t="shared" si="22"/>
        <v>-7431305</v>
      </c>
      <c r="K2953" s="2">
        <f t="shared" si="23"/>
        <v>-2.0516669352678235E-2</v>
      </c>
      <c r="L2953" s="2" t="str">
        <f>IF(ISNUMBER(SEARCH("|",IMDB_Movies!$D2953)),LEFT(IMDB_Movies!$D2953,SEARCH("|",IMDB_Movies!$D2953)-1),IMDB_Movies!$D2953)</f>
        <v>Drama</v>
      </c>
      <c r="V2953" s="2"/>
      <c r="W2953" s="2"/>
    </row>
    <row r="2954" spans="1:23" ht="12.5" x14ac:dyDescent="0.25">
      <c r="A2954" s="2" t="s">
        <v>5002</v>
      </c>
      <c r="B2954" s="2">
        <v>99</v>
      </c>
      <c r="C2954" s="2">
        <v>398420</v>
      </c>
      <c r="D2954" s="2" t="s">
        <v>694</v>
      </c>
      <c r="E2954" s="2" t="s">
        <v>5003</v>
      </c>
      <c r="F2954" s="2" t="s">
        <v>14</v>
      </c>
      <c r="G2954" s="2" t="s">
        <v>15</v>
      </c>
      <c r="H2954" s="2">
        <v>8000000</v>
      </c>
      <c r="I2954" s="2">
        <v>6.4</v>
      </c>
      <c r="J2954" s="2">
        <f t="shared" si="22"/>
        <v>-7601580</v>
      </c>
      <c r="K2954" s="2">
        <f t="shared" si="23"/>
        <v>-2.0536009861730639E-2</v>
      </c>
      <c r="L2954" s="2" t="str">
        <f>IF(ISNUMBER(SEARCH("|",IMDB_Movies!$D2954)),LEFT(IMDB_Movies!$D2954,SEARCH("|",IMDB_Movies!$D2954)-1),IMDB_Movies!$D2954)</f>
        <v>Crime</v>
      </c>
      <c r="V2954" s="2"/>
      <c r="W2954" s="2"/>
    </row>
    <row r="2955" spans="1:23" ht="12.5" x14ac:dyDescent="0.25">
      <c r="A2955" s="2" t="s">
        <v>5004</v>
      </c>
      <c r="B2955" s="2">
        <v>109</v>
      </c>
      <c r="C2955" s="2">
        <v>336456</v>
      </c>
      <c r="D2955" s="2" t="s">
        <v>5005</v>
      </c>
      <c r="E2955" s="2" t="s">
        <v>5006</v>
      </c>
      <c r="F2955" s="2" t="s">
        <v>14</v>
      </c>
      <c r="G2955" s="2" t="s">
        <v>15</v>
      </c>
      <c r="H2955" s="2">
        <v>8000000</v>
      </c>
      <c r="I2955" s="2">
        <v>5.6</v>
      </c>
      <c r="J2955" s="2">
        <f t="shared" si="22"/>
        <v>-7663544</v>
      </c>
      <c r="K2955" s="2">
        <f t="shared" si="23"/>
        <v>-2.0555713888513884E-2</v>
      </c>
      <c r="L2955" s="2" t="str">
        <f>IF(ISNUMBER(SEARCH("|",IMDB_Movies!$D2955)),LEFT(IMDB_Movies!$D2955,SEARCH("|",IMDB_Movies!$D2955)-1),IMDB_Movies!$D2955)</f>
        <v>Comedy</v>
      </c>
      <c r="V2955" s="2"/>
      <c r="W2955" s="2"/>
    </row>
    <row r="2956" spans="1:23" ht="12.5" x14ac:dyDescent="0.25">
      <c r="A2956" s="2" t="s">
        <v>5007</v>
      </c>
      <c r="B2956" s="2">
        <v>93</v>
      </c>
      <c r="C2956" s="2">
        <v>298110</v>
      </c>
      <c r="D2956" s="2" t="s">
        <v>4529</v>
      </c>
      <c r="E2956" s="2" t="s">
        <v>5008</v>
      </c>
      <c r="F2956" s="2" t="s">
        <v>14</v>
      </c>
      <c r="G2956" s="2" t="s">
        <v>104</v>
      </c>
      <c r="H2956" s="2">
        <v>8000000</v>
      </c>
      <c r="I2956" s="2">
        <v>6.8</v>
      </c>
      <c r="J2956" s="2">
        <f t="shared" si="22"/>
        <v>-7701890</v>
      </c>
      <c r="K2956" s="2">
        <f t="shared" si="23"/>
        <v>-2.0575584809380074E-2</v>
      </c>
      <c r="L2956" s="2" t="str">
        <f>IF(ISNUMBER(SEARCH("|",IMDB_Movies!$D2956)),LEFT(IMDB_Movies!$D2956,SEARCH("|",IMDB_Movies!$D2956)-1),IMDB_Movies!$D2956)</f>
        <v>Comedy</v>
      </c>
      <c r="V2956" s="2"/>
      <c r="W2956" s="2"/>
    </row>
    <row r="2957" spans="1:23" ht="12.5" x14ac:dyDescent="0.25">
      <c r="A2957" s="2" t="s">
        <v>5009</v>
      </c>
      <c r="B2957" s="2">
        <v>99</v>
      </c>
      <c r="C2957" s="2">
        <v>127144</v>
      </c>
      <c r="D2957" s="2" t="s">
        <v>514</v>
      </c>
      <c r="E2957" s="2" t="s">
        <v>5010</v>
      </c>
      <c r="F2957" s="2" t="s">
        <v>14</v>
      </c>
      <c r="G2957" s="2" t="s">
        <v>15</v>
      </c>
      <c r="H2957" s="2">
        <v>8000000</v>
      </c>
      <c r="I2957" s="2">
        <v>5.5</v>
      </c>
      <c r="J2957" s="2">
        <f t="shared" si="22"/>
        <v>-7872856</v>
      </c>
      <c r="K2957" s="2">
        <f t="shared" si="23"/>
        <v>-2.0595579984634307E-2</v>
      </c>
      <c r="L2957" s="2" t="str">
        <f>IF(ISNUMBER(SEARCH("|",IMDB_Movies!$D2957)),LEFT(IMDB_Movies!$D2957,SEARCH("|",IMDB_Movies!$D2957)-1),IMDB_Movies!$D2957)</f>
        <v>Comedy</v>
      </c>
      <c r="V2957" s="2"/>
      <c r="W2957" s="2"/>
    </row>
    <row r="2958" spans="1:23" ht="12.5" x14ac:dyDescent="0.25">
      <c r="A2958" s="2" t="s">
        <v>2326</v>
      </c>
      <c r="B2958" s="2">
        <v>98</v>
      </c>
      <c r="C2958" s="2">
        <v>117190</v>
      </c>
      <c r="D2958" s="2" t="s">
        <v>623</v>
      </c>
      <c r="E2958" s="2" t="s">
        <v>5011</v>
      </c>
      <c r="F2958" s="2" t="s">
        <v>14</v>
      </c>
      <c r="G2958" s="2" t="s">
        <v>22</v>
      </c>
      <c r="H2958" s="2">
        <v>8000000</v>
      </c>
      <c r="I2958" s="2">
        <v>6.9</v>
      </c>
      <c r="J2958" s="2">
        <f t="shared" si="22"/>
        <v>-7882810</v>
      </c>
      <c r="K2958" s="2">
        <f t="shared" si="23"/>
        <v>-2.0615945395293607E-2</v>
      </c>
      <c r="L2958" s="2" t="str">
        <f>IF(ISNUMBER(SEARCH("|",IMDB_Movies!$D2958)),LEFT(IMDB_Movies!$D2958,SEARCH("|",IMDB_Movies!$D2958)-1),IMDB_Movies!$D2958)</f>
        <v>Action</v>
      </c>
      <c r="V2958" s="2"/>
      <c r="W2958" s="2"/>
    </row>
    <row r="2959" spans="1:23" ht="12.5" x14ac:dyDescent="0.25">
      <c r="A2959" s="2" t="s">
        <v>5012</v>
      </c>
      <c r="B2959" s="2">
        <v>95</v>
      </c>
      <c r="C2959" s="2">
        <v>108662</v>
      </c>
      <c r="D2959" s="2" t="s">
        <v>2268</v>
      </c>
      <c r="E2959" s="2" t="s">
        <v>5013</v>
      </c>
      <c r="F2959" s="2" t="s">
        <v>14</v>
      </c>
      <c r="G2959" s="2" t="s">
        <v>15</v>
      </c>
      <c r="H2959" s="2">
        <v>8000000</v>
      </c>
      <c r="I2959" s="2">
        <v>6</v>
      </c>
      <c r="J2959" s="2">
        <f t="shared" si="22"/>
        <v>-7891338</v>
      </c>
      <c r="K2959" s="2">
        <f t="shared" si="23"/>
        <v>-2.0636384569426427E-2</v>
      </c>
      <c r="L2959" s="2" t="str">
        <f>IF(ISNUMBER(SEARCH("|",IMDB_Movies!$D2959)),LEFT(IMDB_Movies!$D2959,SEARCH("|",IMDB_Movies!$D2959)-1),IMDB_Movies!$D2959)</f>
        <v>Crime</v>
      </c>
      <c r="V2959" s="2"/>
      <c r="W2959" s="2"/>
    </row>
    <row r="2960" spans="1:23" ht="12.5" x14ac:dyDescent="0.25">
      <c r="A2960" s="2" t="s">
        <v>5014</v>
      </c>
      <c r="B2960" s="2">
        <v>107</v>
      </c>
      <c r="C2960" s="2">
        <v>53481</v>
      </c>
      <c r="D2960" s="2" t="s">
        <v>763</v>
      </c>
      <c r="E2960" s="2" t="s">
        <v>5015</v>
      </c>
      <c r="F2960" s="2" t="s">
        <v>14</v>
      </c>
      <c r="G2960" s="2" t="s">
        <v>15</v>
      </c>
      <c r="H2960" s="2">
        <v>8000000</v>
      </c>
      <c r="I2960" s="2">
        <v>6.4</v>
      </c>
      <c r="J2960" s="2">
        <f t="shared" si="22"/>
        <v>-7946519</v>
      </c>
      <c r="K2960" s="2">
        <f t="shared" si="23"/>
        <v>-2.065689517638605E-2</v>
      </c>
      <c r="L2960" s="2" t="str">
        <f>IF(ISNUMBER(SEARCH("|",IMDB_Movies!$D2960)),LEFT(IMDB_Movies!$D2960,SEARCH("|",IMDB_Movies!$D2960)-1),IMDB_Movies!$D2960)</f>
        <v>Crime</v>
      </c>
      <c r="V2960" s="2"/>
      <c r="W2960" s="2"/>
    </row>
    <row r="2961" spans="1:23" ht="12.5" x14ac:dyDescent="0.25">
      <c r="A2961" s="2" t="s">
        <v>5016</v>
      </c>
      <c r="B2961" s="2">
        <v>102</v>
      </c>
      <c r="C2961" s="2">
        <v>23106</v>
      </c>
      <c r="D2961" s="2" t="s">
        <v>1082</v>
      </c>
      <c r="E2961" s="2" t="s">
        <v>5017</v>
      </c>
      <c r="F2961" s="2" t="s">
        <v>14</v>
      </c>
      <c r="G2961" s="2" t="s">
        <v>2862</v>
      </c>
      <c r="H2961" s="2">
        <v>50000000</v>
      </c>
      <c r="I2961" s="2">
        <v>6.6</v>
      </c>
      <c r="J2961" s="2">
        <f t="shared" si="22"/>
        <v>-49976894</v>
      </c>
      <c r="K2961" s="2">
        <f t="shared" si="23"/>
        <v>-2.067756446434562E-2</v>
      </c>
      <c r="L2961" s="2" t="str">
        <f>IF(ISNUMBER(SEARCH("|",IMDB_Movies!$D2961)),LEFT(IMDB_Movies!$D2961,SEARCH("|",IMDB_Movies!$D2961)-1),IMDB_Movies!$D2961)</f>
        <v>Comedy</v>
      </c>
      <c r="V2961" s="2"/>
      <c r="W2961" s="2"/>
    </row>
    <row r="2962" spans="1:23" ht="12.5" x14ac:dyDescent="0.25">
      <c r="A2962" s="2" t="s">
        <v>5018</v>
      </c>
      <c r="B2962" s="2">
        <v>97</v>
      </c>
      <c r="C2962" s="2">
        <v>52961</v>
      </c>
      <c r="D2962" s="2" t="s">
        <v>1180</v>
      </c>
      <c r="E2962" s="2" t="s">
        <v>5019</v>
      </c>
      <c r="F2962" s="2" t="s">
        <v>14</v>
      </c>
      <c r="G2962" s="2" t="s">
        <v>1239</v>
      </c>
      <c r="H2962" s="2">
        <v>8000000</v>
      </c>
      <c r="I2962" s="2">
        <v>5.3</v>
      </c>
      <c r="J2962" s="2">
        <f t="shared" si="22"/>
        <v>-7947039</v>
      </c>
      <c r="K2962" s="2">
        <f t="shared" si="23"/>
        <v>-2.0540713714459372E-2</v>
      </c>
      <c r="L2962" s="2" t="str">
        <f>IF(ISNUMBER(SEARCH("|",IMDB_Movies!$D2962)),LEFT(IMDB_Movies!$D2962,SEARCH("|",IMDB_Movies!$D2962)-1),IMDB_Movies!$D2962)</f>
        <v>Drama</v>
      </c>
      <c r="V2962" s="2"/>
      <c r="W2962" s="2"/>
    </row>
    <row r="2963" spans="1:23" ht="12.5" x14ac:dyDescent="0.25">
      <c r="A2963" s="2" t="s">
        <v>3697</v>
      </c>
      <c r="B2963" s="2">
        <v>124</v>
      </c>
      <c r="C2963" s="2">
        <v>439162</v>
      </c>
      <c r="D2963" s="2" t="s">
        <v>5020</v>
      </c>
      <c r="E2963" s="2" t="s">
        <v>5021</v>
      </c>
      <c r="F2963" s="2" t="s">
        <v>2568</v>
      </c>
      <c r="G2963" s="2" t="s">
        <v>1032</v>
      </c>
      <c r="H2963" s="2">
        <v>1100000000</v>
      </c>
      <c r="I2963" s="2">
        <v>8.1</v>
      </c>
      <c r="J2963" s="2">
        <f t="shared" si="22"/>
        <v>-1099560838</v>
      </c>
      <c r="K2963" s="2">
        <f t="shared" si="23"/>
        <v>-2.0561283262363159E-2</v>
      </c>
      <c r="L2963" s="2" t="str">
        <f>IF(ISNUMBER(SEARCH("|",IMDB_Movies!$D2963)),LEFT(IMDB_Movies!$D2963,SEARCH("|",IMDB_Movies!$D2963)-1),IMDB_Movies!$D2963)</f>
        <v>Action</v>
      </c>
      <c r="V2963" s="2"/>
      <c r="W2963" s="2"/>
    </row>
    <row r="2964" spans="1:23" ht="12.5" x14ac:dyDescent="0.25">
      <c r="A2964" s="2" t="s">
        <v>5022</v>
      </c>
      <c r="B2964" s="2">
        <v>90</v>
      </c>
      <c r="C2964" s="2">
        <v>671240</v>
      </c>
      <c r="D2964" s="2" t="s">
        <v>514</v>
      </c>
      <c r="E2964" s="2" t="s">
        <v>5023</v>
      </c>
      <c r="F2964" s="2" t="s">
        <v>14</v>
      </c>
      <c r="G2964" s="2" t="s">
        <v>22</v>
      </c>
      <c r="H2964" s="2">
        <v>7900000</v>
      </c>
      <c r="I2964" s="2">
        <v>6.9</v>
      </c>
      <c r="J2964" s="2">
        <f t="shared" si="22"/>
        <v>-7228760</v>
      </c>
      <c r="K2964" s="2">
        <f t="shared" si="23"/>
        <v>-1.7093995269362297E-2</v>
      </c>
      <c r="L2964" s="2" t="str">
        <f>IF(ISNUMBER(SEARCH("|",IMDB_Movies!$D2964)),LEFT(IMDB_Movies!$D2964,SEARCH("|",IMDB_Movies!$D2964)-1),IMDB_Movies!$D2964)</f>
        <v>Comedy</v>
      </c>
      <c r="V2964" s="2"/>
      <c r="W2964" s="2"/>
    </row>
    <row r="2965" spans="1:23" ht="12.5" x14ac:dyDescent="0.25">
      <c r="A2965" s="2" t="s">
        <v>5024</v>
      </c>
      <c r="B2965" s="2">
        <v>90</v>
      </c>
      <c r="C2965" s="2">
        <v>882290</v>
      </c>
      <c r="D2965" s="2" t="s">
        <v>1205</v>
      </c>
      <c r="E2965" s="2" t="s">
        <v>5025</v>
      </c>
      <c r="F2965" s="2" t="s">
        <v>14</v>
      </c>
      <c r="G2965" s="2" t="s">
        <v>135</v>
      </c>
      <c r="H2965" s="2">
        <v>10000000</v>
      </c>
      <c r="I2965" s="2">
        <v>6.5</v>
      </c>
      <c r="J2965" s="2">
        <f t="shared" si="22"/>
        <v>-9117710</v>
      </c>
      <c r="K2965" s="2">
        <f t="shared" si="23"/>
        <v>-1.7109049876041404E-2</v>
      </c>
      <c r="L2965" s="2" t="str">
        <f>IF(ISNUMBER(SEARCH("|",IMDB_Movies!$D2965)),LEFT(IMDB_Movies!$D2965,SEARCH("|",IMDB_Movies!$D2965)-1),IMDB_Movies!$D2965)</f>
        <v>Action</v>
      </c>
      <c r="V2965" s="2"/>
      <c r="W2965" s="2"/>
    </row>
    <row r="2966" spans="1:23" ht="12.5" x14ac:dyDescent="0.25">
      <c r="A2966" s="2" t="s">
        <v>2097</v>
      </c>
      <c r="B2966" s="2">
        <v>99</v>
      </c>
      <c r="C2966" s="2">
        <v>106593296</v>
      </c>
      <c r="D2966" s="2" t="s">
        <v>1357</v>
      </c>
      <c r="E2966" s="2" t="s">
        <v>5026</v>
      </c>
      <c r="F2966" s="2" t="s">
        <v>14</v>
      </c>
      <c r="G2966" s="2" t="s">
        <v>15</v>
      </c>
      <c r="H2966" s="2">
        <v>7500000</v>
      </c>
      <c r="I2966" s="2">
        <v>7.4</v>
      </c>
      <c r="J2966" s="2">
        <f t="shared" si="22"/>
        <v>99093296</v>
      </c>
      <c r="K2966" s="2">
        <f t="shared" si="23"/>
        <v>-1.711619012701112E-2</v>
      </c>
      <c r="L2966" s="2" t="str">
        <f>IF(ISNUMBER(SEARCH("|",IMDB_Movies!$D2966)),LEFT(IMDB_Movies!$D2966,SEARCH("|",IMDB_Movies!$D2966)-1),IMDB_Movies!$D2966)</f>
        <v>Comedy</v>
      </c>
      <c r="V2966" s="2"/>
      <c r="W2966" s="2"/>
    </row>
    <row r="2967" spans="1:23" ht="12.5" x14ac:dyDescent="0.25">
      <c r="A2967" s="2" t="s">
        <v>2569</v>
      </c>
      <c r="B2967" s="2">
        <v>115</v>
      </c>
      <c r="C2967" s="2">
        <v>43490057</v>
      </c>
      <c r="D2967" s="2" t="s">
        <v>891</v>
      </c>
      <c r="E2967" s="2" t="s">
        <v>5027</v>
      </c>
      <c r="F2967" s="2" t="s">
        <v>14</v>
      </c>
      <c r="G2967" s="2" t="s">
        <v>15</v>
      </c>
      <c r="H2967" s="2">
        <v>7500000</v>
      </c>
      <c r="I2967" s="2">
        <v>6.9</v>
      </c>
      <c r="J2967" s="2">
        <f t="shared" si="22"/>
        <v>35990057</v>
      </c>
      <c r="K2967" s="2">
        <f t="shared" si="23"/>
        <v>-1.7140395053560565E-2</v>
      </c>
      <c r="L2967" s="2" t="str">
        <f>IF(ISNUMBER(SEARCH("|",IMDB_Movies!$D2967)),LEFT(IMDB_Movies!$D2967,SEARCH("|",IMDB_Movies!$D2967)-1),IMDB_Movies!$D2967)</f>
        <v>Comedy</v>
      </c>
      <c r="V2967" s="2"/>
      <c r="W2967" s="2"/>
    </row>
    <row r="2968" spans="1:23" ht="12.5" x14ac:dyDescent="0.25">
      <c r="A2968" s="2" t="s">
        <v>5028</v>
      </c>
      <c r="B2968" s="2">
        <v>89</v>
      </c>
      <c r="C2968" s="2">
        <v>32333860</v>
      </c>
      <c r="D2968" s="2" t="s">
        <v>768</v>
      </c>
      <c r="E2968" s="2" t="s">
        <v>5029</v>
      </c>
      <c r="F2968" s="2" t="s">
        <v>2413</v>
      </c>
      <c r="G2968" s="2" t="s">
        <v>1329</v>
      </c>
      <c r="H2968" s="2">
        <v>7500000</v>
      </c>
      <c r="I2968" s="2">
        <v>6.7</v>
      </c>
      <c r="J2968" s="2">
        <f t="shared" si="22"/>
        <v>24833860</v>
      </c>
      <c r="K2968" s="2">
        <f t="shared" si="23"/>
        <v>-1.711838988649057E-2</v>
      </c>
      <c r="L2968" s="2" t="str">
        <f>IF(ISNUMBER(SEARCH("|",IMDB_Movies!$D2968)),LEFT(IMDB_Movies!$D2968,SEARCH("|",IMDB_Movies!$D2968)-1),IMDB_Movies!$D2968)</f>
        <v>Action</v>
      </c>
      <c r="V2968" s="2"/>
      <c r="W2968" s="2"/>
    </row>
    <row r="2969" spans="1:23" ht="12.5" x14ac:dyDescent="0.25">
      <c r="A2969" s="2" t="s">
        <v>2709</v>
      </c>
      <c r="B2969" s="2">
        <v>92</v>
      </c>
      <c r="C2969" s="2">
        <v>24792061</v>
      </c>
      <c r="D2969" s="2" t="s">
        <v>891</v>
      </c>
      <c r="E2969" s="2" t="s">
        <v>5030</v>
      </c>
      <c r="F2969" s="2" t="s">
        <v>14</v>
      </c>
      <c r="G2969" s="2" t="s">
        <v>15</v>
      </c>
      <c r="H2969" s="2">
        <v>6500000</v>
      </c>
      <c r="I2969" s="2">
        <v>7.6</v>
      </c>
      <c r="J2969" s="2">
        <f t="shared" si="22"/>
        <v>18292061</v>
      </c>
      <c r="K2969" s="2">
        <f t="shared" si="23"/>
        <v>-1.71008902974416E-2</v>
      </c>
      <c r="L2969" s="2" t="str">
        <f>IF(ISNUMBER(SEARCH("|",IMDB_Movies!$D2969)),LEFT(IMDB_Movies!$D2969,SEARCH("|",IMDB_Movies!$D2969)-1),IMDB_Movies!$D2969)</f>
        <v>Comedy</v>
      </c>
      <c r="V2969" s="2"/>
      <c r="W2969" s="2"/>
    </row>
    <row r="2970" spans="1:23" ht="12.5" x14ac:dyDescent="0.25">
      <c r="A2970" s="2" t="s">
        <v>5031</v>
      </c>
      <c r="B2970" s="2">
        <v>94</v>
      </c>
      <c r="C2970" s="2">
        <v>17544812</v>
      </c>
      <c r="D2970" s="2" t="s">
        <v>2148</v>
      </c>
      <c r="E2970" s="2" t="s">
        <v>5032</v>
      </c>
      <c r="F2970" s="2" t="s">
        <v>14</v>
      </c>
      <c r="G2970" s="2" t="s">
        <v>15</v>
      </c>
      <c r="H2970" s="2">
        <v>10000000</v>
      </c>
      <c r="I2970" s="2">
        <v>5.4</v>
      </c>
      <c r="J2970" s="2">
        <f t="shared" si="22"/>
        <v>7544812</v>
      </c>
      <c r="K2970" s="2">
        <f t="shared" si="23"/>
        <v>-1.7084890530085155E-2</v>
      </c>
      <c r="L2970" s="2" t="str">
        <f>IF(ISNUMBER(SEARCH("|",IMDB_Movies!$D2970)),LEFT(IMDB_Movies!$D2970,SEARCH("|",IMDB_Movies!$D2970)-1),IMDB_Movies!$D2970)</f>
        <v>Horror</v>
      </c>
      <c r="V2970" s="2"/>
      <c r="W2970" s="2"/>
    </row>
    <row r="2971" spans="1:23" ht="12.5" x14ac:dyDescent="0.25">
      <c r="A2971" s="2" t="s">
        <v>4145</v>
      </c>
      <c r="B2971" s="2">
        <v>100</v>
      </c>
      <c r="C2971" s="2">
        <v>12574715</v>
      </c>
      <c r="D2971" s="2" t="s">
        <v>1180</v>
      </c>
      <c r="E2971" s="2" t="s">
        <v>5033</v>
      </c>
      <c r="F2971" s="2" t="s">
        <v>14</v>
      </c>
      <c r="G2971" s="2" t="s">
        <v>22</v>
      </c>
      <c r="H2971" s="2">
        <v>4500000</v>
      </c>
      <c r="I2971" s="2">
        <v>7.3</v>
      </c>
      <c r="J2971" s="2">
        <f t="shared" si="22"/>
        <v>8074715</v>
      </c>
      <c r="K2971" s="2">
        <f t="shared" si="23"/>
        <v>-1.7083161040196772E-2</v>
      </c>
      <c r="L2971" s="2" t="str">
        <f>IF(ISNUMBER(SEARCH("|",IMDB_Movies!$D2971)),LEFT(IMDB_Movies!$D2971,SEARCH("|",IMDB_Movies!$D2971)-1),IMDB_Movies!$D2971)</f>
        <v>Drama</v>
      </c>
      <c r="V2971" s="2"/>
      <c r="W2971" s="2"/>
    </row>
    <row r="2972" spans="1:23" ht="12.5" x14ac:dyDescent="0.25">
      <c r="A2972" s="2" t="s">
        <v>5034</v>
      </c>
      <c r="B2972" s="2">
        <v>109</v>
      </c>
      <c r="C2972" s="2">
        <v>5100000</v>
      </c>
      <c r="D2972" s="2" t="s">
        <v>514</v>
      </c>
      <c r="E2972" s="2" t="s">
        <v>5035</v>
      </c>
      <c r="F2972" s="2" t="s">
        <v>14</v>
      </c>
      <c r="G2972" s="2" t="s">
        <v>22</v>
      </c>
      <c r="H2972" s="2">
        <v>7500000</v>
      </c>
      <c r="I2972" s="2">
        <v>6</v>
      </c>
      <c r="J2972" s="2">
        <f t="shared" si="22"/>
        <v>-2400000</v>
      </c>
      <c r="K2972" s="2">
        <f t="shared" si="23"/>
        <v>-1.7083268184743948E-2</v>
      </c>
      <c r="L2972" s="2" t="str">
        <f>IF(ISNUMBER(SEARCH("|",IMDB_Movies!$D2972)),LEFT(IMDB_Movies!$D2972,SEARCH("|",IMDB_Movies!$D2972)-1),IMDB_Movies!$D2972)</f>
        <v>Comedy</v>
      </c>
      <c r="V2972" s="2"/>
      <c r="W2972" s="2"/>
    </row>
    <row r="2973" spans="1:23" ht="12.5" x14ac:dyDescent="0.25">
      <c r="A2973" s="2" t="s">
        <v>3097</v>
      </c>
      <c r="B2973" s="2">
        <v>105</v>
      </c>
      <c r="C2973" s="2">
        <v>10460089</v>
      </c>
      <c r="D2973" s="2" t="s">
        <v>770</v>
      </c>
      <c r="E2973" s="2" t="s">
        <v>5036</v>
      </c>
      <c r="F2973" s="2" t="s">
        <v>14</v>
      </c>
      <c r="G2973" s="2" t="s">
        <v>15</v>
      </c>
      <c r="H2973" s="2">
        <v>7500000</v>
      </c>
      <c r="I2973" s="2">
        <v>7.2</v>
      </c>
      <c r="J2973" s="2">
        <f t="shared" si="22"/>
        <v>2960089</v>
      </c>
      <c r="K2973" s="2">
        <f t="shared" si="23"/>
        <v>-1.7093189443552256E-2</v>
      </c>
      <c r="L2973" s="2" t="str">
        <f>IF(ISNUMBER(SEARCH("|",IMDB_Movies!$D2973)),LEFT(IMDB_Movies!$D2973,SEARCH("|",IMDB_Movies!$D2973)-1),IMDB_Movies!$D2973)</f>
        <v>Crime</v>
      </c>
      <c r="V2973" s="2"/>
      <c r="W2973" s="2"/>
    </row>
    <row r="2974" spans="1:23" ht="12.5" x14ac:dyDescent="0.25">
      <c r="A2974" s="2" t="s">
        <v>5037</v>
      </c>
      <c r="B2974" s="2">
        <v>102</v>
      </c>
      <c r="C2974" s="2">
        <v>4239767</v>
      </c>
      <c r="D2974" s="2" t="s">
        <v>1537</v>
      </c>
      <c r="E2974" s="2" t="s">
        <v>5038</v>
      </c>
      <c r="F2974" s="2" t="s">
        <v>14</v>
      </c>
      <c r="G2974" s="2" t="s">
        <v>104</v>
      </c>
      <c r="H2974" s="2">
        <v>7500000</v>
      </c>
      <c r="I2974" s="2">
        <v>6</v>
      </c>
      <c r="J2974" s="2">
        <f t="shared" si="22"/>
        <v>-3260233</v>
      </c>
      <c r="K2974" s="2">
        <f t="shared" si="23"/>
        <v>-1.7095874922401777E-2</v>
      </c>
      <c r="L2974" s="2" t="str">
        <f>IF(ISNUMBER(SEARCH("|",IMDB_Movies!$D2974)),LEFT(IMDB_Movies!$D2974,SEARCH("|",IMDB_Movies!$D2974)-1),IMDB_Movies!$D2974)</f>
        <v>Comedy</v>
      </c>
      <c r="V2974" s="2"/>
      <c r="W2974" s="2"/>
    </row>
    <row r="2975" spans="1:23" ht="12.5" x14ac:dyDescent="0.25">
      <c r="A2975" s="2" t="s">
        <v>5039</v>
      </c>
      <c r="B2975" s="2">
        <v>97</v>
      </c>
      <c r="C2975" s="2">
        <v>4131640</v>
      </c>
      <c r="D2975" s="2" t="s">
        <v>375</v>
      </c>
      <c r="E2975" s="2" t="s">
        <v>5040</v>
      </c>
      <c r="F2975" s="2" t="s">
        <v>14</v>
      </c>
      <c r="G2975" s="2" t="s">
        <v>15</v>
      </c>
      <c r="H2975" s="2">
        <v>7500000</v>
      </c>
      <c r="I2975" s="2">
        <v>3.1</v>
      </c>
      <c r="J2975" s="2">
        <f t="shared" si="22"/>
        <v>-3368360</v>
      </c>
      <c r="K2975" s="2">
        <f t="shared" si="23"/>
        <v>-1.7107086833361304E-2</v>
      </c>
      <c r="L2975" s="2" t="str">
        <f>IF(ISNUMBER(SEARCH("|",IMDB_Movies!$D2975)),LEFT(IMDB_Movies!$D2975,SEARCH("|",IMDB_Movies!$D2975)-1),IMDB_Movies!$D2975)</f>
        <v>Comedy</v>
      </c>
      <c r="V2975" s="2"/>
      <c r="W2975" s="2"/>
    </row>
    <row r="2976" spans="1:23" ht="12.5" x14ac:dyDescent="0.25">
      <c r="A2976" s="2" t="s">
        <v>5041</v>
      </c>
      <c r="B2976" s="2">
        <v>118</v>
      </c>
      <c r="C2976" s="2">
        <v>3347439</v>
      </c>
      <c r="D2976" s="2" t="s">
        <v>85</v>
      </c>
      <c r="E2976" s="2" t="s">
        <v>5042</v>
      </c>
      <c r="F2976" s="2" t="s">
        <v>14</v>
      </c>
      <c r="G2976" s="2" t="s">
        <v>15</v>
      </c>
      <c r="H2976" s="2">
        <v>7500000</v>
      </c>
      <c r="I2976" s="2">
        <v>6.9</v>
      </c>
      <c r="J2976" s="2">
        <f t="shared" si="22"/>
        <v>-4152561</v>
      </c>
      <c r="K2976" s="2">
        <f t="shared" si="23"/>
        <v>-1.7118486856753372E-2</v>
      </c>
      <c r="L2976" s="2" t="str">
        <f>IF(ISNUMBER(SEARCH("|",IMDB_Movies!$D2976)),LEFT(IMDB_Movies!$D2976,SEARCH("|",IMDB_Movies!$D2976)-1),IMDB_Movies!$D2976)</f>
        <v>Drama</v>
      </c>
      <c r="V2976" s="2"/>
      <c r="W2976" s="2"/>
    </row>
    <row r="2977" spans="1:23" ht="12.5" x14ac:dyDescent="0.25">
      <c r="A2977" s="2" t="s">
        <v>4456</v>
      </c>
      <c r="B2977" s="2">
        <v>92</v>
      </c>
      <c r="C2977" s="2">
        <v>10814185</v>
      </c>
      <c r="D2977" s="2" t="s">
        <v>1464</v>
      </c>
      <c r="E2977" s="2" t="s">
        <v>5043</v>
      </c>
      <c r="F2977" s="2" t="s">
        <v>14</v>
      </c>
      <c r="G2977" s="2" t="s">
        <v>15</v>
      </c>
      <c r="H2977" s="2">
        <v>8000000</v>
      </c>
      <c r="I2977" s="2">
        <v>6.2</v>
      </c>
      <c r="J2977" s="2">
        <f t="shared" si="22"/>
        <v>2814185</v>
      </c>
      <c r="K2977" s="2">
        <f t="shared" si="23"/>
        <v>-1.7131082162415694E-2</v>
      </c>
      <c r="L2977" s="2" t="str">
        <f>IF(ISNUMBER(SEARCH("|",IMDB_Movies!$D2977)),LEFT(IMDB_Movies!$D2977,SEARCH("|",IMDB_Movies!$D2977)-1),IMDB_Movies!$D2977)</f>
        <v>Comedy</v>
      </c>
      <c r="V2977" s="2"/>
      <c r="W2977" s="2"/>
    </row>
    <row r="2978" spans="1:23" ht="12.5" x14ac:dyDescent="0.25">
      <c r="A2978" s="2" t="s">
        <v>5044</v>
      </c>
      <c r="B2978" s="2">
        <v>103</v>
      </c>
      <c r="C2978" s="2">
        <v>206400</v>
      </c>
      <c r="D2978" s="2" t="s">
        <v>4952</v>
      </c>
      <c r="E2978" s="2" t="s">
        <v>5045</v>
      </c>
      <c r="F2978" s="2" t="s">
        <v>1006</v>
      </c>
      <c r="G2978" s="2" t="s">
        <v>686</v>
      </c>
      <c r="H2978" s="2">
        <v>50000000</v>
      </c>
      <c r="I2978" s="2">
        <v>6.9</v>
      </c>
      <c r="J2978" s="2">
        <f t="shared" si="22"/>
        <v>-49793600</v>
      </c>
      <c r="K2978" s="2">
        <f t="shared" si="23"/>
        <v>-1.713308872055222E-2</v>
      </c>
      <c r="L2978" s="2" t="str">
        <f>IF(ISNUMBER(SEARCH("|",IMDB_Movies!$D2978)),LEFT(IMDB_Movies!$D2978,SEARCH("|",IMDB_Movies!$D2978)-1),IMDB_Movies!$D2978)</f>
        <v>Comedy</v>
      </c>
      <c r="V2978" s="2"/>
      <c r="W2978" s="2"/>
    </row>
    <row r="2979" spans="1:23" ht="12.5" x14ac:dyDescent="0.25">
      <c r="A2979" s="2" t="s">
        <v>4169</v>
      </c>
      <c r="B2979" s="2">
        <v>93</v>
      </c>
      <c r="C2979" s="2">
        <v>197148</v>
      </c>
      <c r="D2979" s="2" t="s">
        <v>5046</v>
      </c>
      <c r="E2979" s="2" t="s">
        <v>5047</v>
      </c>
      <c r="F2979" s="2" t="s">
        <v>14</v>
      </c>
      <c r="G2979" s="2" t="s">
        <v>22</v>
      </c>
      <c r="H2979" s="2">
        <v>7500000</v>
      </c>
      <c r="I2979" s="2">
        <v>6.3</v>
      </c>
      <c r="J2979" s="2">
        <f t="shared" si="22"/>
        <v>-7302852</v>
      </c>
      <c r="K2979" s="2">
        <f t="shared" si="23"/>
        <v>-1.6987849714678763E-2</v>
      </c>
      <c r="L2979" s="2" t="str">
        <f>IF(ISNUMBER(SEARCH("|",IMDB_Movies!$D2979)),LEFT(IMDB_Movies!$D2979,SEARCH("|",IMDB_Movies!$D2979)-1),IMDB_Movies!$D2979)</f>
        <v>Drama</v>
      </c>
      <c r="V2979" s="2"/>
      <c r="W2979" s="2"/>
    </row>
    <row r="2980" spans="1:23" ht="12.5" x14ac:dyDescent="0.25">
      <c r="A2980" s="2" t="s">
        <v>5048</v>
      </c>
      <c r="B2980" s="2">
        <v>113</v>
      </c>
      <c r="C2980" s="2">
        <v>3014541</v>
      </c>
      <c r="D2980" s="2" t="s">
        <v>1180</v>
      </c>
      <c r="E2980" s="2" t="s">
        <v>5049</v>
      </c>
      <c r="F2980" s="2" t="s">
        <v>14</v>
      </c>
      <c r="G2980" s="2" t="s">
        <v>22</v>
      </c>
      <c r="H2980" s="2">
        <v>8000000</v>
      </c>
      <c r="I2980" s="2">
        <v>6.7</v>
      </c>
      <c r="J2980" s="2">
        <f t="shared" si="22"/>
        <v>-4985459</v>
      </c>
      <c r="K2980" s="2">
        <f t="shared" si="23"/>
        <v>-1.7005205049576758E-2</v>
      </c>
      <c r="L2980" s="2" t="str">
        <f>IF(ISNUMBER(SEARCH("|",IMDB_Movies!$D2980)),LEFT(IMDB_Movies!$D2980,SEARCH("|",IMDB_Movies!$D2980)-1),IMDB_Movies!$D2980)</f>
        <v>Drama</v>
      </c>
      <c r="V2980" s="2"/>
      <c r="W2980" s="2"/>
    </row>
    <row r="2981" spans="1:23" ht="12.5" x14ac:dyDescent="0.25">
      <c r="A2981" s="2" t="s">
        <v>5050</v>
      </c>
      <c r="B2981" s="2">
        <v>153</v>
      </c>
      <c r="C2981" s="2">
        <v>872643</v>
      </c>
      <c r="D2981" s="2" t="s">
        <v>955</v>
      </c>
      <c r="E2981" s="2" t="s">
        <v>5051</v>
      </c>
      <c r="F2981" s="2" t="s">
        <v>4629</v>
      </c>
      <c r="G2981" s="2" t="s">
        <v>15</v>
      </c>
      <c r="H2981" s="2">
        <v>6000000</v>
      </c>
      <c r="I2981" s="2">
        <v>5.4</v>
      </c>
      <c r="J2981" s="2">
        <f t="shared" si="22"/>
        <v>-5127357</v>
      </c>
      <c r="K2981" s="2">
        <f t="shared" si="23"/>
        <v>-1.7016767402355647E-2</v>
      </c>
      <c r="L2981" s="2" t="str">
        <f>IF(ISNUMBER(SEARCH("|",IMDB_Movies!$D2981)),LEFT(IMDB_Movies!$D2981,SEARCH("|",IMDB_Movies!$D2981)-1),IMDB_Movies!$D2981)</f>
        <v>Comedy</v>
      </c>
      <c r="V2981" s="2"/>
      <c r="W2981" s="2"/>
    </row>
    <row r="2982" spans="1:23" ht="12.5" x14ac:dyDescent="0.25">
      <c r="A2982" s="2" t="s">
        <v>5052</v>
      </c>
      <c r="B2982" s="2">
        <v>89</v>
      </c>
      <c r="C2982" s="2">
        <v>4443403</v>
      </c>
      <c r="D2982" s="2" t="s">
        <v>5053</v>
      </c>
      <c r="E2982" s="2" t="s">
        <v>5054</v>
      </c>
      <c r="F2982" s="2" t="s">
        <v>1006</v>
      </c>
      <c r="G2982" s="2" t="s">
        <v>686</v>
      </c>
      <c r="H2982" s="2">
        <v>7300000</v>
      </c>
      <c r="I2982" s="2">
        <v>8</v>
      </c>
      <c r="J2982" s="2">
        <f t="shared" si="22"/>
        <v>-2856597</v>
      </c>
      <c r="K2982" s="2">
        <f t="shared" si="23"/>
        <v>-1.7038631064002076E-2</v>
      </c>
      <c r="L2982" s="2" t="str">
        <f>IF(ISNUMBER(SEARCH("|",IMDB_Movies!$D2982)),LEFT(IMDB_Movies!$D2982,SEARCH("|",IMDB_Movies!$D2982)-1),IMDB_Movies!$D2982)</f>
        <v>Animation</v>
      </c>
      <c r="V2982" s="2"/>
      <c r="W2982" s="2"/>
    </row>
    <row r="2983" spans="1:23" ht="12.5" x14ac:dyDescent="0.25">
      <c r="A2983" s="2" t="s">
        <v>4086</v>
      </c>
      <c r="B2983" s="2">
        <v>118</v>
      </c>
      <c r="C2983" s="2">
        <v>1330827</v>
      </c>
      <c r="D2983" s="2" t="s">
        <v>2228</v>
      </c>
      <c r="E2983" s="2" t="s">
        <v>5055</v>
      </c>
      <c r="F2983" s="2" t="s">
        <v>14</v>
      </c>
      <c r="G2983" s="2" t="s">
        <v>686</v>
      </c>
      <c r="H2983" s="2">
        <v>7000000</v>
      </c>
      <c r="I2983" s="2">
        <v>7</v>
      </c>
      <c r="J2983" s="2">
        <f t="shared" si="22"/>
        <v>-5669173</v>
      </c>
      <c r="K2983" s="2">
        <f t="shared" si="23"/>
        <v>-1.7050162819587454E-2</v>
      </c>
      <c r="L2983" s="2" t="str">
        <f>IF(ISNUMBER(SEARCH("|",IMDB_Movies!$D2983)),LEFT(IMDB_Movies!$D2983,SEARCH("|",IMDB_Movies!$D2983)-1),IMDB_Movies!$D2983)</f>
        <v>Horror</v>
      </c>
      <c r="V2983" s="2"/>
      <c r="W2983" s="2"/>
    </row>
    <row r="2984" spans="1:23" ht="12.5" x14ac:dyDescent="0.25">
      <c r="A2984" s="2" t="s">
        <v>5056</v>
      </c>
      <c r="B2984" s="2">
        <v>97</v>
      </c>
      <c r="C2984" s="2">
        <v>1818681</v>
      </c>
      <c r="D2984" s="2" t="s">
        <v>177</v>
      </c>
      <c r="E2984" s="2" t="s">
        <v>5057</v>
      </c>
      <c r="F2984" s="2" t="s">
        <v>14</v>
      </c>
      <c r="G2984" s="2" t="s">
        <v>22</v>
      </c>
      <c r="H2984" s="2">
        <v>7300000</v>
      </c>
      <c r="I2984" s="2">
        <v>7.2</v>
      </c>
      <c r="J2984" s="2">
        <f t="shared" si="22"/>
        <v>-5481319</v>
      </c>
      <c r="K2984" s="2">
        <f t="shared" si="23"/>
        <v>-1.7067674407615762E-2</v>
      </c>
      <c r="L2984" s="2" t="str">
        <f>IF(ISNUMBER(SEARCH("|",IMDB_Movies!$D2984)),LEFT(IMDB_Movies!$D2984,SEARCH("|",IMDB_Movies!$D2984)-1),IMDB_Movies!$D2984)</f>
        <v>Action</v>
      </c>
      <c r="V2984" s="2"/>
      <c r="W2984" s="2"/>
    </row>
    <row r="2985" spans="1:23" ht="12.5" x14ac:dyDescent="0.25">
      <c r="A2985" s="2" t="s">
        <v>5058</v>
      </c>
      <c r="B2985" s="2">
        <v>100</v>
      </c>
      <c r="C2985" s="2">
        <v>12610552</v>
      </c>
      <c r="D2985" s="2" t="s">
        <v>102</v>
      </c>
      <c r="E2985" s="2" t="s">
        <v>5059</v>
      </c>
      <c r="F2985" s="2" t="s">
        <v>14</v>
      </c>
      <c r="G2985" s="2" t="s">
        <v>15</v>
      </c>
      <c r="H2985" s="2">
        <v>7500000</v>
      </c>
      <c r="I2985" s="2">
        <v>3.5</v>
      </c>
      <c r="J2985" s="2">
        <f t="shared" si="22"/>
        <v>5110552</v>
      </c>
      <c r="K2985" s="2">
        <f t="shared" si="23"/>
        <v>-1.7083387130306313E-2</v>
      </c>
      <c r="L2985" s="2" t="str">
        <f>IF(ISNUMBER(SEARCH("|",IMDB_Movies!$D2985)),LEFT(IMDB_Movies!$D2985,SEARCH("|",IMDB_Movies!$D2985)-1),IMDB_Movies!$D2985)</f>
        <v>Action</v>
      </c>
      <c r="V2985" s="2"/>
      <c r="W2985" s="2"/>
    </row>
    <row r="2986" spans="1:23" ht="12.5" x14ac:dyDescent="0.25">
      <c r="A2986" s="2" t="s">
        <v>2709</v>
      </c>
      <c r="B2986" s="2">
        <v>96</v>
      </c>
      <c r="C2986" s="2">
        <v>143492840</v>
      </c>
      <c r="D2986" s="2" t="s">
        <v>514</v>
      </c>
      <c r="E2986" s="2" t="s">
        <v>5060</v>
      </c>
      <c r="F2986" s="2" t="s">
        <v>14</v>
      </c>
      <c r="G2986" s="2" t="s">
        <v>15</v>
      </c>
      <c r="H2986" s="2">
        <v>7500000</v>
      </c>
      <c r="I2986" s="2">
        <v>7.5</v>
      </c>
      <c r="J2986" s="2">
        <f t="shared" si="22"/>
        <v>135992840</v>
      </c>
      <c r="K2986" s="2">
        <f t="shared" si="23"/>
        <v>-1.70835713370893E-2</v>
      </c>
      <c r="L2986" s="2" t="str">
        <f>IF(ISNUMBER(SEARCH("|",IMDB_Movies!$D2986)),LEFT(IMDB_Movies!$D2986,SEARCH("|",IMDB_Movies!$D2986)-1),IMDB_Movies!$D2986)</f>
        <v>Comedy</v>
      </c>
      <c r="V2986" s="2"/>
      <c r="W2986" s="2"/>
    </row>
    <row r="2987" spans="1:23" ht="12.5" x14ac:dyDescent="0.25">
      <c r="A2987" s="2" t="s">
        <v>5061</v>
      </c>
      <c r="B2987" s="2">
        <v>120</v>
      </c>
      <c r="C2987" s="2">
        <v>43800000</v>
      </c>
      <c r="D2987" s="2" t="s">
        <v>20</v>
      </c>
      <c r="E2987" s="2" t="s">
        <v>5062</v>
      </c>
      <c r="F2987" s="2" t="s">
        <v>14</v>
      </c>
      <c r="G2987" s="2" t="s">
        <v>22</v>
      </c>
      <c r="H2987" s="2">
        <v>7200000</v>
      </c>
      <c r="I2987" s="2">
        <v>6.7</v>
      </c>
      <c r="J2987" s="2">
        <f t="shared" si="22"/>
        <v>36600000</v>
      </c>
      <c r="K2987" s="2">
        <f t="shared" si="23"/>
        <v>-1.7195389437969305E-2</v>
      </c>
      <c r="L2987" s="2" t="str">
        <f>IF(ISNUMBER(SEARCH("|",IMDB_Movies!$D2987)),LEFT(IMDB_Movies!$D2987,SEARCH("|",IMDB_Movies!$D2987)-1),IMDB_Movies!$D2987)</f>
        <v>Action</v>
      </c>
      <c r="V2987" s="2"/>
      <c r="W2987" s="2"/>
    </row>
    <row r="2988" spans="1:23" ht="12.5" x14ac:dyDescent="0.25">
      <c r="A2988" s="2" t="s">
        <v>1648</v>
      </c>
      <c r="B2988" s="2">
        <v>175</v>
      </c>
      <c r="C2988" s="2">
        <v>134821952</v>
      </c>
      <c r="D2988" s="2" t="s">
        <v>694</v>
      </c>
      <c r="E2988" s="2" t="s">
        <v>5063</v>
      </c>
      <c r="F2988" s="2" t="s">
        <v>14</v>
      </c>
      <c r="G2988" s="2" t="s">
        <v>15</v>
      </c>
      <c r="H2988" s="2">
        <v>6000000</v>
      </c>
      <c r="I2988" s="2">
        <v>9.1999999999999993</v>
      </c>
      <c r="J2988" s="2">
        <f t="shared" si="22"/>
        <v>128821952</v>
      </c>
      <c r="K2988" s="2">
        <f t="shared" si="23"/>
        <v>-1.7169811259830338E-2</v>
      </c>
      <c r="L2988" s="2" t="str">
        <f>IF(ISNUMBER(SEARCH("|",IMDB_Movies!$D2988)),LEFT(IMDB_Movies!$D2988,SEARCH("|",IMDB_Movies!$D2988)-1),IMDB_Movies!$D2988)</f>
        <v>Crime</v>
      </c>
      <c r="V2988" s="2"/>
      <c r="W2988" s="2"/>
    </row>
    <row r="2989" spans="1:23" ht="12.5" x14ac:dyDescent="0.25">
      <c r="A2989" s="2" t="s">
        <v>1758</v>
      </c>
      <c r="B2989" s="2">
        <v>95</v>
      </c>
      <c r="C2989" s="2">
        <v>94900000</v>
      </c>
      <c r="D2989" s="2" t="s">
        <v>2586</v>
      </c>
      <c r="E2989" s="2" t="s">
        <v>5064</v>
      </c>
      <c r="F2989" s="2" t="s">
        <v>14</v>
      </c>
      <c r="G2989" s="2" t="s">
        <v>15</v>
      </c>
      <c r="H2989" s="2">
        <v>4000000</v>
      </c>
      <c r="I2989" s="2">
        <v>6.1</v>
      </c>
      <c r="J2989" s="2">
        <f t="shared" si="22"/>
        <v>90900000</v>
      </c>
      <c r="K2989" s="2">
        <f t="shared" si="23"/>
        <v>-1.7205539218423854E-2</v>
      </c>
      <c r="L2989" s="2" t="str">
        <f>IF(ISNUMBER(SEARCH("|",IMDB_Movies!$D2989)),LEFT(IMDB_Movies!$D2989,SEARCH("|",IMDB_Movies!$D2989)-1),IMDB_Movies!$D2989)</f>
        <v>Drama</v>
      </c>
      <c r="V2989" s="2"/>
      <c r="W2989" s="2"/>
    </row>
    <row r="2990" spans="1:23" ht="12.5" x14ac:dyDescent="0.25">
      <c r="A2990" s="2" t="s">
        <v>74</v>
      </c>
      <c r="B2990" s="2">
        <v>95</v>
      </c>
      <c r="C2990" s="2">
        <v>32391374</v>
      </c>
      <c r="D2990" s="2" t="s">
        <v>514</v>
      </c>
      <c r="E2990" s="2" t="s">
        <v>5065</v>
      </c>
      <c r="F2990" s="2" t="s">
        <v>14</v>
      </c>
      <c r="G2990" s="2" t="s">
        <v>15</v>
      </c>
      <c r="H2990" s="2">
        <v>7500000</v>
      </c>
      <c r="I2990" s="2">
        <v>7.7</v>
      </c>
      <c r="J2990" s="2">
        <f t="shared" si="22"/>
        <v>24891374</v>
      </c>
      <c r="K2990" s="2">
        <f t="shared" si="23"/>
        <v>-1.7123570607219196E-2</v>
      </c>
      <c r="L2990" s="2" t="str">
        <f>IF(ISNUMBER(SEARCH("|",IMDB_Movies!$D2990)),LEFT(IMDB_Movies!$D2990,SEARCH("|",IMDB_Movies!$D2990)-1),IMDB_Movies!$D2990)</f>
        <v>Comedy</v>
      </c>
      <c r="V2990" s="2"/>
      <c r="W2990" s="2"/>
    </row>
    <row r="2991" spans="1:23" ht="12.5" x14ac:dyDescent="0.25">
      <c r="A2991" s="2" t="s">
        <v>4524</v>
      </c>
      <c r="B2991" s="2">
        <v>121</v>
      </c>
      <c r="C2991" s="2">
        <v>40158000</v>
      </c>
      <c r="D2991" s="2" t="s">
        <v>2586</v>
      </c>
      <c r="E2991" s="2" t="s">
        <v>5066</v>
      </c>
      <c r="F2991" s="2" t="s">
        <v>14</v>
      </c>
      <c r="G2991" s="2" t="s">
        <v>73</v>
      </c>
      <c r="H2991" s="2">
        <v>7000000</v>
      </c>
      <c r="I2991" s="2">
        <v>7.6</v>
      </c>
      <c r="J2991" s="2">
        <f t="shared" si="22"/>
        <v>33158000</v>
      </c>
      <c r="K2991" s="2">
        <f t="shared" si="23"/>
        <v>-1.7104968425225416E-2</v>
      </c>
      <c r="L2991" s="2" t="str">
        <f>IF(ISNUMBER(SEARCH("|",IMDB_Movies!$D2991)),LEFT(IMDB_Movies!$D2991,SEARCH("|",IMDB_Movies!$D2991)-1),IMDB_Movies!$D2991)</f>
        <v>Drama</v>
      </c>
      <c r="V2991" s="2"/>
      <c r="W2991" s="2"/>
    </row>
    <row r="2992" spans="1:23" ht="12.5" x14ac:dyDescent="0.25">
      <c r="A2992" s="2" t="s">
        <v>549</v>
      </c>
      <c r="B2992" s="2">
        <v>110</v>
      </c>
      <c r="C2992" s="2">
        <v>113709992</v>
      </c>
      <c r="D2992" s="2" t="s">
        <v>891</v>
      </c>
      <c r="E2992" s="2" t="s">
        <v>5067</v>
      </c>
      <c r="F2992" s="2" t="s">
        <v>14</v>
      </c>
      <c r="G2992" s="2" t="s">
        <v>15</v>
      </c>
      <c r="H2992" s="2">
        <v>7000000</v>
      </c>
      <c r="I2992" s="2">
        <v>6.1</v>
      </c>
      <c r="J2992" s="2">
        <f t="shared" si="22"/>
        <v>106709992</v>
      </c>
      <c r="K2992" s="2">
        <f t="shared" si="23"/>
        <v>-1.707826293767456E-2</v>
      </c>
      <c r="L2992" s="2" t="str">
        <f>IF(ISNUMBER(SEARCH("|",IMDB_Movies!$D2992)),LEFT(IMDB_Movies!$D2992,SEARCH("|",IMDB_Movies!$D2992)-1),IMDB_Movies!$D2992)</f>
        <v>Comedy</v>
      </c>
      <c r="V2992" s="2"/>
      <c r="W2992" s="2"/>
    </row>
    <row r="2993" spans="1:23" ht="12.5" x14ac:dyDescent="0.25">
      <c r="A2993" s="2" t="s">
        <v>325</v>
      </c>
      <c r="B2993" s="2">
        <v>96</v>
      </c>
      <c r="C2993" s="2">
        <v>32131483</v>
      </c>
      <c r="D2993" s="2" t="s">
        <v>1050</v>
      </c>
      <c r="E2993" s="2" t="s">
        <v>5068</v>
      </c>
      <c r="F2993" s="2" t="s">
        <v>14</v>
      </c>
      <c r="G2993" s="2" t="s">
        <v>15</v>
      </c>
      <c r="H2993" s="2">
        <v>11000000</v>
      </c>
      <c r="I2993" s="2">
        <v>4.9000000000000004</v>
      </c>
      <c r="J2993" s="2">
        <f t="shared" si="22"/>
        <v>21131483</v>
      </c>
      <c r="K2993" s="2">
        <f t="shared" si="23"/>
        <v>-1.7107564978250184E-2</v>
      </c>
      <c r="L2993" s="2" t="str">
        <f>IF(ISNUMBER(SEARCH("|",IMDB_Movies!$D2993)),LEFT(IMDB_Movies!$D2993,SEARCH("|",IMDB_Movies!$D2993)-1),IMDB_Movies!$D2993)</f>
        <v>Horror</v>
      </c>
      <c r="V2993" s="2"/>
      <c r="W2993" s="2"/>
    </row>
    <row r="2994" spans="1:23" ht="12.5" x14ac:dyDescent="0.25">
      <c r="A2994" s="2" t="s">
        <v>5061</v>
      </c>
      <c r="B2994" s="2">
        <v>121</v>
      </c>
      <c r="C2994" s="2">
        <v>35400000</v>
      </c>
      <c r="D2994" s="2" t="s">
        <v>20</v>
      </c>
      <c r="E2994" s="2" t="s">
        <v>5069</v>
      </c>
      <c r="F2994" s="2" t="s">
        <v>14</v>
      </c>
      <c r="G2994" s="2" t="s">
        <v>22</v>
      </c>
      <c r="H2994" s="2">
        <v>7000000</v>
      </c>
      <c r="I2994" s="2">
        <v>6.8</v>
      </c>
      <c r="J2994" s="2">
        <f t="shared" si="22"/>
        <v>28400000</v>
      </c>
      <c r="K2994" s="2">
        <f t="shared" si="23"/>
        <v>-1.7111497004786334E-2</v>
      </c>
      <c r="L2994" s="2" t="str">
        <f>IF(ISNUMBER(SEARCH("|",IMDB_Movies!$D2994)),LEFT(IMDB_Movies!$D2994,SEARCH("|",IMDB_Movies!$D2994)-1),IMDB_Movies!$D2994)</f>
        <v>Action</v>
      </c>
      <c r="V2994" s="2"/>
      <c r="W2994" s="2"/>
    </row>
    <row r="2995" spans="1:23" ht="12.5" x14ac:dyDescent="0.25">
      <c r="A2995" s="2" t="s">
        <v>1393</v>
      </c>
      <c r="B2995" s="2">
        <v>95</v>
      </c>
      <c r="C2995" s="2">
        <v>34099640</v>
      </c>
      <c r="D2995" s="2" t="s">
        <v>2630</v>
      </c>
      <c r="E2995" s="2" t="s">
        <v>5070</v>
      </c>
      <c r="F2995" s="2" t="s">
        <v>14</v>
      </c>
      <c r="G2995" s="2" t="s">
        <v>15</v>
      </c>
      <c r="H2995" s="2">
        <v>5000000</v>
      </c>
      <c r="I2995" s="2">
        <v>7</v>
      </c>
      <c r="J2995" s="2">
        <f t="shared" si="22"/>
        <v>29099640</v>
      </c>
      <c r="K2995" s="2">
        <f t="shared" si="23"/>
        <v>-1.7087124126294921E-2</v>
      </c>
      <c r="L2995" s="2" t="str">
        <f>IF(ISNUMBER(SEARCH("|",IMDB_Movies!$D2995)),LEFT(IMDB_Movies!$D2995,SEARCH("|",IMDB_Movies!$D2995)-1),IMDB_Movies!$D2995)</f>
        <v>Drama</v>
      </c>
      <c r="V2995" s="2"/>
      <c r="W2995" s="2"/>
    </row>
    <row r="2996" spans="1:23" ht="12.5" x14ac:dyDescent="0.25">
      <c r="A2996" s="2" t="s">
        <v>4698</v>
      </c>
      <c r="B2996" s="2">
        <v>112</v>
      </c>
      <c r="C2996" s="2">
        <v>37295394</v>
      </c>
      <c r="D2996" s="2" t="s">
        <v>891</v>
      </c>
      <c r="E2996" s="2" t="s">
        <v>5071</v>
      </c>
      <c r="F2996" s="2" t="s">
        <v>14</v>
      </c>
      <c r="G2996" s="2" t="s">
        <v>15</v>
      </c>
      <c r="H2996" s="2">
        <v>6600000</v>
      </c>
      <c r="I2996" s="2">
        <v>5.7</v>
      </c>
      <c r="J2996" s="2">
        <f t="shared" si="22"/>
        <v>30695394</v>
      </c>
      <c r="K2996" s="2">
        <f t="shared" si="23"/>
        <v>-1.7049223097939943E-2</v>
      </c>
      <c r="L2996" s="2" t="str">
        <f>IF(ISNUMBER(SEARCH("|",IMDB_Movies!$D2996)),LEFT(IMDB_Movies!$D2996,SEARCH("|",IMDB_Movies!$D2996)-1),IMDB_Movies!$D2996)</f>
        <v>Comedy</v>
      </c>
      <c r="V2996" s="2"/>
      <c r="W2996" s="2"/>
    </row>
    <row r="2997" spans="1:23" ht="12.5" x14ac:dyDescent="0.25">
      <c r="A2997" s="2" t="s">
        <v>1177</v>
      </c>
      <c r="B2997" s="2">
        <v>93</v>
      </c>
      <c r="C2997" s="2">
        <v>31501218</v>
      </c>
      <c r="D2997" s="2" t="s">
        <v>2000</v>
      </c>
      <c r="E2997" s="2" t="s">
        <v>5072</v>
      </c>
      <c r="F2997" s="2" t="s">
        <v>14</v>
      </c>
      <c r="G2997" s="2" t="s">
        <v>15</v>
      </c>
      <c r="H2997" s="2">
        <v>7500000</v>
      </c>
      <c r="I2997" s="2">
        <v>7.5</v>
      </c>
      <c r="J2997" s="2">
        <f t="shared" si="22"/>
        <v>24001218</v>
      </c>
      <c r="K2997" s="2">
        <f t="shared" si="23"/>
        <v>-1.7020203088893845E-2</v>
      </c>
      <c r="L2997" s="2" t="str">
        <f>IF(ISNUMBER(SEARCH("|",IMDB_Movies!$D2997)),LEFT(IMDB_Movies!$D2997,SEARCH("|",IMDB_Movies!$D2997)-1),IMDB_Movies!$D2997)</f>
        <v>Biography</v>
      </c>
      <c r="V2997" s="2"/>
      <c r="W2997" s="2"/>
    </row>
    <row r="2998" spans="1:23" ht="12.5" x14ac:dyDescent="0.25">
      <c r="A2998" s="2" t="s">
        <v>1738</v>
      </c>
      <c r="B2998" s="2">
        <v>110</v>
      </c>
      <c r="C2998" s="2">
        <v>28747570</v>
      </c>
      <c r="D2998" s="2" t="s">
        <v>614</v>
      </c>
      <c r="E2998" s="2" t="s">
        <v>5073</v>
      </c>
      <c r="F2998" s="2" t="s">
        <v>14</v>
      </c>
      <c r="G2998" s="2" t="s">
        <v>104</v>
      </c>
      <c r="H2998" s="2">
        <v>7000000</v>
      </c>
      <c r="I2998" s="2">
        <v>7.4</v>
      </c>
      <c r="J2998" s="2">
        <f t="shared" si="22"/>
        <v>21747570</v>
      </c>
      <c r="K2998" s="2">
        <f t="shared" si="23"/>
        <v>-1.7001520453114649E-2</v>
      </c>
      <c r="L2998" s="2" t="str">
        <f>IF(ISNUMBER(SEARCH("|",IMDB_Movies!$D2998)),LEFT(IMDB_Movies!$D2998,SEARCH("|",IMDB_Movies!$D2998)-1),IMDB_Movies!$D2998)</f>
        <v>Biography</v>
      </c>
      <c r="V2998" s="2"/>
      <c r="W2998" s="2"/>
    </row>
    <row r="2999" spans="1:23" ht="12.5" x14ac:dyDescent="0.25">
      <c r="A2999" s="2" t="s">
        <v>1666</v>
      </c>
      <c r="B2999" s="2">
        <v>104</v>
      </c>
      <c r="C2999" s="2">
        <v>25625110</v>
      </c>
      <c r="D2999" s="2" t="s">
        <v>125</v>
      </c>
      <c r="E2999" s="2" t="s">
        <v>5074</v>
      </c>
      <c r="F2999" s="2" t="s">
        <v>14</v>
      </c>
      <c r="G2999" s="2" t="s">
        <v>15</v>
      </c>
      <c r="H2999" s="2">
        <v>7000000</v>
      </c>
      <c r="I2999" s="2">
        <v>7.2</v>
      </c>
      <c r="J2999" s="2">
        <f t="shared" si="22"/>
        <v>18625110</v>
      </c>
      <c r="K2999" s="2">
        <f t="shared" si="23"/>
        <v>-1.6981902758509373E-2</v>
      </c>
      <c r="L2999" s="2" t="str">
        <f>IF(ISNUMBER(SEARCH("|",IMDB_Movies!$D2999)),LEFT(IMDB_Movies!$D2999,SEARCH("|",IMDB_Movies!$D2999)-1),IMDB_Movies!$D2999)</f>
        <v>Action</v>
      </c>
      <c r="V2999" s="2"/>
      <c r="W2999" s="2"/>
    </row>
    <row r="3000" spans="1:23" ht="12.5" x14ac:dyDescent="0.25">
      <c r="A3000" s="2" t="s">
        <v>5075</v>
      </c>
      <c r="B3000" s="2">
        <v>119</v>
      </c>
      <c r="C3000" s="2">
        <v>25000000</v>
      </c>
      <c r="D3000" s="2" t="s">
        <v>28</v>
      </c>
      <c r="E3000" s="2" t="s">
        <v>5076</v>
      </c>
      <c r="F3000" s="2" t="s">
        <v>14</v>
      </c>
      <c r="G3000" s="2" t="s">
        <v>15</v>
      </c>
      <c r="H3000" s="2">
        <v>9000000</v>
      </c>
      <c r="I3000" s="2">
        <v>6.8</v>
      </c>
      <c r="J3000" s="2">
        <f t="shared" si="22"/>
        <v>16000000</v>
      </c>
      <c r="K3000" s="2">
        <f t="shared" si="23"/>
        <v>-1.6965153371516377E-2</v>
      </c>
      <c r="L3000" s="2" t="str">
        <f>IF(ISNUMBER(SEARCH("|",IMDB_Movies!$D3000)),LEFT(IMDB_Movies!$D3000,SEARCH("|",IMDB_Movies!$D3000)-1),IMDB_Movies!$D3000)</f>
        <v>Action</v>
      </c>
      <c r="V3000" s="2"/>
      <c r="W3000" s="2"/>
    </row>
    <row r="3001" spans="1:23" ht="12.5" x14ac:dyDescent="0.25">
      <c r="A3001" s="2" t="s">
        <v>5061</v>
      </c>
      <c r="B3001" s="2">
        <v>125</v>
      </c>
      <c r="C3001" s="2">
        <v>21000000</v>
      </c>
      <c r="D3001" s="2" t="s">
        <v>20</v>
      </c>
      <c r="E3001" s="2" t="s">
        <v>5077</v>
      </c>
      <c r="F3001" s="2" t="s">
        <v>14</v>
      </c>
      <c r="G3001" s="2" t="s">
        <v>22</v>
      </c>
      <c r="H3001" s="2">
        <v>13000000</v>
      </c>
      <c r="I3001" s="2">
        <v>6.8</v>
      </c>
      <c r="J3001" s="2">
        <f t="shared" si="22"/>
        <v>8000000</v>
      </c>
      <c r="K3001" s="2">
        <f t="shared" si="23"/>
        <v>-1.6957482785981429E-2</v>
      </c>
      <c r="L3001" s="2" t="str">
        <f>IF(ISNUMBER(SEARCH("|",IMDB_Movies!$D3001)),LEFT(IMDB_Movies!$D3001,SEARCH("|",IMDB_Movies!$D3001)-1),IMDB_Movies!$D3001)</f>
        <v>Action</v>
      </c>
      <c r="V3001" s="2"/>
      <c r="W3001" s="2"/>
    </row>
    <row r="3002" spans="1:23" ht="12.5" x14ac:dyDescent="0.25">
      <c r="A3002" s="2" t="s">
        <v>3229</v>
      </c>
      <c r="B3002" s="2">
        <v>96</v>
      </c>
      <c r="C3002" s="2">
        <v>20257000</v>
      </c>
      <c r="D3002" s="2" t="s">
        <v>150</v>
      </c>
      <c r="E3002" s="2" t="s">
        <v>5078</v>
      </c>
      <c r="F3002" s="2" t="s">
        <v>14</v>
      </c>
      <c r="G3002" s="2" t="s">
        <v>15</v>
      </c>
      <c r="H3002" s="2">
        <v>7000000</v>
      </c>
      <c r="I3002" s="2">
        <v>5.2</v>
      </c>
      <c r="J3002" s="2">
        <f t="shared" si="22"/>
        <v>13257000</v>
      </c>
      <c r="K3002" s="2">
        <f t="shared" si="23"/>
        <v>-1.6963345405978113E-2</v>
      </c>
      <c r="L3002" s="2" t="str">
        <f>IF(ISNUMBER(SEARCH("|",IMDB_Movies!$D3002)),LEFT(IMDB_Movies!$D3002,SEARCH("|",IMDB_Movies!$D3002)-1),IMDB_Movies!$D3002)</f>
        <v>Action</v>
      </c>
      <c r="V3002" s="2"/>
      <c r="W3002" s="2"/>
    </row>
    <row r="3003" spans="1:23" ht="12.5" x14ac:dyDescent="0.25">
      <c r="A3003" s="2" t="s">
        <v>2602</v>
      </c>
      <c r="B3003" s="2">
        <v>100</v>
      </c>
      <c r="C3003" s="2">
        <v>26005908</v>
      </c>
      <c r="D3003" s="2" t="s">
        <v>2835</v>
      </c>
      <c r="E3003" s="2" t="s">
        <v>5079</v>
      </c>
      <c r="F3003" s="2" t="s">
        <v>14</v>
      </c>
      <c r="G3003" s="2" t="s">
        <v>22</v>
      </c>
      <c r="H3003" s="2">
        <v>3500000</v>
      </c>
      <c r="I3003" s="2">
        <v>7.2</v>
      </c>
      <c r="J3003" s="2">
        <f t="shared" si="22"/>
        <v>22505908</v>
      </c>
      <c r="K3003" s="2">
        <f t="shared" si="23"/>
        <v>-1.6952332434105408E-2</v>
      </c>
      <c r="L3003" s="2" t="str">
        <f>IF(ISNUMBER(SEARCH("|",IMDB_Movies!$D3003)),LEFT(IMDB_Movies!$D3003,SEARCH("|",IMDB_Movies!$D3003)-1),IMDB_Movies!$D3003)</f>
        <v>Adventure</v>
      </c>
      <c r="V3003" s="2"/>
      <c r="W3003" s="2"/>
    </row>
    <row r="3004" spans="1:23" ht="12.5" x14ac:dyDescent="0.25">
      <c r="A3004" s="2" t="s">
        <v>5080</v>
      </c>
      <c r="B3004" s="2">
        <v>89</v>
      </c>
      <c r="C3004" s="2">
        <v>15818967</v>
      </c>
      <c r="D3004" s="2" t="s">
        <v>2116</v>
      </c>
      <c r="E3004" s="2" t="s">
        <v>5081</v>
      </c>
      <c r="F3004" s="2" t="s">
        <v>14</v>
      </c>
      <c r="G3004" s="2" t="s">
        <v>15</v>
      </c>
      <c r="H3004" s="2">
        <v>7000000</v>
      </c>
      <c r="I3004" s="2">
        <v>4</v>
      </c>
      <c r="J3004" s="2">
        <f t="shared" si="22"/>
        <v>8818967</v>
      </c>
      <c r="K3004" s="2">
        <f t="shared" si="23"/>
        <v>-1.6919019961234304E-2</v>
      </c>
      <c r="L3004" s="2" t="str">
        <f>IF(ISNUMBER(SEARCH("|",IMDB_Movies!$D3004)),LEFT(IMDB_Movies!$D3004,SEARCH("|",IMDB_Movies!$D3004)-1),IMDB_Movies!$D3004)</f>
        <v>Horror</v>
      </c>
      <c r="V3004" s="2"/>
      <c r="W3004" s="2"/>
    </row>
    <row r="3005" spans="1:23" ht="12.5" x14ac:dyDescent="0.25">
      <c r="A3005" s="2" t="s">
        <v>1430</v>
      </c>
      <c r="B3005" s="2">
        <v>92</v>
      </c>
      <c r="C3005" s="2">
        <v>14891000</v>
      </c>
      <c r="D3005" s="2" t="s">
        <v>709</v>
      </c>
      <c r="E3005" s="2" t="s">
        <v>5082</v>
      </c>
      <c r="F3005" s="2" t="s">
        <v>14</v>
      </c>
      <c r="G3005" s="2" t="s">
        <v>15</v>
      </c>
      <c r="H3005" s="2">
        <v>7000000</v>
      </c>
      <c r="I3005" s="2">
        <v>6.8</v>
      </c>
      <c r="J3005" s="2">
        <f t="shared" si="22"/>
        <v>7891000</v>
      </c>
      <c r="K3005" s="2">
        <f t="shared" si="23"/>
        <v>-1.6913505385420899E-2</v>
      </c>
      <c r="L3005" s="2" t="str">
        <f>IF(ISNUMBER(SEARCH("|",IMDB_Movies!$D3005)),LEFT(IMDB_Movies!$D3005,SEARCH("|",IMDB_Movies!$D3005)-1),IMDB_Movies!$D3005)</f>
        <v>Comedy</v>
      </c>
      <c r="V3005" s="2"/>
      <c r="W3005" s="2"/>
    </row>
    <row r="3006" spans="1:23" ht="12.5" x14ac:dyDescent="0.25">
      <c r="A3006" s="2" t="s">
        <v>4074</v>
      </c>
      <c r="B3006" s="2">
        <v>109</v>
      </c>
      <c r="C3006" s="2">
        <v>16901126</v>
      </c>
      <c r="D3006" s="2" t="s">
        <v>5083</v>
      </c>
      <c r="E3006" s="2" t="s">
        <v>5084</v>
      </c>
      <c r="F3006" s="2" t="s">
        <v>14</v>
      </c>
      <c r="G3006" s="2" t="s">
        <v>15</v>
      </c>
      <c r="H3006" s="2">
        <v>7000000</v>
      </c>
      <c r="I3006" s="2">
        <v>6.9</v>
      </c>
      <c r="J3006" s="2">
        <f t="shared" si="22"/>
        <v>9901126</v>
      </c>
      <c r="K3006" s="2">
        <f t="shared" si="23"/>
        <v>-1.6909230371732198E-2</v>
      </c>
      <c r="L3006" s="2" t="str">
        <f>IF(ISNUMBER(SEARCH("|",IMDB_Movies!$D3006)),LEFT(IMDB_Movies!$D3006,SEARCH("|",IMDB_Movies!$D3006)-1),IMDB_Movies!$D3006)</f>
        <v>Crime</v>
      </c>
      <c r="V3006" s="2"/>
      <c r="W3006" s="2"/>
    </row>
    <row r="3007" spans="1:23" ht="12.5" x14ac:dyDescent="0.25">
      <c r="A3007" s="2" t="s">
        <v>4266</v>
      </c>
      <c r="B3007" s="2">
        <v>103</v>
      </c>
      <c r="C3007" s="2">
        <v>17474107</v>
      </c>
      <c r="D3007" s="2" t="s">
        <v>3003</v>
      </c>
      <c r="E3007" s="2" t="s">
        <v>5085</v>
      </c>
      <c r="F3007" s="2" t="s">
        <v>14</v>
      </c>
      <c r="G3007" s="2" t="s">
        <v>15</v>
      </c>
      <c r="H3007" s="2">
        <v>7000000</v>
      </c>
      <c r="I3007" s="2">
        <v>7.3</v>
      </c>
      <c r="J3007" s="2">
        <f t="shared" si="22"/>
        <v>10474107</v>
      </c>
      <c r="K3007" s="2">
        <f t="shared" si="23"/>
        <v>-1.6902261892389043E-2</v>
      </c>
      <c r="L3007" s="2" t="str">
        <f>IF(ISNUMBER(SEARCH("|",IMDB_Movies!$D3007)),LEFT(IMDB_Movies!$D3007,SEARCH("|",IMDB_Movies!$D3007)-1),IMDB_Movies!$D3007)</f>
        <v>Comedy</v>
      </c>
      <c r="V3007" s="2"/>
      <c r="W3007" s="2"/>
    </row>
    <row r="3008" spans="1:23" ht="12.5" x14ac:dyDescent="0.25">
      <c r="A3008" s="2" t="s">
        <v>2485</v>
      </c>
      <c r="B3008" s="2">
        <v>95</v>
      </c>
      <c r="C3008" s="2">
        <v>14003141</v>
      </c>
      <c r="D3008" s="2" t="s">
        <v>763</v>
      </c>
      <c r="E3008" s="2" t="s">
        <v>5086</v>
      </c>
      <c r="F3008" s="2" t="s">
        <v>14</v>
      </c>
      <c r="G3008" s="2" t="s">
        <v>15</v>
      </c>
      <c r="H3008" s="2">
        <v>7000000</v>
      </c>
      <c r="I3008" s="2">
        <v>6.1</v>
      </c>
      <c r="J3008" s="2">
        <f t="shared" si="22"/>
        <v>7003141</v>
      </c>
      <c r="K3008" s="2">
        <f t="shared" si="23"/>
        <v>-1.6894534856680198E-2</v>
      </c>
      <c r="L3008" s="2" t="str">
        <f>IF(ISNUMBER(SEARCH("|",IMDB_Movies!$D3008)),LEFT(IMDB_Movies!$D3008,SEARCH("|",IMDB_Movies!$D3008)-1),IMDB_Movies!$D3008)</f>
        <v>Crime</v>
      </c>
      <c r="V3008" s="2"/>
      <c r="W3008" s="2"/>
    </row>
    <row r="3009" spans="1:23" ht="12.5" x14ac:dyDescent="0.25">
      <c r="A3009" s="2" t="s">
        <v>4074</v>
      </c>
      <c r="B3009" s="2">
        <v>105</v>
      </c>
      <c r="C3009" s="2">
        <v>12583510</v>
      </c>
      <c r="D3009" s="2" t="s">
        <v>2148</v>
      </c>
      <c r="E3009" s="2" t="s">
        <v>5087</v>
      </c>
      <c r="F3009" s="2" t="s">
        <v>14</v>
      </c>
      <c r="G3009" s="2" t="s">
        <v>15</v>
      </c>
      <c r="H3009" s="2">
        <v>7000000</v>
      </c>
      <c r="I3009" s="2">
        <v>6</v>
      </c>
      <c r="J3009" s="2">
        <f t="shared" si="22"/>
        <v>5583510</v>
      </c>
      <c r="K3009" s="2">
        <f t="shared" si="23"/>
        <v>-1.6891450209043639E-2</v>
      </c>
      <c r="L3009" s="2" t="str">
        <f>IF(ISNUMBER(SEARCH("|",IMDB_Movies!$D3009)),LEFT(IMDB_Movies!$D3009,SEARCH("|",IMDB_Movies!$D3009)-1),IMDB_Movies!$D3009)</f>
        <v>Horror</v>
      </c>
      <c r="V3009" s="2"/>
      <c r="W3009" s="2"/>
    </row>
    <row r="3010" spans="1:23" ht="12.5" x14ac:dyDescent="0.25">
      <c r="A3010" s="2" t="s">
        <v>2371</v>
      </c>
      <c r="B3010" s="2">
        <v>106</v>
      </c>
      <c r="C3010" s="2">
        <v>9190525</v>
      </c>
      <c r="D3010" s="2" t="s">
        <v>891</v>
      </c>
      <c r="E3010" s="2" t="s">
        <v>5088</v>
      </c>
      <c r="F3010" s="2" t="s">
        <v>14</v>
      </c>
      <c r="G3010" s="2" t="s">
        <v>15</v>
      </c>
      <c r="H3010" s="2">
        <v>7000000</v>
      </c>
      <c r="I3010" s="2">
        <v>7</v>
      </c>
      <c r="J3010" s="2">
        <f t="shared" si="22"/>
        <v>2190525</v>
      </c>
      <c r="K3010" s="2">
        <f t="shared" si="23"/>
        <v>-1.6890385885069466E-2</v>
      </c>
      <c r="L3010" s="2" t="str">
        <f>IF(ISNUMBER(SEARCH("|",IMDB_Movies!$D3010)),LEFT(IMDB_Movies!$D3010,SEARCH("|",IMDB_Movies!$D3010)-1),IMDB_Movies!$D3010)</f>
        <v>Comedy</v>
      </c>
      <c r="V3010" s="2"/>
      <c r="W3010" s="2"/>
    </row>
    <row r="3011" spans="1:23" ht="12.5" x14ac:dyDescent="0.25">
      <c r="A3011" s="2" t="s">
        <v>5089</v>
      </c>
      <c r="B3011" s="2">
        <v>100</v>
      </c>
      <c r="C3011" s="2">
        <v>9176553</v>
      </c>
      <c r="D3011" s="2" t="s">
        <v>2665</v>
      </c>
      <c r="E3011" s="2" t="s">
        <v>5090</v>
      </c>
      <c r="F3011" s="2" t="s">
        <v>14</v>
      </c>
      <c r="G3011" s="2" t="s">
        <v>15</v>
      </c>
      <c r="H3011" s="2">
        <v>7500000</v>
      </c>
      <c r="I3011" s="2">
        <v>7.1</v>
      </c>
      <c r="J3011" s="2">
        <f t="shared" si="22"/>
        <v>1676553</v>
      </c>
      <c r="K3011" s="2">
        <f t="shared" si="23"/>
        <v>-1.6894452040323443E-2</v>
      </c>
      <c r="L3011" s="2" t="str">
        <f>IF(ISNUMBER(SEARCH("|",IMDB_Movies!$D3011)),LEFT(IMDB_Movies!$D3011,SEARCH("|",IMDB_Movies!$D3011)-1),IMDB_Movies!$D3011)</f>
        <v>Drama</v>
      </c>
      <c r="V3011" s="2"/>
      <c r="W3011" s="2"/>
    </row>
    <row r="3012" spans="1:23" ht="12.5" x14ac:dyDescent="0.25">
      <c r="A3012" s="2" t="s">
        <v>2356</v>
      </c>
      <c r="B3012" s="2">
        <v>103</v>
      </c>
      <c r="C3012" s="2">
        <v>9094451</v>
      </c>
      <c r="D3012" s="2" t="s">
        <v>2930</v>
      </c>
      <c r="E3012" s="2" t="s">
        <v>5091</v>
      </c>
      <c r="F3012" s="2" t="s">
        <v>14</v>
      </c>
      <c r="G3012" s="2" t="s">
        <v>15</v>
      </c>
      <c r="H3012" s="2">
        <v>7000000</v>
      </c>
      <c r="I3012" s="2">
        <v>6.2</v>
      </c>
      <c r="J3012" s="2">
        <f t="shared" si="22"/>
        <v>2094451</v>
      </c>
      <c r="K3012" s="2">
        <f t="shared" si="23"/>
        <v>-1.6898112959790185E-2</v>
      </c>
      <c r="L3012" s="2" t="str">
        <f>IF(ISNUMBER(SEARCH("|",IMDB_Movies!$D3012)),LEFT(IMDB_Movies!$D3012,SEARCH("|",IMDB_Movies!$D3012)-1),IMDB_Movies!$D3012)</f>
        <v>Action</v>
      </c>
      <c r="V3012" s="2"/>
      <c r="W3012" s="2"/>
    </row>
    <row r="3013" spans="1:23" ht="12.5" x14ac:dyDescent="0.25">
      <c r="A3013" s="2" t="s">
        <v>4096</v>
      </c>
      <c r="B3013" s="2">
        <v>116</v>
      </c>
      <c r="C3013" s="2">
        <v>14612840</v>
      </c>
      <c r="D3013" s="2" t="s">
        <v>2082</v>
      </c>
      <c r="E3013" s="2" t="s">
        <v>5092</v>
      </c>
      <c r="F3013" s="2" t="s">
        <v>14</v>
      </c>
      <c r="G3013" s="2" t="s">
        <v>15</v>
      </c>
      <c r="H3013" s="2">
        <v>7000000</v>
      </c>
      <c r="I3013" s="2">
        <v>6.9</v>
      </c>
      <c r="J3013" s="2">
        <f t="shared" si="22"/>
        <v>7612840</v>
      </c>
      <c r="K3013" s="2">
        <f t="shared" si="23"/>
        <v>-1.6902351164670829E-2</v>
      </c>
      <c r="L3013" s="2" t="str">
        <f>IF(ISNUMBER(SEARCH("|",IMDB_Movies!$D3013)),LEFT(IMDB_Movies!$D3013,SEARCH("|",IMDB_Movies!$D3013)-1),IMDB_Movies!$D3013)</f>
        <v>Drama</v>
      </c>
      <c r="V3013" s="2"/>
      <c r="W3013" s="2"/>
    </row>
    <row r="3014" spans="1:23" ht="12.5" x14ac:dyDescent="0.25">
      <c r="A3014" s="2" t="s">
        <v>5093</v>
      </c>
      <c r="B3014" s="2">
        <v>99</v>
      </c>
      <c r="C3014" s="2">
        <v>9166863</v>
      </c>
      <c r="D3014" s="2" t="s">
        <v>85</v>
      </c>
      <c r="E3014" s="2" t="s">
        <v>5094</v>
      </c>
      <c r="F3014" s="2" t="s">
        <v>14</v>
      </c>
      <c r="G3014" s="2" t="s">
        <v>15</v>
      </c>
      <c r="H3014" s="2">
        <v>7000000</v>
      </c>
      <c r="I3014" s="2">
        <v>7.6</v>
      </c>
      <c r="J3014" s="2">
        <f t="shared" si="22"/>
        <v>2166863</v>
      </c>
      <c r="K3014" s="2">
        <f t="shared" si="23"/>
        <v>-1.6898401379353362E-2</v>
      </c>
      <c r="L3014" s="2" t="str">
        <f>IF(ISNUMBER(SEARCH("|",IMDB_Movies!$D3014)),LEFT(IMDB_Movies!$D3014,SEARCH("|",IMDB_Movies!$D3014)-1),IMDB_Movies!$D3014)</f>
        <v>Drama</v>
      </c>
      <c r="V3014" s="2"/>
      <c r="W3014" s="2"/>
    </row>
    <row r="3015" spans="1:23" ht="12.5" x14ac:dyDescent="0.25">
      <c r="A3015" s="2" t="s">
        <v>191</v>
      </c>
      <c r="B3015" s="2">
        <v>164</v>
      </c>
      <c r="C3015" s="2">
        <v>8373585</v>
      </c>
      <c r="D3015" s="2" t="s">
        <v>1180</v>
      </c>
      <c r="E3015" s="2" t="s">
        <v>5095</v>
      </c>
      <c r="F3015" s="2" t="s">
        <v>14</v>
      </c>
      <c r="G3015" s="2" t="s">
        <v>15</v>
      </c>
      <c r="H3015" s="2">
        <v>7000000</v>
      </c>
      <c r="I3015" s="2">
        <v>7.6</v>
      </c>
      <c r="J3015" s="2">
        <f t="shared" si="22"/>
        <v>1373585</v>
      </c>
      <c r="K3015" s="2">
        <f t="shared" si="23"/>
        <v>-1.6902535858551868E-2</v>
      </c>
      <c r="L3015" s="2" t="str">
        <f>IF(ISNUMBER(SEARCH("|",IMDB_Movies!$D3015)),LEFT(IMDB_Movies!$D3015,SEARCH("|",IMDB_Movies!$D3015)-1),IMDB_Movies!$D3015)</f>
        <v>Drama</v>
      </c>
      <c r="V3015" s="2"/>
      <c r="W3015" s="2"/>
    </row>
    <row r="3016" spans="1:23" ht="12.5" x14ac:dyDescent="0.25">
      <c r="A3016" s="2" t="s">
        <v>5002</v>
      </c>
      <c r="B3016" s="2">
        <v>96</v>
      </c>
      <c r="C3016" s="2">
        <v>7292175</v>
      </c>
      <c r="D3016" s="2" t="s">
        <v>514</v>
      </c>
      <c r="E3016" s="2" t="s">
        <v>5096</v>
      </c>
      <c r="F3016" s="2" t="s">
        <v>14</v>
      </c>
      <c r="G3016" s="2" t="s">
        <v>15</v>
      </c>
      <c r="H3016" s="2">
        <v>7000000</v>
      </c>
      <c r="I3016" s="2">
        <v>6.4</v>
      </c>
      <c r="J3016" s="2">
        <f t="shared" si="22"/>
        <v>292175</v>
      </c>
      <c r="K3016" s="2">
        <f t="shared" si="23"/>
        <v>-1.6907946536945828E-2</v>
      </c>
      <c r="L3016" s="2" t="str">
        <f>IF(ISNUMBER(SEARCH("|",IMDB_Movies!$D3016)),LEFT(IMDB_Movies!$D3016,SEARCH("|",IMDB_Movies!$D3016)-1),IMDB_Movies!$D3016)</f>
        <v>Comedy</v>
      </c>
      <c r="V3016" s="2"/>
      <c r="W3016" s="2"/>
    </row>
    <row r="3017" spans="1:23" ht="12.5" x14ac:dyDescent="0.25">
      <c r="A3017" s="2" t="s">
        <v>5097</v>
      </c>
      <c r="B3017" s="2">
        <v>122</v>
      </c>
      <c r="C3017" s="2">
        <v>6601079</v>
      </c>
      <c r="D3017" s="2" t="s">
        <v>1199</v>
      </c>
      <c r="E3017" s="2" t="s">
        <v>5098</v>
      </c>
      <c r="F3017" s="2" t="s">
        <v>14</v>
      </c>
      <c r="G3017" s="2" t="s">
        <v>22</v>
      </c>
      <c r="H3017" s="2">
        <v>7000000</v>
      </c>
      <c r="I3017" s="2">
        <v>6.2</v>
      </c>
      <c r="J3017" s="2">
        <f t="shared" si="22"/>
        <v>-398921</v>
      </c>
      <c r="K3017" s="2">
        <f t="shared" si="23"/>
        <v>-1.6915133490349663E-2</v>
      </c>
      <c r="L3017" s="2" t="str">
        <f>IF(ISNUMBER(SEARCH("|",IMDB_Movies!$D3017)),LEFT(IMDB_Movies!$D3017,SEARCH("|",IMDB_Movies!$D3017)-1),IMDB_Movies!$D3017)</f>
        <v>Comedy</v>
      </c>
      <c r="V3017" s="2"/>
      <c r="W3017" s="2"/>
    </row>
    <row r="3018" spans="1:23" ht="12.5" x14ac:dyDescent="0.25">
      <c r="A3018" s="2" t="s">
        <v>439</v>
      </c>
      <c r="B3018" s="2">
        <v>94</v>
      </c>
      <c r="C3018" s="2">
        <v>6165429</v>
      </c>
      <c r="D3018" s="2" t="s">
        <v>5099</v>
      </c>
      <c r="E3018" s="2" t="s">
        <v>5100</v>
      </c>
      <c r="F3018" s="2" t="s">
        <v>795</v>
      </c>
      <c r="G3018" s="2" t="s">
        <v>135</v>
      </c>
      <c r="H3018" s="2">
        <v>6000000</v>
      </c>
      <c r="I3018" s="2">
        <v>7.5</v>
      </c>
      <c r="J3018" s="2">
        <f t="shared" si="22"/>
        <v>165429</v>
      </c>
      <c r="K3018" s="2">
        <f t="shared" si="23"/>
        <v>-1.6923488085370638E-2</v>
      </c>
      <c r="L3018" s="2" t="str">
        <f>IF(ISNUMBER(SEARCH("|",IMDB_Movies!$D3018)),LEFT(IMDB_Movies!$D3018,SEARCH("|",IMDB_Movies!$D3018)-1),IMDB_Movies!$D3018)</f>
        <v>Adventure</v>
      </c>
      <c r="V3018" s="2"/>
      <c r="W3018" s="2"/>
    </row>
    <row r="3019" spans="1:23" ht="12.5" x14ac:dyDescent="0.25">
      <c r="A3019" s="2" t="s">
        <v>3180</v>
      </c>
      <c r="B3019" s="2">
        <v>93</v>
      </c>
      <c r="C3019" s="2">
        <v>5694308</v>
      </c>
      <c r="D3019" s="2" t="s">
        <v>1350</v>
      </c>
      <c r="E3019" s="2" t="s">
        <v>5101</v>
      </c>
      <c r="F3019" s="2" t="s">
        <v>14</v>
      </c>
      <c r="G3019" s="2" t="s">
        <v>15</v>
      </c>
      <c r="H3019" s="2">
        <v>7000000</v>
      </c>
      <c r="I3019" s="2">
        <v>2</v>
      </c>
      <c r="J3019" s="2">
        <f t="shared" si="22"/>
        <v>-1305692</v>
      </c>
      <c r="K3019" s="2">
        <f t="shared" si="23"/>
        <v>-1.6934463306887988E-2</v>
      </c>
      <c r="L3019" s="2" t="str">
        <f>IF(ISNUMBER(SEARCH("|",IMDB_Movies!$D3019)),LEFT(IMDB_Movies!$D3019,SEARCH("|",IMDB_Movies!$D3019)-1),IMDB_Movies!$D3019)</f>
        <v>Comedy</v>
      </c>
      <c r="V3019" s="2"/>
      <c r="W3019" s="2"/>
    </row>
    <row r="3020" spans="1:23" ht="12.5" x14ac:dyDescent="0.25">
      <c r="A3020" s="2" t="s">
        <v>5102</v>
      </c>
      <c r="B3020" s="2">
        <v>96</v>
      </c>
      <c r="C3020" s="2">
        <v>5430822</v>
      </c>
      <c r="D3020" s="2" t="s">
        <v>5103</v>
      </c>
      <c r="E3020" s="2" t="s">
        <v>5104</v>
      </c>
      <c r="F3020" s="2" t="s">
        <v>14</v>
      </c>
      <c r="G3020" s="2" t="s">
        <v>22</v>
      </c>
      <c r="H3020" s="2">
        <v>7000000</v>
      </c>
      <c r="I3020" s="2">
        <v>6.2</v>
      </c>
      <c r="J3020" s="2">
        <f t="shared" si="22"/>
        <v>-1569178</v>
      </c>
      <c r="K3020" s="2">
        <f t="shared" si="23"/>
        <v>-1.6944402389056999E-2</v>
      </c>
      <c r="L3020" s="2" t="str">
        <f>IF(ISNUMBER(SEARCH("|",IMDB_Movies!$D3020)),LEFT(IMDB_Movies!$D3020,SEARCH("|",IMDB_Movies!$D3020)-1),IMDB_Movies!$D3020)</f>
        <v>Action</v>
      </c>
      <c r="V3020" s="2"/>
      <c r="W3020" s="2"/>
    </row>
    <row r="3021" spans="1:23" ht="12.5" x14ac:dyDescent="0.25">
      <c r="A3021" s="2" t="s">
        <v>5105</v>
      </c>
      <c r="B3021" s="2">
        <v>113</v>
      </c>
      <c r="C3021" s="2">
        <v>4720371</v>
      </c>
      <c r="D3021" s="2" t="s">
        <v>3570</v>
      </c>
      <c r="E3021" s="2" t="s">
        <v>5106</v>
      </c>
      <c r="F3021" s="2" t="s">
        <v>14</v>
      </c>
      <c r="G3021" s="2" t="s">
        <v>15</v>
      </c>
      <c r="H3021" s="2">
        <v>7000000</v>
      </c>
      <c r="I3021" s="2">
        <v>6.5</v>
      </c>
      <c r="J3021" s="2">
        <f t="shared" si="22"/>
        <v>-2279629</v>
      </c>
      <c r="K3021" s="2">
        <f t="shared" si="23"/>
        <v>-1.6954820647328783E-2</v>
      </c>
      <c r="L3021" s="2" t="str">
        <f>IF(ISNUMBER(SEARCH("|",IMDB_Movies!$D3021)),LEFT(IMDB_Movies!$D3021,SEARCH("|",IMDB_Movies!$D3021)-1),IMDB_Movies!$D3021)</f>
        <v>Adventure</v>
      </c>
      <c r="V3021" s="2"/>
      <c r="W3021" s="2"/>
    </row>
    <row r="3022" spans="1:23" ht="12.5" x14ac:dyDescent="0.25">
      <c r="A3022" s="2" t="s">
        <v>4867</v>
      </c>
      <c r="B3022" s="2">
        <v>192</v>
      </c>
      <c r="C3022" s="2">
        <v>2921738</v>
      </c>
      <c r="D3022" s="2" t="s">
        <v>993</v>
      </c>
      <c r="E3022" s="2" t="s">
        <v>5107</v>
      </c>
      <c r="F3022" s="2" t="s">
        <v>4629</v>
      </c>
      <c r="G3022" s="2" t="s">
        <v>2312</v>
      </c>
      <c r="H3022" s="2">
        <v>7000000</v>
      </c>
      <c r="I3022" s="2">
        <v>7.9</v>
      </c>
      <c r="J3022" s="2">
        <f t="shared" si="22"/>
        <v>-4078262</v>
      </c>
      <c r="K3022" s="2">
        <f t="shared" si="23"/>
        <v>-1.6966500651321582E-2</v>
      </c>
      <c r="L3022" s="2" t="str">
        <f>IF(ISNUMBER(SEARCH("|",IMDB_Movies!$D3022)),LEFT(IMDB_Movies!$D3022,SEARCH("|",IMDB_Movies!$D3022)-1),IMDB_Movies!$D3022)</f>
        <v>Drama</v>
      </c>
      <c r="V3022" s="2"/>
      <c r="W3022" s="2"/>
    </row>
    <row r="3023" spans="1:23" ht="12.5" x14ac:dyDescent="0.25">
      <c r="A3023" s="2" t="s">
        <v>689</v>
      </c>
      <c r="B3023" s="2">
        <v>99</v>
      </c>
      <c r="C3023" s="2">
        <v>2344847</v>
      </c>
      <c r="D3023" s="2" t="s">
        <v>1307</v>
      </c>
      <c r="E3023" s="2" t="s">
        <v>5108</v>
      </c>
      <c r="F3023" s="2" t="s">
        <v>14</v>
      </c>
      <c r="G3023" s="2" t="s">
        <v>15</v>
      </c>
      <c r="H3023" s="2">
        <v>7000000</v>
      </c>
      <c r="I3023" s="2">
        <v>6.8</v>
      </c>
      <c r="J3023" s="2">
        <f t="shared" si="22"/>
        <v>-4655153</v>
      </c>
      <c r="K3023" s="2">
        <f t="shared" si="23"/>
        <v>-1.6981417928703894E-2</v>
      </c>
      <c r="L3023" s="2" t="str">
        <f>IF(ISNUMBER(SEARCH("|",IMDB_Movies!$D3023)),LEFT(IMDB_Movies!$D3023,SEARCH("|",IMDB_Movies!$D3023)-1),IMDB_Movies!$D3023)</f>
        <v>Drama</v>
      </c>
      <c r="V3023" s="2"/>
      <c r="W3023" s="2"/>
    </row>
    <row r="3024" spans="1:23" ht="12.5" x14ac:dyDescent="0.25">
      <c r="A3024" s="2" t="s">
        <v>4773</v>
      </c>
      <c r="B3024" s="2">
        <v>91</v>
      </c>
      <c r="C3024" s="2">
        <v>7455447</v>
      </c>
      <c r="D3024" s="2" t="s">
        <v>514</v>
      </c>
      <c r="E3024" s="2" t="s">
        <v>5109</v>
      </c>
      <c r="F3024" s="2" t="s">
        <v>14</v>
      </c>
      <c r="G3024" s="2" t="s">
        <v>15</v>
      </c>
      <c r="H3024" s="2">
        <v>7000000</v>
      </c>
      <c r="I3024" s="2">
        <v>6.3</v>
      </c>
      <c r="J3024" s="2">
        <f t="shared" si="22"/>
        <v>455447</v>
      </c>
      <c r="K3024" s="2">
        <f t="shared" si="23"/>
        <v>-1.699743020119528E-2</v>
      </c>
      <c r="L3024" s="2" t="str">
        <f>IF(ISNUMBER(SEARCH("|",IMDB_Movies!$D3024)),LEFT(IMDB_Movies!$D3024,SEARCH("|",IMDB_Movies!$D3024)-1),IMDB_Movies!$D3024)</f>
        <v>Comedy</v>
      </c>
      <c r="V3024" s="2"/>
      <c r="W3024" s="2"/>
    </row>
    <row r="3025" spans="1:23" ht="12.5" x14ac:dyDescent="0.25">
      <c r="A3025" s="2" t="s">
        <v>5110</v>
      </c>
      <c r="B3025" s="2">
        <v>100</v>
      </c>
      <c r="C3025" s="2">
        <v>2148212</v>
      </c>
      <c r="D3025" s="2" t="s">
        <v>2383</v>
      </c>
      <c r="E3025" s="2" t="s">
        <v>5111</v>
      </c>
      <c r="F3025" s="2" t="s">
        <v>14</v>
      </c>
      <c r="G3025" s="2" t="s">
        <v>15</v>
      </c>
      <c r="H3025" s="2">
        <v>7000000</v>
      </c>
      <c r="I3025" s="2">
        <v>6.3</v>
      </c>
      <c r="J3025" s="2">
        <f t="shared" si="22"/>
        <v>-4851788</v>
      </c>
      <c r="K3025" s="2">
        <f t="shared" si="23"/>
        <v>-1.7004541146910312E-2</v>
      </c>
      <c r="L3025" s="2" t="str">
        <f>IF(ISNUMBER(SEARCH("|",IMDB_Movies!$D3025)),LEFT(IMDB_Movies!$D3025,SEARCH("|",IMDB_Movies!$D3025)-1),IMDB_Movies!$D3025)</f>
        <v>Drama</v>
      </c>
      <c r="V3025" s="2"/>
      <c r="W3025" s="2"/>
    </row>
    <row r="3026" spans="1:23" ht="12.5" x14ac:dyDescent="0.25">
      <c r="A3026" s="2" t="s">
        <v>5112</v>
      </c>
      <c r="B3026" s="2">
        <v>105</v>
      </c>
      <c r="C3026" s="2">
        <v>2062066</v>
      </c>
      <c r="D3026" s="2" t="s">
        <v>614</v>
      </c>
      <c r="E3026" s="2" t="s">
        <v>5113</v>
      </c>
      <c r="F3026" s="2" t="s">
        <v>14</v>
      </c>
      <c r="G3026" s="2" t="s">
        <v>15</v>
      </c>
      <c r="H3026" s="2">
        <v>7000000</v>
      </c>
      <c r="I3026" s="2">
        <v>6.6</v>
      </c>
      <c r="J3026" s="2">
        <f t="shared" si="22"/>
        <v>-4937934</v>
      </c>
      <c r="K3026" s="2">
        <f t="shared" si="23"/>
        <v>-1.7020992103693469E-2</v>
      </c>
      <c r="L3026" s="2" t="str">
        <f>IF(ISNUMBER(SEARCH("|",IMDB_Movies!$D3026)),LEFT(IMDB_Movies!$D3026,SEARCH("|",IMDB_Movies!$D3026)-1),IMDB_Movies!$D3026)</f>
        <v>Biography</v>
      </c>
      <c r="V3026" s="2"/>
      <c r="W3026" s="2"/>
    </row>
    <row r="3027" spans="1:23" ht="12.5" x14ac:dyDescent="0.25">
      <c r="A3027" s="2" t="s">
        <v>4427</v>
      </c>
      <c r="B3027" s="2">
        <v>99</v>
      </c>
      <c r="C3027" s="2">
        <v>1654367</v>
      </c>
      <c r="D3027" s="2" t="s">
        <v>555</v>
      </c>
      <c r="E3027" s="2" t="s">
        <v>5114</v>
      </c>
      <c r="F3027" s="2" t="s">
        <v>14</v>
      </c>
      <c r="G3027" s="2" t="s">
        <v>15</v>
      </c>
      <c r="H3027" s="2">
        <v>7000000</v>
      </c>
      <c r="I3027" s="2">
        <v>6.4</v>
      </c>
      <c r="J3027" s="2">
        <f t="shared" si="22"/>
        <v>-5345633</v>
      </c>
      <c r="K3027" s="2">
        <f t="shared" si="23"/>
        <v>-1.7037649263956161E-2</v>
      </c>
      <c r="L3027" s="2" t="str">
        <f>IF(ISNUMBER(SEARCH("|",IMDB_Movies!$D3027)),LEFT(IMDB_Movies!$D3027,SEARCH("|",IMDB_Movies!$D3027)-1),IMDB_Movies!$D3027)</f>
        <v>Biography</v>
      </c>
      <c r="V3027" s="2"/>
      <c r="W3027" s="2"/>
    </row>
    <row r="3028" spans="1:23" ht="12.5" x14ac:dyDescent="0.25">
      <c r="A3028" s="2" t="s">
        <v>5115</v>
      </c>
      <c r="B3028" s="2">
        <v>112</v>
      </c>
      <c r="C3028" s="2">
        <v>1738692</v>
      </c>
      <c r="D3028" s="2" t="s">
        <v>1400</v>
      </c>
      <c r="E3028" s="2" t="s">
        <v>5116</v>
      </c>
      <c r="F3028" s="2" t="s">
        <v>14</v>
      </c>
      <c r="G3028" s="2" t="s">
        <v>22</v>
      </c>
      <c r="H3028" s="2">
        <v>7000000</v>
      </c>
      <c r="I3028" s="2">
        <v>7.5</v>
      </c>
      <c r="J3028" s="2">
        <f t="shared" si="22"/>
        <v>-5261308</v>
      </c>
      <c r="K3028" s="2">
        <f t="shared" si="23"/>
        <v>-1.7055113706622702E-2</v>
      </c>
      <c r="L3028" s="2" t="str">
        <f>IF(ISNUMBER(SEARCH("|",IMDB_Movies!$D3028)),LEFT(IMDB_Movies!$D3028,SEARCH("|",IMDB_Movies!$D3028)-1),IMDB_Movies!$D3028)</f>
        <v>Drama</v>
      </c>
      <c r="V3028" s="2"/>
      <c r="W3028" s="2"/>
    </row>
    <row r="3029" spans="1:23" ht="12.5" x14ac:dyDescent="0.25">
      <c r="A3029" s="2" t="s">
        <v>5117</v>
      </c>
      <c r="B3029" s="2">
        <v>99</v>
      </c>
      <c r="C3029" s="2">
        <v>1889522</v>
      </c>
      <c r="D3029" s="2" t="s">
        <v>1307</v>
      </c>
      <c r="E3029" s="2" t="s">
        <v>5118</v>
      </c>
      <c r="F3029" s="2" t="s">
        <v>14</v>
      </c>
      <c r="G3029" s="2" t="s">
        <v>15</v>
      </c>
      <c r="H3029" s="2">
        <v>7000000</v>
      </c>
      <c r="I3029" s="2">
        <v>6.5</v>
      </c>
      <c r="J3029" s="2">
        <f t="shared" si="22"/>
        <v>-5110478</v>
      </c>
      <c r="K3029" s="2">
        <f t="shared" si="23"/>
        <v>-1.7072470254619793E-2</v>
      </c>
      <c r="L3029" s="2" t="str">
        <f>IF(ISNUMBER(SEARCH("|",IMDB_Movies!$D3029)),LEFT(IMDB_Movies!$D3029,SEARCH("|",IMDB_Movies!$D3029)-1),IMDB_Movies!$D3029)</f>
        <v>Drama</v>
      </c>
      <c r="V3029" s="2"/>
      <c r="W3029" s="2"/>
    </row>
    <row r="3030" spans="1:23" ht="12.5" x14ac:dyDescent="0.25">
      <c r="A3030" s="2" t="s">
        <v>5048</v>
      </c>
      <c r="B3030" s="2">
        <v>125</v>
      </c>
      <c r="C3030" s="2">
        <v>1110286</v>
      </c>
      <c r="D3030" s="2" t="s">
        <v>85</v>
      </c>
      <c r="E3030" s="2" t="s">
        <v>5119</v>
      </c>
      <c r="F3030" s="2" t="s">
        <v>14</v>
      </c>
      <c r="G3030" s="2" t="s">
        <v>15</v>
      </c>
      <c r="H3030" s="2">
        <v>4825000</v>
      </c>
      <c r="I3030" s="2">
        <v>7.2</v>
      </c>
      <c r="J3030" s="2">
        <f t="shared" si="22"/>
        <v>-3714714</v>
      </c>
      <c r="K3030" s="2">
        <f t="shared" si="23"/>
        <v>-1.7089594216494773E-2</v>
      </c>
      <c r="L3030" s="2" t="str">
        <f>IF(ISNUMBER(SEARCH("|",IMDB_Movies!$D3030)),LEFT(IMDB_Movies!$D3030,SEARCH("|",IMDB_Movies!$D3030)-1),IMDB_Movies!$D3030)</f>
        <v>Drama</v>
      </c>
      <c r="V3030" s="2"/>
      <c r="W3030" s="2"/>
    </row>
    <row r="3031" spans="1:23" ht="12.5" x14ac:dyDescent="0.25">
      <c r="A3031" s="2" t="s">
        <v>5120</v>
      </c>
      <c r="B3031" s="2">
        <v>107</v>
      </c>
      <c r="C3031" s="2">
        <v>1000000</v>
      </c>
      <c r="D3031" s="2" t="s">
        <v>448</v>
      </c>
      <c r="E3031" s="2" t="s">
        <v>5121</v>
      </c>
      <c r="F3031" s="2" t="s">
        <v>14</v>
      </c>
      <c r="G3031" s="2" t="s">
        <v>22</v>
      </c>
      <c r="H3031" s="2">
        <v>9000000</v>
      </c>
      <c r="I3031" s="2">
        <v>6.3</v>
      </c>
      <c r="J3031" s="2">
        <f t="shared" si="22"/>
        <v>-8000000</v>
      </c>
      <c r="K3031" s="2">
        <f t="shared" si="23"/>
        <v>-1.7115974379976032E-2</v>
      </c>
      <c r="L3031" s="2" t="str">
        <f>IF(ISNUMBER(SEARCH("|",IMDB_Movies!$D3031)),LEFT(IMDB_Movies!$D3031,SEARCH("|",IMDB_Movies!$D3031)-1),IMDB_Movies!$D3031)</f>
        <v>Adventure</v>
      </c>
      <c r="V3031" s="2"/>
      <c r="W3031" s="2"/>
    </row>
    <row r="3032" spans="1:23" ht="12.5" x14ac:dyDescent="0.25">
      <c r="A3032" s="2" t="s">
        <v>2281</v>
      </c>
      <c r="B3032" s="2">
        <v>107</v>
      </c>
      <c r="C3032" s="2">
        <v>700000</v>
      </c>
      <c r="D3032" s="2" t="s">
        <v>2282</v>
      </c>
      <c r="E3032" s="2" t="s">
        <v>5122</v>
      </c>
      <c r="F3032" s="2" t="s">
        <v>1006</v>
      </c>
      <c r="G3032" s="2" t="s">
        <v>686</v>
      </c>
      <c r="H3032" s="2">
        <v>50000000</v>
      </c>
      <c r="I3032" s="2">
        <v>7</v>
      </c>
      <c r="J3032" s="2">
        <f t="shared" si="22"/>
        <v>-49300000</v>
      </c>
      <c r="K3032" s="2">
        <f t="shared" si="23"/>
        <v>-1.7127698391205592E-2</v>
      </c>
      <c r="L3032" s="2" t="str">
        <f>IF(ISNUMBER(SEARCH("|",IMDB_Movies!$D3032)),LEFT(IMDB_Movies!$D3032,SEARCH("|",IMDB_Movies!$D3032)-1),IMDB_Movies!$D3032)</f>
        <v>Comedy</v>
      </c>
      <c r="V3032" s="2"/>
      <c r="W3032" s="2"/>
    </row>
    <row r="3033" spans="1:23" ht="12.5" x14ac:dyDescent="0.25">
      <c r="A3033" s="2" t="s">
        <v>2243</v>
      </c>
      <c r="B3033" s="2">
        <v>97</v>
      </c>
      <c r="C3033" s="2">
        <v>1768416</v>
      </c>
      <c r="D3033" s="2" t="s">
        <v>891</v>
      </c>
      <c r="E3033" s="2" t="s">
        <v>5123</v>
      </c>
      <c r="F3033" s="2" t="s">
        <v>14</v>
      </c>
      <c r="G3033" s="2" t="s">
        <v>15</v>
      </c>
      <c r="H3033" s="2">
        <v>7000000</v>
      </c>
      <c r="I3033" s="2">
        <v>6.3</v>
      </c>
      <c r="J3033" s="2">
        <f t="shared" si="22"/>
        <v>-5231584</v>
      </c>
      <c r="K3033" s="2">
        <f t="shared" si="23"/>
        <v>-1.6988924083828551E-2</v>
      </c>
      <c r="L3033" s="2" t="str">
        <f>IF(ISNUMBER(SEARCH("|",IMDB_Movies!$D3033)),LEFT(IMDB_Movies!$D3033,SEARCH("|",IMDB_Movies!$D3033)-1),IMDB_Movies!$D3033)</f>
        <v>Comedy</v>
      </c>
      <c r="V3033" s="2"/>
      <c r="W3033" s="2"/>
    </row>
    <row r="3034" spans="1:23" ht="12.5" x14ac:dyDescent="0.25">
      <c r="A3034" s="2" t="s">
        <v>5124</v>
      </c>
      <c r="B3034" s="2">
        <v>95</v>
      </c>
      <c r="C3034" s="2">
        <v>306715</v>
      </c>
      <c r="D3034" s="2" t="s">
        <v>709</v>
      </c>
      <c r="E3034" s="2" t="s">
        <v>5125</v>
      </c>
      <c r="F3034" s="2" t="s">
        <v>14</v>
      </c>
      <c r="G3034" s="2" t="s">
        <v>15</v>
      </c>
      <c r="H3034" s="2">
        <v>10000000</v>
      </c>
      <c r="I3034" s="2">
        <v>2.2999999999999998</v>
      </c>
      <c r="J3034" s="2">
        <f t="shared" si="22"/>
        <v>-9693285</v>
      </c>
      <c r="K3034" s="2">
        <f t="shared" si="23"/>
        <v>-1.7006275463979117E-2</v>
      </c>
      <c r="L3034" s="2" t="str">
        <f>IF(ISNUMBER(SEARCH("|",IMDB_Movies!$D3034)),LEFT(IMDB_Movies!$D3034,SEARCH("|",IMDB_Movies!$D3034)-1),IMDB_Movies!$D3034)</f>
        <v>Comedy</v>
      </c>
      <c r="V3034" s="2"/>
      <c r="W3034" s="2"/>
    </row>
    <row r="3035" spans="1:23" ht="12.5" x14ac:dyDescent="0.25">
      <c r="A3035" s="2" t="s">
        <v>5126</v>
      </c>
      <c r="B3035" s="2">
        <v>106</v>
      </c>
      <c r="C3035" s="2">
        <v>382946</v>
      </c>
      <c r="D3035" s="2" t="s">
        <v>1180</v>
      </c>
      <c r="E3035" s="2" t="s">
        <v>5127</v>
      </c>
      <c r="F3035" s="2" t="s">
        <v>14</v>
      </c>
      <c r="G3035" s="2" t="s">
        <v>15</v>
      </c>
      <c r="H3035" s="2">
        <v>7000000</v>
      </c>
      <c r="I3035" s="2">
        <v>7.1</v>
      </c>
      <c r="J3035" s="2">
        <f t="shared" si="22"/>
        <v>-6617054</v>
      </c>
      <c r="K3035" s="2">
        <f t="shared" si="23"/>
        <v>-1.7014928929578194E-2</v>
      </c>
      <c r="L3035" s="2" t="str">
        <f>IF(ISNUMBER(SEARCH("|",IMDB_Movies!$D3035)),LEFT(IMDB_Movies!$D3035,SEARCH("|",IMDB_Movies!$D3035)-1),IMDB_Movies!$D3035)</f>
        <v>Drama</v>
      </c>
      <c r="V3035" s="2"/>
      <c r="W3035" s="2"/>
    </row>
    <row r="3036" spans="1:23" ht="12.5" x14ac:dyDescent="0.25">
      <c r="A3036" s="2" t="s">
        <v>2035</v>
      </c>
      <c r="B3036" s="2">
        <v>103</v>
      </c>
      <c r="C3036" s="2">
        <v>236266</v>
      </c>
      <c r="D3036" s="2" t="s">
        <v>2211</v>
      </c>
      <c r="E3036" s="2" t="s">
        <v>5128</v>
      </c>
      <c r="F3036" s="2" t="s">
        <v>14</v>
      </c>
      <c r="G3036" s="2" t="s">
        <v>15</v>
      </c>
      <c r="H3036" s="2">
        <v>3500000</v>
      </c>
      <c r="I3036" s="2">
        <v>6.2</v>
      </c>
      <c r="J3036" s="2">
        <f t="shared" si="22"/>
        <v>-3263734</v>
      </c>
      <c r="K3036" s="2">
        <f t="shared" si="23"/>
        <v>-1.7034993233236814E-2</v>
      </c>
      <c r="L3036" s="2" t="str">
        <f>IF(ISNUMBER(SEARCH("|",IMDB_Movies!$D3036)),LEFT(IMDB_Movies!$D3036,SEARCH("|",IMDB_Movies!$D3036)-1),IMDB_Movies!$D3036)</f>
        <v>Adventure</v>
      </c>
      <c r="V3036" s="2"/>
      <c r="W3036" s="2"/>
    </row>
    <row r="3037" spans="1:23" ht="12.5" x14ac:dyDescent="0.25">
      <c r="A3037" s="2" t="s">
        <v>5129</v>
      </c>
      <c r="B3037" s="2">
        <v>96</v>
      </c>
      <c r="C3037" s="2">
        <v>196067</v>
      </c>
      <c r="D3037" s="2" t="s">
        <v>85</v>
      </c>
      <c r="E3037" s="2" t="s">
        <v>5130</v>
      </c>
      <c r="F3037" s="2" t="s">
        <v>14</v>
      </c>
      <c r="G3037" s="2" t="s">
        <v>22</v>
      </c>
      <c r="H3037" s="2">
        <v>7000000</v>
      </c>
      <c r="I3037" s="2">
        <v>6.7</v>
      </c>
      <c r="J3037" s="2">
        <f t="shared" si="22"/>
        <v>-6803933</v>
      </c>
      <c r="K3037" s="2">
        <f t="shared" si="23"/>
        <v>-1.706896250943217E-2</v>
      </c>
      <c r="L3037" s="2" t="str">
        <f>IF(ISNUMBER(SEARCH("|",IMDB_Movies!$D3037)),LEFT(IMDB_Movies!$D3037,SEARCH("|",IMDB_Movies!$D3037)-1),IMDB_Movies!$D3037)</f>
        <v>Drama</v>
      </c>
      <c r="V3037" s="2"/>
      <c r="W3037" s="2"/>
    </row>
    <row r="3038" spans="1:23" ht="12.5" x14ac:dyDescent="0.25">
      <c r="A3038" s="2" t="s">
        <v>4680</v>
      </c>
      <c r="B3038" s="2">
        <v>103</v>
      </c>
      <c r="C3038" s="2">
        <v>532988</v>
      </c>
      <c r="D3038" s="2" t="s">
        <v>2124</v>
      </c>
      <c r="E3038" s="2" t="s">
        <v>5131</v>
      </c>
      <c r="F3038" s="2" t="s">
        <v>14</v>
      </c>
      <c r="G3038" s="2" t="s">
        <v>15</v>
      </c>
      <c r="H3038" s="2">
        <v>7000000</v>
      </c>
      <c r="I3038" s="2">
        <v>6.5</v>
      </c>
      <c r="J3038" s="2">
        <f t="shared" si="22"/>
        <v>-6467012</v>
      </c>
      <c r="K3038" s="2">
        <f t="shared" si="23"/>
        <v>-1.7089526598235882E-2</v>
      </c>
      <c r="L3038" s="2" t="str">
        <f>IF(ISNUMBER(SEARCH("|",IMDB_Movies!$D3038)),LEFT(IMDB_Movies!$D3038,SEARCH("|",IMDB_Movies!$D3038)-1),IMDB_Movies!$D3038)</f>
        <v>Biography</v>
      </c>
      <c r="V3038" s="2"/>
      <c r="W3038" s="2"/>
    </row>
    <row r="3039" spans="1:23" ht="12.5" x14ac:dyDescent="0.25">
      <c r="A3039" s="2" t="s">
        <v>5132</v>
      </c>
      <c r="B3039" s="2">
        <v>108</v>
      </c>
      <c r="C3039" s="2">
        <v>453079</v>
      </c>
      <c r="D3039" s="2" t="s">
        <v>709</v>
      </c>
      <c r="E3039" s="2" t="s">
        <v>5133</v>
      </c>
      <c r="F3039" s="2" t="s">
        <v>14</v>
      </c>
      <c r="G3039" s="2" t="s">
        <v>15</v>
      </c>
      <c r="H3039" s="2">
        <v>7000000</v>
      </c>
      <c r="I3039" s="2">
        <v>5.9</v>
      </c>
      <c r="J3039" s="2">
        <f t="shared" si="22"/>
        <v>-6546921</v>
      </c>
      <c r="K3039" s="2">
        <f t="shared" si="23"/>
        <v>-1.7109501773673833E-2</v>
      </c>
      <c r="L3039" s="2" t="str">
        <f>IF(ISNUMBER(SEARCH("|",IMDB_Movies!$D3039)),LEFT(IMDB_Movies!$D3039,SEARCH("|",IMDB_Movies!$D3039)-1),IMDB_Movies!$D3039)</f>
        <v>Comedy</v>
      </c>
      <c r="V3039" s="2"/>
      <c r="W3039" s="2"/>
    </row>
    <row r="3040" spans="1:23" ht="12.5" x14ac:dyDescent="0.25">
      <c r="A3040" s="2" t="s">
        <v>5134</v>
      </c>
      <c r="B3040" s="2">
        <v>118</v>
      </c>
      <c r="C3040" s="2">
        <v>46451</v>
      </c>
      <c r="D3040" s="2" t="s">
        <v>2009</v>
      </c>
      <c r="E3040" s="2" t="s">
        <v>5135</v>
      </c>
      <c r="F3040" s="2" t="s">
        <v>14</v>
      </c>
      <c r="G3040" s="2" t="s">
        <v>15</v>
      </c>
      <c r="H3040" s="2">
        <v>7000000</v>
      </c>
      <c r="I3040" s="2">
        <v>6</v>
      </c>
      <c r="J3040" s="2">
        <f t="shared" si="22"/>
        <v>-6953549</v>
      </c>
      <c r="K3040" s="2">
        <f t="shared" si="23"/>
        <v>-1.7129690295203219E-2</v>
      </c>
      <c r="L3040" s="2" t="str">
        <f>IF(ISNUMBER(SEARCH("|",IMDB_Movies!$D3040)),LEFT(IMDB_Movies!$D3040,SEARCH("|",IMDB_Movies!$D3040)-1),IMDB_Movies!$D3040)</f>
        <v>Comedy</v>
      </c>
      <c r="V3040" s="2"/>
      <c r="W3040" s="2"/>
    </row>
    <row r="3041" spans="1:23" ht="12.5" x14ac:dyDescent="0.25">
      <c r="A3041" s="2" t="s">
        <v>5136</v>
      </c>
      <c r="B3041" s="2">
        <v>97</v>
      </c>
      <c r="C3041" s="2">
        <v>233103</v>
      </c>
      <c r="D3041" s="2" t="s">
        <v>1180</v>
      </c>
      <c r="E3041" s="2" t="s">
        <v>5137</v>
      </c>
      <c r="F3041" s="2" t="s">
        <v>14</v>
      </c>
      <c r="G3041" s="2" t="s">
        <v>22</v>
      </c>
      <c r="H3041" s="2">
        <v>7000000</v>
      </c>
      <c r="I3041" s="2">
        <v>6.9</v>
      </c>
      <c r="J3041" s="2">
        <f t="shared" si="22"/>
        <v>-6766897</v>
      </c>
      <c r="K3041" s="2">
        <f t="shared" si="23"/>
        <v>-1.7150727919436809E-2</v>
      </c>
      <c r="L3041" s="2" t="str">
        <f>IF(ISNUMBER(SEARCH("|",IMDB_Movies!$D3041)),LEFT(IMDB_Movies!$D3041,SEARCH("|",IMDB_Movies!$D3041)-1),IMDB_Movies!$D3041)</f>
        <v>Drama</v>
      </c>
      <c r="V3041" s="2"/>
      <c r="W3041" s="2"/>
    </row>
    <row r="3042" spans="1:23" ht="12.5" x14ac:dyDescent="0.25">
      <c r="A3042" s="2" t="s">
        <v>1279</v>
      </c>
      <c r="B3042" s="2">
        <v>115</v>
      </c>
      <c r="C3042" s="2">
        <v>41400000</v>
      </c>
      <c r="D3042" s="2" t="s">
        <v>5138</v>
      </c>
      <c r="E3042" s="2" t="s">
        <v>5139</v>
      </c>
      <c r="F3042" s="2" t="s">
        <v>14</v>
      </c>
      <c r="G3042" s="2" t="s">
        <v>15</v>
      </c>
      <c r="H3042" s="2">
        <v>6900000</v>
      </c>
      <c r="I3042" s="2">
        <v>7.3</v>
      </c>
      <c r="J3042" s="2">
        <f t="shared" si="22"/>
        <v>34500000</v>
      </c>
      <c r="K3042" s="2">
        <f t="shared" si="23"/>
        <v>-1.7171465087705014E-2</v>
      </c>
      <c r="L3042" s="2" t="str">
        <f>IF(ISNUMBER(SEARCH("|",IMDB_Movies!$D3042)),LEFT(IMDB_Movies!$D3042,SEARCH("|",IMDB_Movies!$D3042)-1),IMDB_Movies!$D3042)</f>
        <v>Western</v>
      </c>
      <c r="V3042" s="2"/>
      <c r="W3042" s="2"/>
    </row>
    <row r="3043" spans="1:23" ht="12.5" x14ac:dyDescent="0.25">
      <c r="A3043" s="2" t="s">
        <v>2991</v>
      </c>
      <c r="B3043" s="2">
        <v>102</v>
      </c>
      <c r="C3043" s="2">
        <v>7993039</v>
      </c>
      <c r="D3043" s="2" t="s">
        <v>709</v>
      </c>
      <c r="E3043" s="2" t="s">
        <v>5140</v>
      </c>
      <c r="F3043" s="2" t="s">
        <v>14</v>
      </c>
      <c r="G3043" s="2" t="s">
        <v>15</v>
      </c>
      <c r="H3043" s="2">
        <v>6900000</v>
      </c>
      <c r="I3043" s="2">
        <v>7.7</v>
      </c>
      <c r="J3043" s="2">
        <f t="shared" si="22"/>
        <v>1093039</v>
      </c>
      <c r="K3043" s="2">
        <f t="shared" si="23"/>
        <v>-1.7140738490968803E-2</v>
      </c>
      <c r="L3043" s="2" t="str">
        <f>IF(ISNUMBER(SEARCH("|",IMDB_Movies!$D3043)),LEFT(IMDB_Movies!$D3043,SEARCH("|",IMDB_Movies!$D3043)-1),IMDB_Movies!$D3043)</f>
        <v>Comedy</v>
      </c>
      <c r="V3043" s="2"/>
      <c r="W3043" s="2"/>
    </row>
    <row r="3044" spans="1:23" ht="12.5" x14ac:dyDescent="0.25">
      <c r="A3044" s="2" t="s">
        <v>5141</v>
      </c>
      <c r="B3044" s="2">
        <v>125</v>
      </c>
      <c r="C3044" s="2">
        <v>927107</v>
      </c>
      <c r="D3044" s="2" t="s">
        <v>3843</v>
      </c>
      <c r="E3044" s="2" t="s">
        <v>5142</v>
      </c>
      <c r="F3044" s="2" t="s">
        <v>3713</v>
      </c>
      <c r="G3044" s="2" t="s">
        <v>287</v>
      </c>
      <c r="H3044" s="2">
        <v>15000000</v>
      </c>
      <c r="I3044" s="2">
        <v>7.3</v>
      </c>
      <c r="J3044" s="2">
        <f t="shared" si="22"/>
        <v>-14072893</v>
      </c>
      <c r="K3044" s="2">
        <f t="shared" si="23"/>
        <v>-1.714756174023423E-2</v>
      </c>
      <c r="L3044" s="2" t="str">
        <f>IF(ISNUMBER(SEARCH("|",IMDB_Movies!$D3044)),LEFT(IMDB_Movies!$D3044,SEARCH("|",IMDB_Movies!$D3044)-1),IMDB_Movies!$D3044)</f>
        <v>Biography</v>
      </c>
      <c r="V3044" s="2"/>
      <c r="W3044" s="2"/>
    </row>
    <row r="3045" spans="1:23" ht="12.5" x14ac:dyDescent="0.25">
      <c r="A3045" s="2" t="s">
        <v>5143</v>
      </c>
      <c r="B3045" s="2">
        <v>108</v>
      </c>
      <c r="C3045" s="2">
        <v>49526</v>
      </c>
      <c r="D3045" s="2" t="s">
        <v>891</v>
      </c>
      <c r="E3045" s="2" t="s">
        <v>5144</v>
      </c>
      <c r="F3045" s="2" t="s">
        <v>14</v>
      </c>
      <c r="G3045" s="2" t="s">
        <v>15</v>
      </c>
      <c r="H3045" s="2">
        <v>6800000</v>
      </c>
      <c r="I3045" s="2">
        <v>7</v>
      </c>
      <c r="J3045" s="2">
        <f t="shared" si="22"/>
        <v>-6750474</v>
      </c>
      <c r="K3045" s="2">
        <f t="shared" si="23"/>
        <v>-1.7137646292887127E-2</v>
      </c>
      <c r="L3045" s="2" t="str">
        <f>IF(ISNUMBER(SEARCH("|",IMDB_Movies!$D3045)),LEFT(IMDB_Movies!$D3045,SEARCH("|",IMDB_Movies!$D3045)-1),IMDB_Movies!$D3045)</f>
        <v>Comedy</v>
      </c>
      <c r="V3045" s="2"/>
      <c r="W3045" s="2"/>
    </row>
    <row r="3046" spans="1:23" ht="12.5" x14ac:dyDescent="0.25">
      <c r="A3046" s="2" t="s">
        <v>5145</v>
      </c>
      <c r="B3046" s="2">
        <v>101</v>
      </c>
      <c r="C3046" s="2">
        <v>10696</v>
      </c>
      <c r="D3046" s="2" t="s">
        <v>550</v>
      </c>
      <c r="E3046" s="2" t="s">
        <v>5146</v>
      </c>
      <c r="F3046" s="2" t="s">
        <v>14</v>
      </c>
      <c r="G3046" s="2" t="s">
        <v>15</v>
      </c>
      <c r="H3046" s="2">
        <v>6800000</v>
      </c>
      <c r="I3046" s="2">
        <v>6.4</v>
      </c>
      <c r="J3046" s="2">
        <f t="shared" si="22"/>
        <v>-6789304</v>
      </c>
      <c r="K3046" s="2">
        <f t="shared" si="23"/>
        <v>-1.7159613561317108E-2</v>
      </c>
      <c r="L3046" s="2" t="str">
        <f>IF(ISNUMBER(SEARCH("|",IMDB_Movies!$D3046)),LEFT(IMDB_Movies!$D3046,SEARCH("|",IMDB_Movies!$D3046)-1),IMDB_Movies!$D3046)</f>
        <v>Crime</v>
      </c>
      <c r="V3046" s="2"/>
      <c r="W3046" s="2"/>
    </row>
    <row r="3047" spans="1:23" ht="12.5" x14ac:dyDescent="0.25">
      <c r="A3047" s="2" t="s">
        <v>5147</v>
      </c>
      <c r="B3047" s="2">
        <v>101</v>
      </c>
      <c r="C3047" s="2">
        <v>31607598</v>
      </c>
      <c r="D3047" s="2" t="s">
        <v>1507</v>
      </c>
      <c r="E3047" s="2" t="s">
        <v>5148</v>
      </c>
      <c r="F3047" s="2" t="s">
        <v>14</v>
      </c>
      <c r="G3047" s="2" t="s">
        <v>104</v>
      </c>
      <c r="H3047" s="2">
        <v>6900000</v>
      </c>
      <c r="I3047" s="2">
        <v>5.6</v>
      </c>
      <c r="J3047" s="2">
        <f t="shared" si="22"/>
        <v>24707598</v>
      </c>
      <c r="K3047" s="2">
        <f t="shared" si="23"/>
        <v>-1.7181725888512935E-2</v>
      </c>
      <c r="L3047" s="2" t="str">
        <f>IF(ISNUMBER(SEARCH("|",IMDB_Movies!$D3047)),LEFT(IMDB_Movies!$D3047,SEARCH("|",IMDB_Movies!$D3047)-1),IMDB_Movies!$D3047)</f>
        <v>Drama</v>
      </c>
      <c r="V3047" s="2"/>
      <c r="W3047" s="2"/>
    </row>
    <row r="3048" spans="1:23" ht="12.5" x14ac:dyDescent="0.25">
      <c r="A3048" s="2" t="s">
        <v>1930</v>
      </c>
      <c r="B3048" s="2">
        <v>139</v>
      </c>
      <c r="C3048" s="2">
        <v>6857096</v>
      </c>
      <c r="D3048" s="2" t="s">
        <v>5149</v>
      </c>
      <c r="E3048" s="2" t="s">
        <v>5150</v>
      </c>
      <c r="F3048" s="2" t="s">
        <v>1006</v>
      </c>
      <c r="G3048" s="2" t="s">
        <v>104</v>
      </c>
      <c r="H3048" s="2">
        <v>6800000</v>
      </c>
      <c r="I3048" s="2">
        <v>8.1999999999999993</v>
      </c>
      <c r="J3048" s="2">
        <f t="shared" si="22"/>
        <v>57096</v>
      </c>
      <c r="K3048" s="2">
        <f t="shared" si="23"/>
        <v>-1.7157844199734734E-2</v>
      </c>
      <c r="L3048" s="2" t="str">
        <f>IF(ISNUMBER(SEARCH("|",IMDB_Movies!$D3048)),LEFT(IMDB_Movies!$D3048,SEARCH("|",IMDB_Movies!$D3048)-1),IMDB_Movies!$D3048)</f>
        <v>Drama</v>
      </c>
      <c r="V3048" s="2"/>
      <c r="W3048" s="2"/>
    </row>
    <row r="3049" spans="1:23" ht="12.5" x14ac:dyDescent="0.25">
      <c r="A3049" s="2" t="s">
        <v>1582</v>
      </c>
      <c r="B3049" s="2">
        <v>125</v>
      </c>
      <c r="C3049" s="2">
        <v>223878</v>
      </c>
      <c r="D3049" s="2" t="s">
        <v>514</v>
      </c>
      <c r="E3049" s="2" t="s">
        <v>5151</v>
      </c>
      <c r="F3049" s="2" t="s">
        <v>3189</v>
      </c>
      <c r="G3049" s="2" t="s">
        <v>2862</v>
      </c>
      <c r="H3049" s="2">
        <v>5000000</v>
      </c>
      <c r="I3049" s="2">
        <v>6.5</v>
      </c>
      <c r="J3049" s="2">
        <f t="shared" si="22"/>
        <v>-4776122</v>
      </c>
      <c r="K3049" s="2">
        <f t="shared" si="23"/>
        <v>-1.7166901904787504E-2</v>
      </c>
      <c r="L3049" s="2" t="str">
        <f>IF(ISNUMBER(SEARCH("|",IMDB_Movies!$D3049)),LEFT(IMDB_Movies!$D3049,SEARCH("|",IMDB_Movies!$D3049)-1),IMDB_Movies!$D3049)</f>
        <v>Comedy</v>
      </c>
      <c r="V3049" s="2"/>
      <c r="W3049" s="2"/>
    </row>
    <row r="3050" spans="1:23" ht="12.5" x14ac:dyDescent="0.25">
      <c r="A3050" s="2" t="s">
        <v>508</v>
      </c>
      <c r="B3050" s="2">
        <v>115</v>
      </c>
      <c r="C3050" s="2">
        <v>8060</v>
      </c>
      <c r="D3050" s="2" t="s">
        <v>177</v>
      </c>
      <c r="E3050" s="2" t="s">
        <v>5152</v>
      </c>
      <c r="F3050" s="2" t="s">
        <v>5153</v>
      </c>
      <c r="G3050" s="2" t="s">
        <v>5154</v>
      </c>
      <c r="H3050" s="2">
        <v>4000000</v>
      </c>
      <c r="I3050" s="2">
        <v>8.1</v>
      </c>
      <c r="J3050" s="2">
        <f t="shared" si="22"/>
        <v>-3991940</v>
      </c>
      <c r="K3050" s="2">
        <f t="shared" si="23"/>
        <v>-1.719572301983481E-2</v>
      </c>
      <c r="L3050" s="2" t="str">
        <f>IF(ISNUMBER(SEARCH("|",IMDB_Movies!$D3050)),LEFT(IMDB_Movies!$D3050,SEARCH("|",IMDB_Movies!$D3050)-1),IMDB_Movies!$D3050)</f>
        <v>Action</v>
      </c>
      <c r="V3050" s="2"/>
      <c r="W3050" s="2"/>
    </row>
    <row r="3051" spans="1:23" ht="12.5" x14ac:dyDescent="0.25">
      <c r="A3051" s="2" t="s">
        <v>2775</v>
      </c>
      <c r="B3051" s="2">
        <v>99</v>
      </c>
      <c r="C3051" s="2">
        <v>84263837</v>
      </c>
      <c r="D3051" s="2" t="s">
        <v>2116</v>
      </c>
      <c r="E3051" s="2" t="s">
        <v>5155</v>
      </c>
      <c r="F3051" s="2" t="s">
        <v>14</v>
      </c>
      <c r="G3051" s="2" t="s">
        <v>15</v>
      </c>
      <c r="H3051" s="2">
        <v>6500000</v>
      </c>
      <c r="I3051" s="2">
        <v>5.4</v>
      </c>
      <c r="J3051" s="2">
        <f t="shared" si="22"/>
        <v>77763837</v>
      </c>
      <c r="K3051" s="2">
        <f t="shared" si="23"/>
        <v>-1.7229194459337842E-2</v>
      </c>
      <c r="L3051" s="2" t="str">
        <f>IF(ISNUMBER(SEARCH("|",IMDB_Movies!$D3051)),LEFT(IMDB_Movies!$D3051,SEARCH("|",IMDB_Movies!$D3051)-1),IMDB_Movies!$D3051)</f>
        <v>Horror</v>
      </c>
      <c r="V3051" s="2"/>
      <c r="W3051" s="2"/>
    </row>
    <row r="3052" spans="1:23" ht="12.5" x14ac:dyDescent="0.25">
      <c r="A3052" s="2" t="s">
        <v>5156</v>
      </c>
      <c r="B3052" s="2">
        <v>88</v>
      </c>
      <c r="C3052" s="2">
        <v>110029</v>
      </c>
      <c r="D3052" s="2" t="s">
        <v>5157</v>
      </c>
      <c r="E3052" s="2" t="s">
        <v>5158</v>
      </c>
      <c r="F3052" s="2" t="s">
        <v>14</v>
      </c>
      <c r="G3052" s="2" t="s">
        <v>135</v>
      </c>
      <c r="H3052" s="2">
        <v>6500000</v>
      </c>
      <c r="I3052" s="2">
        <v>6.3</v>
      </c>
      <c r="J3052" s="2">
        <f t="shared" si="22"/>
        <v>-6389971</v>
      </c>
      <c r="K3052" s="2">
        <f t="shared" si="23"/>
        <v>-1.7197171605991504E-2</v>
      </c>
      <c r="L3052" s="2" t="str">
        <f>IF(ISNUMBER(SEARCH("|",IMDB_Movies!$D3052)),LEFT(IMDB_Movies!$D3052,SEARCH("|",IMDB_Movies!$D3052)-1),IMDB_Movies!$D3052)</f>
        <v>Comedy</v>
      </c>
      <c r="V3052" s="2"/>
      <c r="W3052" s="2"/>
    </row>
    <row r="3053" spans="1:23" ht="12.5" x14ac:dyDescent="0.25">
      <c r="A3053" s="2" t="s">
        <v>1020</v>
      </c>
      <c r="B3053" s="2">
        <v>112</v>
      </c>
      <c r="C3053" s="2">
        <v>57504069</v>
      </c>
      <c r="D3053" s="2" t="s">
        <v>694</v>
      </c>
      <c r="E3053" s="2" t="s">
        <v>5159</v>
      </c>
      <c r="F3053" s="2" t="s">
        <v>14</v>
      </c>
      <c r="G3053" s="2" t="s">
        <v>15</v>
      </c>
      <c r="H3053" s="2">
        <v>6000000</v>
      </c>
      <c r="I3053" s="2">
        <v>7.8</v>
      </c>
      <c r="J3053" s="2">
        <f t="shared" si="22"/>
        <v>51504069</v>
      </c>
      <c r="K3053" s="2">
        <f t="shared" si="23"/>
        <v>-1.7220473170624254E-2</v>
      </c>
      <c r="L3053" s="2" t="str">
        <f>IF(ISNUMBER(SEARCH("|",IMDB_Movies!$D3053)),LEFT(IMDB_Movies!$D3053,SEARCH("|",IMDB_Movies!$D3053)-1),IMDB_Movies!$D3053)</f>
        <v>Crime</v>
      </c>
      <c r="V3053" s="2"/>
      <c r="W3053" s="2"/>
    </row>
    <row r="3054" spans="1:23" ht="12.5" x14ac:dyDescent="0.25">
      <c r="A3054" s="2" t="s">
        <v>5160</v>
      </c>
      <c r="B3054" s="2">
        <v>108</v>
      </c>
      <c r="C3054" s="2">
        <v>54215416</v>
      </c>
      <c r="D3054" s="2" t="s">
        <v>1473</v>
      </c>
      <c r="E3054" s="2" t="s">
        <v>5161</v>
      </c>
      <c r="F3054" s="2" t="s">
        <v>14</v>
      </c>
      <c r="G3054" s="2" t="s">
        <v>15</v>
      </c>
      <c r="H3054" s="2">
        <v>6500000</v>
      </c>
      <c r="I3054" s="2">
        <v>6.8</v>
      </c>
      <c r="J3054" s="2">
        <f t="shared" si="22"/>
        <v>47715416</v>
      </c>
      <c r="K3054" s="2">
        <f t="shared" si="23"/>
        <v>-1.7171177803587036E-2</v>
      </c>
      <c r="L3054" s="2" t="str">
        <f>IF(ISNUMBER(SEARCH("|",IMDB_Movies!$D3054)),LEFT(IMDB_Movies!$D3054,SEARCH("|",IMDB_Movies!$D3054)-1),IMDB_Movies!$D3054)</f>
        <v>Biography</v>
      </c>
      <c r="V3054" s="2"/>
      <c r="W3054" s="2"/>
    </row>
    <row r="3055" spans="1:23" ht="12.5" x14ac:dyDescent="0.25">
      <c r="A3055" s="2" t="s">
        <v>803</v>
      </c>
      <c r="B3055" s="2">
        <v>104</v>
      </c>
      <c r="C3055" s="2">
        <v>31899000</v>
      </c>
      <c r="D3055" s="2" t="s">
        <v>5162</v>
      </c>
      <c r="E3055" s="2" t="s">
        <v>5163</v>
      </c>
      <c r="F3055" s="2" t="s">
        <v>14</v>
      </c>
      <c r="G3055" s="2" t="s">
        <v>15</v>
      </c>
      <c r="H3055" s="2">
        <v>6500000</v>
      </c>
      <c r="I3055" s="2">
        <v>7.1</v>
      </c>
      <c r="J3055" s="2">
        <f t="shared" si="22"/>
        <v>25399000</v>
      </c>
      <c r="K3055" s="2">
        <f t="shared" si="23"/>
        <v>-1.7129693866628097E-2</v>
      </c>
      <c r="L3055" s="2" t="str">
        <f>IF(ISNUMBER(SEARCH("|",IMDB_Movies!$D3055)),LEFT(IMDB_Movies!$D3055,SEARCH("|",IMDB_Movies!$D3055)-1),IMDB_Movies!$D3055)</f>
        <v>Mystery</v>
      </c>
      <c r="V3055" s="2"/>
      <c r="W3055" s="2"/>
    </row>
    <row r="3056" spans="1:23" ht="12.5" x14ac:dyDescent="0.25">
      <c r="A3056" s="2" t="s">
        <v>210</v>
      </c>
      <c r="B3056" s="2">
        <v>108</v>
      </c>
      <c r="C3056" s="2">
        <v>24103594</v>
      </c>
      <c r="D3056" s="2" t="s">
        <v>5164</v>
      </c>
      <c r="E3056" s="2" t="s">
        <v>5165</v>
      </c>
      <c r="F3056" s="2" t="s">
        <v>14</v>
      </c>
      <c r="G3056" s="2" t="s">
        <v>15</v>
      </c>
      <c r="H3056" s="2">
        <v>6500000</v>
      </c>
      <c r="I3056" s="2">
        <v>6.2</v>
      </c>
      <c r="J3056" s="2">
        <f t="shared" si="22"/>
        <v>17603594</v>
      </c>
      <c r="K3056" s="2">
        <f t="shared" si="23"/>
        <v>-1.7102157449918436E-2</v>
      </c>
      <c r="L3056" s="2" t="str">
        <f>IF(ISNUMBER(SEARCH("|",IMDB_Movies!$D3056)),LEFT(IMDB_Movies!$D3056,SEARCH("|",IMDB_Movies!$D3056)-1),IMDB_Movies!$D3056)</f>
        <v>Adventure</v>
      </c>
      <c r="V3056" s="2"/>
      <c r="W3056" s="2"/>
    </row>
    <row r="3057" spans="1:23" ht="12.5" x14ac:dyDescent="0.25">
      <c r="A3057" s="2" t="s">
        <v>206</v>
      </c>
      <c r="B3057" s="2">
        <v>102</v>
      </c>
      <c r="C3057" s="2">
        <v>16842303</v>
      </c>
      <c r="D3057" s="2" t="s">
        <v>375</v>
      </c>
      <c r="E3057" s="2" t="s">
        <v>5166</v>
      </c>
      <c r="F3057" s="2" t="s">
        <v>14</v>
      </c>
      <c r="G3057" s="2" t="s">
        <v>15</v>
      </c>
      <c r="H3057" s="2">
        <v>6500000</v>
      </c>
      <c r="I3057" s="2">
        <v>7.3</v>
      </c>
      <c r="J3057" s="2">
        <f t="shared" si="22"/>
        <v>10342303</v>
      </c>
      <c r="K3057" s="2">
        <f t="shared" si="23"/>
        <v>-1.7083671360645071E-2</v>
      </c>
      <c r="L3057" s="2" t="str">
        <f>IF(ISNUMBER(SEARCH("|",IMDB_Movies!$D3057)),LEFT(IMDB_Movies!$D3057,SEARCH("|",IMDB_Movies!$D3057)-1),IMDB_Movies!$D3057)</f>
        <v>Comedy</v>
      </c>
      <c r="V3057" s="2"/>
      <c r="W3057" s="2"/>
    </row>
    <row r="3058" spans="1:23" ht="12.5" x14ac:dyDescent="0.25">
      <c r="A3058" s="2" t="s">
        <v>4972</v>
      </c>
      <c r="B3058" s="2">
        <v>88</v>
      </c>
      <c r="C3058" s="2">
        <v>13367101</v>
      </c>
      <c r="D3058" s="2" t="s">
        <v>514</v>
      </c>
      <c r="E3058" s="2" t="s">
        <v>5167</v>
      </c>
      <c r="F3058" s="2" t="s">
        <v>14</v>
      </c>
      <c r="G3058" s="2" t="s">
        <v>15</v>
      </c>
      <c r="H3058" s="2">
        <v>6500000</v>
      </c>
      <c r="I3058" s="2">
        <v>5.9</v>
      </c>
      <c r="J3058" s="2">
        <f t="shared" si="22"/>
        <v>6867101</v>
      </c>
      <c r="K3058" s="2">
        <f t="shared" si="23"/>
        <v>-1.7075608971392851E-2</v>
      </c>
      <c r="L3058" s="2" t="str">
        <f>IF(ISNUMBER(SEARCH("|",IMDB_Movies!$D3058)),LEFT(IMDB_Movies!$D3058,SEARCH("|",IMDB_Movies!$D3058)-1),IMDB_Movies!$D3058)</f>
        <v>Comedy</v>
      </c>
      <c r="V3058" s="2"/>
      <c r="W3058" s="2"/>
    </row>
    <row r="3059" spans="1:23" ht="12.5" x14ac:dyDescent="0.25">
      <c r="A3059" s="2" t="s">
        <v>5168</v>
      </c>
      <c r="B3059" s="2">
        <v>91</v>
      </c>
      <c r="C3059" s="2">
        <v>10149779</v>
      </c>
      <c r="D3059" s="2" t="s">
        <v>1486</v>
      </c>
      <c r="E3059" s="2" t="s">
        <v>5169</v>
      </c>
      <c r="F3059" s="2" t="s">
        <v>14</v>
      </c>
      <c r="G3059" s="2" t="s">
        <v>15</v>
      </c>
      <c r="H3059" s="2">
        <v>6500000</v>
      </c>
      <c r="I3059" s="2">
        <v>3.6</v>
      </c>
      <c r="J3059" s="2">
        <f t="shared" si="22"/>
        <v>3649779</v>
      </c>
      <c r="K3059" s="2">
        <f t="shared" si="23"/>
        <v>-1.7073210789054796E-2</v>
      </c>
      <c r="L3059" s="2" t="str">
        <f>IF(ISNUMBER(SEARCH("|",IMDB_Movies!$D3059)),LEFT(IMDB_Movies!$D3059,SEARCH("|",IMDB_Movies!$D3059)-1),IMDB_Movies!$D3059)</f>
        <v>Horror</v>
      </c>
      <c r="V3059" s="2"/>
      <c r="W3059" s="2"/>
    </row>
    <row r="3060" spans="1:23" ht="12.5" x14ac:dyDescent="0.25">
      <c r="A3060" s="2" t="s">
        <v>5170</v>
      </c>
      <c r="B3060" s="2">
        <v>141</v>
      </c>
      <c r="C3060" s="2">
        <v>6173485</v>
      </c>
      <c r="D3060" s="2" t="s">
        <v>555</v>
      </c>
      <c r="E3060" s="2" t="s">
        <v>5171</v>
      </c>
      <c r="F3060" s="2" t="s">
        <v>14</v>
      </c>
      <c r="G3060" s="2" t="s">
        <v>287</v>
      </c>
      <c r="H3060" s="2">
        <v>7000000</v>
      </c>
      <c r="I3060" s="2">
        <v>7.7</v>
      </c>
      <c r="J3060" s="2">
        <f t="shared" si="22"/>
        <v>-826515</v>
      </c>
      <c r="K3060" s="2">
        <f t="shared" si="23"/>
        <v>-1.7076461363269166E-2</v>
      </c>
      <c r="L3060" s="2" t="str">
        <f>IF(ISNUMBER(SEARCH("|",IMDB_Movies!$D3060)),LEFT(IMDB_Movies!$D3060,SEARCH("|",IMDB_Movies!$D3060)-1),IMDB_Movies!$D3060)</f>
        <v>Biography</v>
      </c>
      <c r="V3060" s="2"/>
      <c r="W3060" s="2"/>
    </row>
    <row r="3061" spans="1:23" ht="12.5" x14ac:dyDescent="0.25">
      <c r="A3061" s="2" t="s">
        <v>3466</v>
      </c>
      <c r="B3061" s="2">
        <v>101</v>
      </c>
      <c r="C3061" s="2">
        <v>4000304</v>
      </c>
      <c r="D3061" s="2" t="s">
        <v>1180</v>
      </c>
      <c r="E3061" s="2" t="s">
        <v>5172</v>
      </c>
      <c r="F3061" s="2" t="s">
        <v>14</v>
      </c>
      <c r="G3061" s="2" t="s">
        <v>22</v>
      </c>
      <c r="H3061" s="2">
        <v>6500000</v>
      </c>
      <c r="I3061" s="2">
        <v>7.3</v>
      </c>
      <c r="J3061" s="2">
        <f t="shared" si="22"/>
        <v>-2499696</v>
      </c>
      <c r="K3061" s="2">
        <f t="shared" si="23"/>
        <v>-1.7086269943746183E-2</v>
      </c>
      <c r="L3061" s="2" t="str">
        <f>IF(ISNUMBER(SEARCH("|",IMDB_Movies!$D3061)),LEFT(IMDB_Movies!$D3061,SEARCH("|",IMDB_Movies!$D3061)-1),IMDB_Movies!$D3061)</f>
        <v>Drama</v>
      </c>
      <c r="V3061" s="2"/>
      <c r="W3061" s="2"/>
    </row>
    <row r="3062" spans="1:23" ht="12.5" x14ac:dyDescent="0.25">
      <c r="A3062" s="2" t="s">
        <v>258</v>
      </c>
      <c r="B3062" s="2">
        <v>105</v>
      </c>
      <c r="C3062" s="2">
        <v>2338695</v>
      </c>
      <c r="D3062" s="2" t="s">
        <v>763</v>
      </c>
      <c r="E3062" s="2" t="s">
        <v>5173</v>
      </c>
      <c r="F3062" s="2" t="s">
        <v>14</v>
      </c>
      <c r="G3062" s="2" t="s">
        <v>22</v>
      </c>
      <c r="H3062" s="2">
        <v>4000000</v>
      </c>
      <c r="I3062" s="2">
        <v>7.4</v>
      </c>
      <c r="J3062" s="2">
        <f t="shared" ref="J3062:J3316" si="24">(C3062-H3062)</f>
        <v>-1661305</v>
      </c>
      <c r="K3062" s="2">
        <f t="shared" si="23"/>
        <v>-1.7101415630846301E-2</v>
      </c>
      <c r="L3062" s="2" t="str">
        <f>IF(ISNUMBER(SEARCH("|",IMDB_Movies!$D3062)),LEFT(IMDB_Movies!$D3062,SEARCH("|",IMDB_Movies!$D3062)-1),IMDB_Movies!$D3062)</f>
        <v>Crime</v>
      </c>
      <c r="V3062" s="2"/>
      <c r="W3062" s="2"/>
    </row>
    <row r="3063" spans="1:23" ht="12.5" x14ac:dyDescent="0.25">
      <c r="A3063" s="2" t="s">
        <v>5174</v>
      </c>
      <c r="B3063" s="2">
        <v>100</v>
      </c>
      <c r="C3063" s="2">
        <v>2024854</v>
      </c>
      <c r="D3063" s="2" t="s">
        <v>629</v>
      </c>
      <c r="E3063" s="2" t="s">
        <v>5175</v>
      </c>
      <c r="F3063" s="2" t="s">
        <v>14</v>
      </c>
      <c r="G3063" s="2" t="s">
        <v>15</v>
      </c>
      <c r="H3063" s="2">
        <v>6500000</v>
      </c>
      <c r="I3063" s="2">
        <v>6.6</v>
      </c>
      <c r="J3063" s="2">
        <f t="shared" si="24"/>
        <v>-4475146</v>
      </c>
      <c r="K3063" s="2">
        <f t="shared" ref="K3063:K3317" si="25">CORREL(H3063:H6848,C3063:C6848)</f>
        <v>-1.712803755882162E-2</v>
      </c>
      <c r="L3063" s="2" t="str">
        <f>IF(ISNUMBER(SEARCH("|",IMDB_Movies!$D3063)),LEFT(IMDB_Movies!$D3063,SEARCH("|",IMDB_Movies!$D3063)-1),IMDB_Movies!$D3063)</f>
        <v>Drama</v>
      </c>
      <c r="V3063" s="2"/>
      <c r="W3063" s="2"/>
    </row>
    <row r="3064" spans="1:23" ht="12.5" x14ac:dyDescent="0.25">
      <c r="A3064" s="2" t="s">
        <v>5176</v>
      </c>
      <c r="B3064" s="2">
        <v>116</v>
      </c>
      <c r="C3064" s="2">
        <v>2268296</v>
      </c>
      <c r="D3064" s="2" t="s">
        <v>1400</v>
      </c>
      <c r="E3064" s="2" t="s">
        <v>5177</v>
      </c>
      <c r="F3064" s="2" t="s">
        <v>14</v>
      </c>
      <c r="G3064" s="2" t="s">
        <v>22</v>
      </c>
      <c r="H3064" s="2">
        <v>6500000</v>
      </c>
      <c r="I3064" s="2">
        <v>6.9</v>
      </c>
      <c r="J3064" s="2">
        <f t="shared" si="24"/>
        <v>-4231704</v>
      </c>
      <c r="K3064" s="2">
        <f t="shared" si="25"/>
        <v>-1.7147401108221695E-2</v>
      </c>
      <c r="L3064" s="2" t="str">
        <f>IF(ISNUMBER(SEARCH("|",IMDB_Movies!$D3064)),LEFT(IMDB_Movies!$D3064,SEARCH("|",IMDB_Movies!$D3064)-1),IMDB_Movies!$D3064)</f>
        <v>Drama</v>
      </c>
      <c r="V3064" s="2"/>
      <c r="W3064" s="2"/>
    </row>
    <row r="3065" spans="1:23" ht="12.5" x14ac:dyDescent="0.25">
      <c r="A3065" s="2" t="s">
        <v>4111</v>
      </c>
      <c r="B3065" s="2">
        <v>97</v>
      </c>
      <c r="C3065" s="2">
        <v>1029017</v>
      </c>
      <c r="D3065" s="2" t="s">
        <v>85</v>
      </c>
      <c r="E3065" s="2" t="s">
        <v>5178</v>
      </c>
      <c r="F3065" s="2" t="s">
        <v>14</v>
      </c>
      <c r="G3065" s="2" t="s">
        <v>15</v>
      </c>
      <c r="H3065" s="2">
        <v>6500000</v>
      </c>
      <c r="I3065" s="2">
        <v>6.8</v>
      </c>
      <c r="J3065" s="2">
        <f t="shared" si="24"/>
        <v>-5470983</v>
      </c>
      <c r="K3065" s="2">
        <f t="shared" si="25"/>
        <v>-1.7166306960475775E-2</v>
      </c>
      <c r="L3065" s="2" t="str">
        <f>IF(ISNUMBER(SEARCH("|",IMDB_Movies!$D3065)),LEFT(IMDB_Movies!$D3065,SEARCH("|",IMDB_Movies!$D3065)-1),IMDB_Movies!$D3065)</f>
        <v>Drama</v>
      </c>
      <c r="V3065" s="2"/>
      <c r="W3065" s="2"/>
    </row>
    <row r="3066" spans="1:23" ht="12.5" x14ac:dyDescent="0.25">
      <c r="A3066" s="2" t="s">
        <v>5179</v>
      </c>
      <c r="B3066" s="2">
        <v>106</v>
      </c>
      <c r="C3066" s="2">
        <v>64148</v>
      </c>
      <c r="D3066" s="2" t="s">
        <v>1180</v>
      </c>
      <c r="E3066" s="2" t="s">
        <v>5180</v>
      </c>
      <c r="F3066" s="2" t="s">
        <v>14</v>
      </c>
      <c r="G3066" s="2" t="s">
        <v>22</v>
      </c>
      <c r="H3066" s="2">
        <v>6500000</v>
      </c>
      <c r="I3066" s="2">
        <v>7.3</v>
      </c>
      <c r="J3066" s="2">
        <f t="shared" si="24"/>
        <v>-6435852</v>
      </c>
      <c r="K3066" s="2">
        <f t="shared" si="25"/>
        <v>-1.7187920040011084E-2</v>
      </c>
      <c r="L3066" s="2" t="str">
        <f>IF(ISNUMBER(SEARCH("|",IMDB_Movies!$D3066)),LEFT(IMDB_Movies!$D3066,SEARCH("|",IMDB_Movies!$D3066)-1),IMDB_Movies!$D3066)</f>
        <v>Drama</v>
      </c>
      <c r="V3066" s="2"/>
      <c r="W3066" s="2"/>
    </row>
    <row r="3067" spans="1:23" ht="12.5" x14ac:dyDescent="0.25">
      <c r="A3067" s="2" t="s">
        <v>5181</v>
      </c>
      <c r="B3067" s="2">
        <v>105</v>
      </c>
      <c r="C3067" s="2">
        <v>66637</v>
      </c>
      <c r="D3067" s="2" t="s">
        <v>2432</v>
      </c>
      <c r="E3067" s="2" t="s">
        <v>5182</v>
      </c>
      <c r="F3067" s="2" t="s">
        <v>14</v>
      </c>
      <c r="G3067" s="2" t="s">
        <v>15</v>
      </c>
      <c r="H3067" s="2">
        <v>6500000</v>
      </c>
      <c r="I3067" s="2">
        <v>7.2</v>
      </c>
      <c r="J3067" s="2">
        <f t="shared" si="24"/>
        <v>-6433363</v>
      </c>
      <c r="K3067" s="2">
        <f t="shared" si="25"/>
        <v>-1.7211704746003469E-2</v>
      </c>
      <c r="L3067" s="2" t="str">
        <f>IF(ISNUMBER(SEARCH("|",IMDB_Movies!$D3067)),LEFT(IMDB_Movies!$D3067,SEARCH("|",IMDB_Movies!$D3067)-1),IMDB_Movies!$D3067)</f>
        <v>Drama</v>
      </c>
      <c r="V3067" s="2"/>
      <c r="W3067" s="2"/>
    </row>
    <row r="3068" spans="1:23" ht="12.5" x14ac:dyDescent="0.25">
      <c r="A3068" s="2" t="s">
        <v>3504</v>
      </c>
      <c r="B3068" s="2">
        <v>122</v>
      </c>
      <c r="C3068" s="2">
        <v>871577</v>
      </c>
      <c r="D3068" s="2" t="s">
        <v>1473</v>
      </c>
      <c r="E3068" s="2" t="s">
        <v>5183</v>
      </c>
      <c r="F3068" s="2" t="s">
        <v>14</v>
      </c>
      <c r="G3068" s="2" t="s">
        <v>22</v>
      </c>
      <c r="H3068" s="2">
        <v>4500000</v>
      </c>
      <c r="I3068" s="2">
        <v>7.7</v>
      </c>
      <c r="J3068" s="2">
        <f t="shared" si="24"/>
        <v>-3628423</v>
      </c>
      <c r="K3068" s="2">
        <f t="shared" si="25"/>
        <v>-1.723555761113944E-2</v>
      </c>
      <c r="L3068" s="2" t="str">
        <f>IF(ISNUMBER(SEARCH("|",IMDB_Movies!$D3068)),LEFT(IMDB_Movies!$D3068,SEARCH("|",IMDB_Movies!$D3068)-1),IMDB_Movies!$D3068)</f>
        <v>Biography</v>
      </c>
      <c r="V3068" s="2"/>
      <c r="W3068" s="2"/>
    </row>
    <row r="3069" spans="1:23" ht="12.5" x14ac:dyDescent="0.25">
      <c r="A3069" s="2" t="s">
        <v>11</v>
      </c>
      <c r="B3069" s="2">
        <v>107</v>
      </c>
      <c r="C3069" s="2">
        <v>38400000</v>
      </c>
      <c r="D3069" s="2" t="s">
        <v>246</v>
      </c>
      <c r="E3069" s="2" t="s">
        <v>5184</v>
      </c>
      <c r="F3069" s="2" t="s">
        <v>14</v>
      </c>
      <c r="G3069" s="2" t="s">
        <v>22</v>
      </c>
      <c r="H3069" s="2">
        <v>6500000</v>
      </c>
      <c r="I3069" s="2">
        <v>8.1</v>
      </c>
      <c r="J3069" s="2">
        <f t="shared" si="24"/>
        <v>31900000</v>
      </c>
      <c r="K3069" s="2">
        <f t="shared" si="25"/>
        <v>-1.7265144042819557E-2</v>
      </c>
      <c r="L3069" s="2" t="str">
        <f>IF(ISNUMBER(SEARCH("|",IMDB_Movies!$D3069)),LEFT(IMDB_Movies!$D3069,SEARCH("|",IMDB_Movies!$D3069)-1),IMDB_Movies!$D3069)</f>
        <v>Action</v>
      </c>
      <c r="V3069" s="2"/>
      <c r="W3069" s="2"/>
    </row>
    <row r="3070" spans="1:23" ht="12.5" x14ac:dyDescent="0.25">
      <c r="A3070" s="2" t="s">
        <v>5185</v>
      </c>
      <c r="B3070" s="2">
        <v>121</v>
      </c>
      <c r="C3070" s="2">
        <v>4063859</v>
      </c>
      <c r="D3070" s="2" t="s">
        <v>85</v>
      </c>
      <c r="E3070" s="2" t="s">
        <v>5186</v>
      </c>
      <c r="F3070" s="2" t="s">
        <v>3713</v>
      </c>
      <c r="G3070" s="2" t="s">
        <v>287</v>
      </c>
      <c r="H3070" s="2">
        <v>4800000</v>
      </c>
      <c r="I3070" s="2">
        <v>7.7</v>
      </c>
      <c r="J3070" s="2">
        <f t="shared" si="24"/>
        <v>-736141</v>
      </c>
      <c r="K3070" s="2">
        <f t="shared" si="25"/>
        <v>-1.7230833027293883E-2</v>
      </c>
      <c r="L3070" s="2" t="str">
        <f>IF(ISNUMBER(SEARCH("|",IMDB_Movies!$D3070)),LEFT(IMDB_Movies!$D3070,SEARCH("|",IMDB_Movies!$D3070)-1),IMDB_Movies!$D3070)</f>
        <v>Drama</v>
      </c>
      <c r="V3070" s="2"/>
      <c r="W3070" s="2"/>
    </row>
    <row r="3071" spans="1:23" ht="12.5" x14ac:dyDescent="0.25">
      <c r="A3071" s="2" t="s">
        <v>1268</v>
      </c>
      <c r="B3071" s="2">
        <v>98</v>
      </c>
      <c r="C3071" s="2">
        <v>449558</v>
      </c>
      <c r="D3071" s="2" t="s">
        <v>585</v>
      </c>
      <c r="E3071" s="2" t="s">
        <v>5187</v>
      </c>
      <c r="F3071" s="2" t="s">
        <v>14</v>
      </c>
      <c r="G3071" s="2" t="s">
        <v>22</v>
      </c>
      <c r="H3071" s="2">
        <v>10000000</v>
      </c>
      <c r="I3071" s="2">
        <v>7.6</v>
      </c>
      <c r="J3071" s="2">
        <f t="shared" si="24"/>
        <v>-9550442</v>
      </c>
      <c r="K3071" s="2">
        <f t="shared" si="25"/>
        <v>-1.7250747924277006E-2</v>
      </c>
      <c r="L3071" s="2" t="str">
        <f>IF(ISNUMBER(SEARCH("|",IMDB_Movies!$D3071)),LEFT(IMDB_Movies!$D3071,SEARCH("|",IMDB_Movies!$D3071)-1),IMDB_Movies!$D3071)</f>
        <v>Biography</v>
      </c>
      <c r="V3071" s="2"/>
      <c r="W3071" s="2"/>
    </row>
    <row r="3072" spans="1:23" ht="12.5" x14ac:dyDescent="0.25">
      <c r="A3072" s="2" t="s">
        <v>2378</v>
      </c>
      <c r="B3072" s="2">
        <v>123</v>
      </c>
      <c r="C3072" s="2">
        <v>2122561</v>
      </c>
      <c r="D3072" s="2" t="s">
        <v>600</v>
      </c>
      <c r="E3072" s="2" t="s">
        <v>5188</v>
      </c>
      <c r="F3072" s="2" t="s">
        <v>14</v>
      </c>
      <c r="G3072" s="2" t="s">
        <v>15</v>
      </c>
      <c r="H3072" s="2">
        <v>6000000</v>
      </c>
      <c r="I3072" s="2">
        <v>7.2</v>
      </c>
      <c r="J3072" s="2">
        <f t="shared" si="24"/>
        <v>-3877439</v>
      </c>
      <c r="K3072" s="2">
        <f t="shared" si="25"/>
        <v>-1.7260467133006854E-2</v>
      </c>
      <c r="L3072" s="2" t="str">
        <f>IF(ISNUMBER(SEARCH("|",IMDB_Movies!$D3072)),LEFT(IMDB_Movies!$D3072,SEARCH("|",IMDB_Movies!$D3072)-1),IMDB_Movies!$D3072)</f>
        <v>Comedy</v>
      </c>
      <c r="V3072" s="2"/>
      <c r="W3072" s="2"/>
    </row>
    <row r="3073" spans="1:23" ht="12.5" x14ac:dyDescent="0.25">
      <c r="A3073" s="2" t="s">
        <v>4254</v>
      </c>
      <c r="B3073" s="2">
        <v>110</v>
      </c>
      <c r="C3073" s="2">
        <v>181360000</v>
      </c>
      <c r="D3073" s="2" t="s">
        <v>5189</v>
      </c>
      <c r="E3073" s="2" t="s">
        <v>5190</v>
      </c>
      <c r="F3073" s="2" t="s">
        <v>14</v>
      </c>
      <c r="G3073" s="2" t="s">
        <v>15</v>
      </c>
      <c r="H3073" s="2">
        <v>6000000</v>
      </c>
      <c r="I3073" s="2">
        <v>7.2</v>
      </c>
      <c r="J3073" s="2">
        <f t="shared" si="24"/>
        <v>175360000</v>
      </c>
      <c r="K3073" s="2">
        <f t="shared" si="25"/>
        <v>-1.7281721601314207E-2</v>
      </c>
      <c r="L3073" s="2" t="str">
        <f>IF(ISNUMBER(SEARCH("|",IMDB_Movies!$D3073)),LEFT(IMDB_Movies!$D3073,SEARCH("|",IMDB_Movies!$D3073)-1),IMDB_Movies!$D3073)</f>
        <v>Musical</v>
      </c>
      <c r="V3073" s="2"/>
      <c r="W3073" s="2"/>
    </row>
    <row r="3074" spans="1:23" ht="12.5" x14ac:dyDescent="0.25">
      <c r="A3074" s="2" t="s">
        <v>284</v>
      </c>
      <c r="B3074" s="2">
        <v>120</v>
      </c>
      <c r="C3074" s="2">
        <v>137963328</v>
      </c>
      <c r="D3074" s="2" t="s">
        <v>1175</v>
      </c>
      <c r="E3074" s="2" t="s">
        <v>5191</v>
      </c>
      <c r="F3074" s="2" t="s">
        <v>14</v>
      </c>
      <c r="G3074" s="2" t="s">
        <v>22</v>
      </c>
      <c r="H3074" s="2">
        <v>6000000</v>
      </c>
      <c r="I3074" s="2">
        <v>8.1</v>
      </c>
      <c r="J3074" s="2">
        <f t="shared" si="24"/>
        <v>131963328</v>
      </c>
      <c r="K3074" s="2">
        <f t="shared" si="25"/>
        <v>-1.7483146365826971E-2</v>
      </c>
      <c r="L3074" s="2" t="str">
        <f>IF(ISNUMBER(SEARCH("|",IMDB_Movies!$D3074)),LEFT(IMDB_Movies!$D3074,SEARCH("|",IMDB_Movies!$D3074)-1),IMDB_Movies!$D3074)</f>
        <v>Drama</v>
      </c>
      <c r="V3074" s="2"/>
      <c r="W3074" s="2"/>
    </row>
    <row r="3075" spans="1:23" ht="12.5" x14ac:dyDescent="0.25">
      <c r="A3075" s="2" t="s">
        <v>4879</v>
      </c>
      <c r="B3075" s="2">
        <v>122</v>
      </c>
      <c r="C3075" s="2">
        <v>119078393</v>
      </c>
      <c r="D3075" s="2" t="s">
        <v>5192</v>
      </c>
      <c r="E3075" s="2" t="s">
        <v>5193</v>
      </c>
      <c r="F3075" s="2" t="s">
        <v>14</v>
      </c>
      <c r="G3075" s="2" t="s">
        <v>15</v>
      </c>
      <c r="H3075" s="2">
        <v>6000000</v>
      </c>
      <c r="I3075" s="2">
        <v>7.5</v>
      </c>
      <c r="J3075" s="2">
        <f t="shared" si="24"/>
        <v>113078393</v>
      </c>
      <c r="K3075" s="2">
        <f t="shared" si="25"/>
        <v>-1.7541892362372045E-2</v>
      </c>
      <c r="L3075" s="2" t="str">
        <f>IF(ISNUMBER(SEARCH("|",IMDB_Movies!$D3075)),LEFT(IMDB_Movies!$D3075,SEARCH("|",IMDB_Movies!$D3075)-1),IMDB_Movies!$D3075)</f>
        <v>Documentary</v>
      </c>
      <c r="V3075" s="2"/>
      <c r="W3075" s="2"/>
    </row>
    <row r="3076" spans="1:23" ht="12.5" x14ac:dyDescent="0.25">
      <c r="A3076" s="2" t="s">
        <v>5194</v>
      </c>
      <c r="B3076" s="2">
        <v>110</v>
      </c>
      <c r="C3076" s="2">
        <v>102308900</v>
      </c>
      <c r="D3076" s="2" t="s">
        <v>5195</v>
      </c>
      <c r="E3076" s="2" t="s">
        <v>5196</v>
      </c>
      <c r="F3076" s="2" t="s">
        <v>14</v>
      </c>
      <c r="G3076" s="2" t="s">
        <v>15</v>
      </c>
      <c r="H3076" s="2">
        <v>6000000</v>
      </c>
      <c r="I3076" s="2">
        <v>8.1</v>
      </c>
      <c r="J3076" s="2">
        <f t="shared" si="24"/>
        <v>96308900</v>
      </c>
      <c r="K3076" s="2">
        <f t="shared" si="25"/>
        <v>-1.7556081745622051E-2</v>
      </c>
      <c r="L3076" s="2" t="str">
        <f>IF(ISNUMBER(SEARCH("|",IMDB_Movies!$D3076)),LEFT(IMDB_Movies!$D3076,SEARCH("|",IMDB_Movies!$D3076)-1),IMDB_Movies!$D3076)</f>
        <v>Biography</v>
      </c>
      <c r="V3076" s="2"/>
      <c r="W3076" s="2"/>
    </row>
    <row r="3077" spans="1:23" ht="12.5" x14ac:dyDescent="0.25">
      <c r="A3077" s="2" t="s">
        <v>5197</v>
      </c>
      <c r="B3077" s="2">
        <v>139</v>
      </c>
      <c r="C3077" s="2">
        <v>102300000</v>
      </c>
      <c r="D3077" s="2" t="s">
        <v>5198</v>
      </c>
      <c r="E3077" s="2" t="s">
        <v>5199</v>
      </c>
      <c r="F3077" s="2" t="s">
        <v>14</v>
      </c>
      <c r="G3077" s="2" t="s">
        <v>15</v>
      </c>
      <c r="H3077" s="2">
        <v>6000000</v>
      </c>
      <c r="I3077" s="2">
        <v>7.8</v>
      </c>
      <c r="J3077" s="2">
        <f t="shared" si="24"/>
        <v>96300000</v>
      </c>
      <c r="K3077" s="2">
        <f t="shared" si="25"/>
        <v>-1.7538612216543473E-2</v>
      </c>
      <c r="L3077" s="2" t="str">
        <f>IF(ISNUMBER(SEARCH("|",IMDB_Movies!$D3077)),LEFT(IMDB_Movies!$D3077,SEARCH("|",IMDB_Movies!$D3077)-1),IMDB_Movies!$D3077)</f>
        <v>Comedy</v>
      </c>
      <c r="V3077" s="2"/>
      <c r="W3077" s="2"/>
    </row>
    <row r="3078" spans="1:23" ht="12.5" x14ac:dyDescent="0.25">
      <c r="A3078" s="2" t="s">
        <v>1388</v>
      </c>
      <c r="B3078" s="2">
        <v>124</v>
      </c>
      <c r="C3078" s="2">
        <v>54800000</v>
      </c>
      <c r="D3078" s="2" t="s">
        <v>1180</v>
      </c>
      <c r="E3078" s="2" t="s">
        <v>5200</v>
      </c>
      <c r="F3078" s="2" t="s">
        <v>14</v>
      </c>
      <c r="G3078" s="2" t="s">
        <v>15</v>
      </c>
      <c r="H3078" s="2">
        <v>6000000</v>
      </c>
      <c r="I3078" s="2">
        <v>7.8</v>
      </c>
      <c r="J3078" s="2">
        <f t="shared" si="24"/>
        <v>48800000</v>
      </c>
      <c r="K3078" s="2">
        <f t="shared" si="25"/>
        <v>-1.7522491383412674E-2</v>
      </c>
      <c r="L3078" s="2" t="str">
        <f>IF(ISNUMBER(SEARCH("|",IMDB_Movies!$D3078)),LEFT(IMDB_Movies!$D3078,SEARCH("|",IMDB_Movies!$D3078)-1),IMDB_Movies!$D3078)</f>
        <v>Drama</v>
      </c>
      <c r="V3078" s="2"/>
      <c r="W3078" s="2"/>
    </row>
    <row r="3079" spans="1:23" ht="12.5" x14ac:dyDescent="0.25">
      <c r="A3079" s="2" t="s">
        <v>5201</v>
      </c>
      <c r="B3079" s="2">
        <v>152</v>
      </c>
      <c r="C3079" s="2">
        <v>43650000</v>
      </c>
      <c r="D3079" s="2" t="s">
        <v>5202</v>
      </c>
      <c r="E3079" s="2" t="s">
        <v>5203</v>
      </c>
      <c r="F3079" s="2" t="s">
        <v>14</v>
      </c>
      <c r="G3079" s="2" t="s">
        <v>15</v>
      </c>
      <c r="H3079" s="2">
        <v>6000000</v>
      </c>
      <c r="I3079" s="2">
        <v>7.6</v>
      </c>
      <c r="J3079" s="2">
        <f t="shared" si="24"/>
        <v>37650000</v>
      </c>
      <c r="K3079" s="2">
        <f t="shared" si="25"/>
        <v>-1.7470342519724177E-2</v>
      </c>
      <c r="L3079" s="2" t="str">
        <f>IF(ISNUMBER(SEARCH("|",IMDB_Movies!$D3079)),LEFT(IMDB_Movies!$D3079,SEARCH("|",IMDB_Movies!$D3079)-1),IMDB_Movies!$D3079)</f>
        <v>Crime</v>
      </c>
      <c r="V3079" s="2"/>
      <c r="W3079" s="2"/>
    </row>
    <row r="3080" spans="1:23" ht="12.5" x14ac:dyDescent="0.25">
      <c r="A3080" s="2" t="s">
        <v>1449</v>
      </c>
      <c r="B3080" s="2">
        <v>98</v>
      </c>
      <c r="C3080" s="2">
        <v>39800000</v>
      </c>
      <c r="D3080" s="2" t="s">
        <v>1350</v>
      </c>
      <c r="E3080" s="2" t="s">
        <v>5204</v>
      </c>
      <c r="F3080" s="2" t="s">
        <v>14</v>
      </c>
      <c r="G3080" s="2" t="s">
        <v>15</v>
      </c>
      <c r="H3080" s="2">
        <v>6000000</v>
      </c>
      <c r="I3080" s="2">
        <v>7.4</v>
      </c>
      <c r="J3080" s="2">
        <f t="shared" si="24"/>
        <v>33800000</v>
      </c>
      <c r="K3080" s="2">
        <f t="shared" si="25"/>
        <v>-1.7423493125733464E-2</v>
      </c>
      <c r="L3080" s="2" t="str">
        <f>IF(ISNUMBER(SEARCH("|",IMDB_Movies!$D3080)),LEFT(IMDB_Movies!$D3080,SEARCH("|",IMDB_Movies!$D3080)-1),IMDB_Movies!$D3080)</f>
        <v>Comedy</v>
      </c>
      <c r="V3080" s="2"/>
      <c r="W3080" s="2"/>
    </row>
    <row r="3081" spans="1:23" ht="12.5" x14ac:dyDescent="0.25">
      <c r="A3081" s="2" t="s">
        <v>5205</v>
      </c>
      <c r="B3081" s="2">
        <v>106</v>
      </c>
      <c r="C3081" s="2">
        <v>27457409</v>
      </c>
      <c r="D3081" s="2" t="s">
        <v>891</v>
      </c>
      <c r="E3081" s="2" t="s">
        <v>5206</v>
      </c>
      <c r="F3081" s="2" t="s">
        <v>14</v>
      </c>
      <c r="G3081" s="2" t="s">
        <v>15</v>
      </c>
      <c r="H3081" s="2">
        <v>6000000</v>
      </c>
      <c r="I3081" s="2">
        <v>6.3</v>
      </c>
      <c r="J3081" s="2">
        <f t="shared" si="24"/>
        <v>21457409</v>
      </c>
      <c r="K3081" s="2">
        <f t="shared" si="25"/>
        <v>-1.7379617603631776E-2</v>
      </c>
      <c r="L3081" s="2" t="str">
        <f>IF(ISNUMBER(SEARCH("|",IMDB_Movies!$D3081)),LEFT(IMDB_Movies!$D3081,SEARCH("|",IMDB_Movies!$D3081)-1),IMDB_Movies!$D3081)</f>
        <v>Comedy</v>
      </c>
      <c r="V3081" s="2"/>
      <c r="W3081" s="2"/>
    </row>
    <row r="3082" spans="1:23" ht="12.5" x14ac:dyDescent="0.25">
      <c r="A3082" s="2" t="s">
        <v>4266</v>
      </c>
      <c r="B3082" s="2">
        <v>106</v>
      </c>
      <c r="C3082" s="2">
        <v>25047631</v>
      </c>
      <c r="D3082" s="2" t="s">
        <v>514</v>
      </c>
      <c r="E3082" s="2" t="s">
        <v>5207</v>
      </c>
      <c r="F3082" s="2" t="s">
        <v>14</v>
      </c>
      <c r="G3082" s="2" t="s">
        <v>15</v>
      </c>
      <c r="H3082" s="2">
        <v>6000000</v>
      </c>
      <c r="I3082" s="2">
        <v>6.9</v>
      </c>
      <c r="J3082" s="2">
        <f t="shared" si="24"/>
        <v>19047631</v>
      </c>
      <c r="K3082" s="2">
        <f t="shared" si="25"/>
        <v>-1.7350173484380994E-2</v>
      </c>
      <c r="L3082" s="2" t="str">
        <f>IF(ISNUMBER(SEARCH("|",IMDB_Movies!$D3082)),LEFT(IMDB_Movies!$D3082,SEARCH("|",IMDB_Movies!$D3082)-1),IMDB_Movies!$D3082)</f>
        <v>Comedy</v>
      </c>
      <c r="V3082" s="2"/>
      <c r="W3082" s="2"/>
    </row>
    <row r="3083" spans="1:23" ht="12.5" x14ac:dyDescent="0.25">
      <c r="A3083" s="2" t="s">
        <v>52</v>
      </c>
      <c r="B3083" s="2">
        <v>106</v>
      </c>
      <c r="C3083" s="2">
        <v>23272306</v>
      </c>
      <c r="D3083" s="2" t="s">
        <v>770</v>
      </c>
      <c r="E3083" s="2" t="s">
        <v>5208</v>
      </c>
      <c r="F3083" s="2" t="s">
        <v>14</v>
      </c>
      <c r="G3083" s="2" t="s">
        <v>15</v>
      </c>
      <c r="H3083" s="2">
        <v>6000000</v>
      </c>
      <c r="I3083" s="2">
        <v>8.6</v>
      </c>
      <c r="J3083" s="2">
        <f t="shared" si="24"/>
        <v>17272306</v>
      </c>
      <c r="K3083" s="2">
        <f t="shared" si="25"/>
        <v>-1.7324259735987713E-2</v>
      </c>
      <c r="L3083" s="2" t="str">
        <f>IF(ISNUMBER(SEARCH("|",IMDB_Movies!$D3083)),LEFT(IMDB_Movies!$D3083,SEARCH("|",IMDB_Movies!$D3083)-1),IMDB_Movies!$D3083)</f>
        <v>Crime</v>
      </c>
      <c r="V3083" s="2"/>
      <c r="W3083" s="2"/>
    </row>
    <row r="3084" spans="1:23" ht="12.5" x14ac:dyDescent="0.25">
      <c r="A3084" s="2" t="s">
        <v>957</v>
      </c>
      <c r="B3084" s="2">
        <v>89</v>
      </c>
      <c r="C3084" s="2">
        <v>22168359</v>
      </c>
      <c r="D3084" s="2" t="s">
        <v>5209</v>
      </c>
      <c r="E3084" s="2" t="s">
        <v>5210</v>
      </c>
      <c r="F3084" s="2" t="s">
        <v>14</v>
      </c>
      <c r="G3084" s="2" t="s">
        <v>15</v>
      </c>
      <c r="H3084" s="2">
        <v>8000000</v>
      </c>
      <c r="I3084" s="2">
        <v>5.0999999999999996</v>
      </c>
      <c r="J3084" s="2">
        <f t="shared" si="24"/>
        <v>14168359</v>
      </c>
      <c r="K3084" s="2">
        <f t="shared" si="25"/>
        <v>-1.7301102345120868E-2</v>
      </c>
      <c r="L3084" s="2" t="str">
        <f>IF(ISNUMBER(SEARCH("|",IMDB_Movies!$D3084)),LEFT(IMDB_Movies!$D3084,SEARCH("|",IMDB_Movies!$D3084)-1),IMDB_Movies!$D3084)</f>
        <v>Fantasy</v>
      </c>
      <c r="V3084" s="2"/>
      <c r="W3084" s="2"/>
    </row>
    <row r="3085" spans="1:23" ht="12.5" x14ac:dyDescent="0.25">
      <c r="A3085" s="2" t="s">
        <v>776</v>
      </c>
      <c r="B3085" s="2">
        <v>94</v>
      </c>
      <c r="C3085" s="2">
        <v>21005329</v>
      </c>
      <c r="D3085" s="2" t="s">
        <v>600</v>
      </c>
      <c r="E3085" s="2" t="s">
        <v>5211</v>
      </c>
      <c r="F3085" s="2" t="s">
        <v>14</v>
      </c>
      <c r="G3085" s="2" t="s">
        <v>287</v>
      </c>
      <c r="H3085" s="2">
        <v>6000000</v>
      </c>
      <c r="I3085" s="2">
        <v>6.4</v>
      </c>
      <c r="J3085" s="2">
        <f t="shared" si="24"/>
        <v>15005329</v>
      </c>
      <c r="K3085" s="2">
        <f t="shared" si="25"/>
        <v>-1.7287729152463752E-2</v>
      </c>
      <c r="L3085" s="2" t="str">
        <f>IF(ISNUMBER(SEARCH("|",IMDB_Movies!$D3085)),LEFT(IMDB_Movies!$D3085,SEARCH("|",IMDB_Movies!$D3085)-1),IMDB_Movies!$D3085)</f>
        <v>Comedy</v>
      </c>
      <c r="V3085" s="2"/>
      <c r="W3085" s="2"/>
    </row>
    <row r="3086" spans="1:23" ht="12.5" x14ac:dyDescent="0.25">
      <c r="A3086" s="2" t="s">
        <v>442</v>
      </c>
      <c r="B3086" s="2">
        <v>109</v>
      </c>
      <c r="C3086" s="2">
        <v>26236603</v>
      </c>
      <c r="D3086" s="2" t="s">
        <v>1307</v>
      </c>
      <c r="E3086" s="2" t="s">
        <v>5212</v>
      </c>
      <c r="F3086" s="2" t="s">
        <v>14</v>
      </c>
      <c r="G3086" s="2" t="s">
        <v>15</v>
      </c>
      <c r="H3086" s="2">
        <v>6000000</v>
      </c>
      <c r="I3086" s="2">
        <v>7.9</v>
      </c>
      <c r="J3086" s="2">
        <f t="shared" si="24"/>
        <v>20236603</v>
      </c>
      <c r="K3086" s="2">
        <f t="shared" si="25"/>
        <v>-1.7268278798322913E-2</v>
      </c>
      <c r="L3086" s="2" t="str">
        <f>IF(ISNUMBER(SEARCH("|",IMDB_Movies!$D3086)),LEFT(IMDB_Movies!$D3086,SEARCH("|",IMDB_Movies!$D3086)-1),IMDB_Movies!$D3086)</f>
        <v>Drama</v>
      </c>
      <c r="V3086" s="2"/>
      <c r="W3086" s="2"/>
    </row>
    <row r="3087" spans="1:23" ht="12.5" x14ac:dyDescent="0.25">
      <c r="A3087" s="2" t="s">
        <v>5213</v>
      </c>
      <c r="B3087" s="2">
        <v>144</v>
      </c>
      <c r="C3087" s="2">
        <v>20400000</v>
      </c>
      <c r="D3087" s="2" t="s">
        <v>1389</v>
      </c>
      <c r="E3087" s="2" t="s">
        <v>5214</v>
      </c>
      <c r="F3087" s="2" t="s">
        <v>14</v>
      </c>
      <c r="G3087" s="2" t="s">
        <v>15</v>
      </c>
      <c r="H3087" s="2">
        <v>8000000</v>
      </c>
      <c r="I3087" s="2">
        <v>6.9</v>
      </c>
      <c r="J3087" s="2">
        <f t="shared" si="24"/>
        <v>12400000</v>
      </c>
      <c r="K3087" s="2">
        <f t="shared" si="25"/>
        <v>-1.7240229238515765E-2</v>
      </c>
      <c r="L3087" s="2" t="str">
        <f>IF(ISNUMBER(SEARCH("|",IMDB_Movies!$D3087)),LEFT(IMDB_Movies!$D3087,SEARCH("|",IMDB_Movies!$D3087)-1),IMDB_Movies!$D3087)</f>
        <v>Drama</v>
      </c>
      <c r="V3087" s="2"/>
      <c r="W3087" s="2"/>
    </row>
    <row r="3088" spans="1:23" ht="12.5" x14ac:dyDescent="0.25">
      <c r="A3088" s="2" t="s">
        <v>4518</v>
      </c>
      <c r="B3088" s="2">
        <v>90</v>
      </c>
      <c r="C3088" s="2">
        <v>18621249</v>
      </c>
      <c r="D3088" s="2" t="s">
        <v>709</v>
      </c>
      <c r="E3088" s="2" t="s">
        <v>5215</v>
      </c>
      <c r="F3088" s="2" t="s">
        <v>14</v>
      </c>
      <c r="G3088" s="2" t="s">
        <v>15</v>
      </c>
      <c r="H3088" s="2">
        <v>6000000</v>
      </c>
      <c r="I3088" s="2">
        <v>7.5</v>
      </c>
      <c r="J3088" s="2">
        <f t="shared" si="24"/>
        <v>12621249</v>
      </c>
      <c r="K3088" s="2">
        <f t="shared" si="25"/>
        <v>-1.7228488472449673E-2</v>
      </c>
      <c r="L3088" s="2" t="str">
        <f>IF(ISNUMBER(SEARCH("|",IMDB_Movies!$D3088)),LEFT(IMDB_Movies!$D3088,SEARCH("|",IMDB_Movies!$D3088)-1),IMDB_Movies!$D3088)</f>
        <v>Comedy</v>
      </c>
      <c r="V3088" s="2"/>
      <c r="W3088" s="2"/>
    </row>
    <row r="3089" spans="1:23" ht="12.5" x14ac:dyDescent="0.25">
      <c r="A3089" s="2" t="s">
        <v>1818</v>
      </c>
      <c r="B3089" s="2">
        <v>106</v>
      </c>
      <c r="C3089" s="2">
        <v>25244700</v>
      </c>
      <c r="D3089" s="2" t="s">
        <v>246</v>
      </c>
      <c r="E3089" s="2" t="s">
        <v>5216</v>
      </c>
      <c r="F3089" s="2" t="s">
        <v>14</v>
      </c>
      <c r="G3089" s="2" t="s">
        <v>22</v>
      </c>
      <c r="H3089" s="2">
        <v>6000000</v>
      </c>
      <c r="I3089" s="2">
        <v>7.2</v>
      </c>
      <c r="J3089" s="2">
        <f t="shared" si="24"/>
        <v>19244700</v>
      </c>
      <c r="K3089" s="2">
        <f t="shared" si="25"/>
        <v>-1.7213147106920738E-2</v>
      </c>
      <c r="L3089" s="2" t="str">
        <f>IF(ISNUMBER(SEARCH("|",IMDB_Movies!$D3089)),LEFT(IMDB_Movies!$D3089,SEARCH("|",IMDB_Movies!$D3089)-1),IMDB_Movies!$D3089)</f>
        <v>Action</v>
      </c>
      <c r="V3089" s="2"/>
      <c r="W3089" s="2"/>
    </row>
    <row r="3090" spans="1:23" ht="12.5" x14ac:dyDescent="0.25">
      <c r="A3090" s="2" t="s">
        <v>1725</v>
      </c>
      <c r="B3090" s="2">
        <v>121</v>
      </c>
      <c r="C3090" s="2">
        <v>14545844</v>
      </c>
      <c r="D3090" s="2" t="s">
        <v>5157</v>
      </c>
      <c r="E3090" s="2" t="s">
        <v>5217</v>
      </c>
      <c r="F3090" s="2" t="s">
        <v>14</v>
      </c>
      <c r="G3090" s="2" t="s">
        <v>15</v>
      </c>
      <c r="H3090" s="2">
        <v>6500000</v>
      </c>
      <c r="I3090" s="2">
        <v>5.8</v>
      </c>
      <c r="J3090" s="2">
        <f t="shared" si="24"/>
        <v>8045844</v>
      </c>
      <c r="K3090" s="2">
        <f t="shared" si="25"/>
        <v>-1.718641153143723E-2</v>
      </c>
      <c r="L3090" s="2" t="str">
        <f>IF(ISNUMBER(SEARCH("|",IMDB_Movies!$D3090)),LEFT(IMDB_Movies!$D3090,SEARCH("|",IMDB_Movies!$D3090)-1),IMDB_Movies!$D3090)</f>
        <v>Comedy</v>
      </c>
      <c r="V3090" s="2"/>
      <c r="W3090" s="2"/>
    </row>
    <row r="3091" spans="1:23" ht="12.5" x14ac:dyDescent="0.25">
      <c r="A3091" s="2" t="s">
        <v>5218</v>
      </c>
      <c r="B3091" s="2">
        <v>89</v>
      </c>
      <c r="C3091" s="2">
        <v>13235267</v>
      </c>
      <c r="D3091" s="2" t="s">
        <v>1058</v>
      </c>
      <c r="E3091" s="2" t="s">
        <v>5219</v>
      </c>
      <c r="F3091" s="2" t="s">
        <v>14</v>
      </c>
      <c r="G3091" s="2" t="s">
        <v>15</v>
      </c>
      <c r="H3091" s="2">
        <v>6000000</v>
      </c>
      <c r="I3091" s="2">
        <v>2.9</v>
      </c>
      <c r="J3091" s="2">
        <f t="shared" si="24"/>
        <v>7235267</v>
      </c>
      <c r="K3091" s="2">
        <f t="shared" si="25"/>
        <v>-1.7179531318294198E-2</v>
      </c>
      <c r="L3091" s="2" t="str">
        <f>IF(ISNUMBER(SEARCH("|",IMDB_Movies!$D3091)),LEFT(IMDB_Movies!$D3091,SEARCH("|",IMDB_Movies!$D3091)-1),IMDB_Movies!$D3091)</f>
        <v>Comedy</v>
      </c>
      <c r="V3091" s="2"/>
      <c r="W3091" s="2"/>
    </row>
    <row r="3092" spans="1:23" ht="12.5" x14ac:dyDescent="0.25">
      <c r="A3092" s="2" t="s">
        <v>1456</v>
      </c>
      <c r="B3092" s="2">
        <v>104</v>
      </c>
      <c r="C3092" s="2">
        <v>12793213</v>
      </c>
      <c r="D3092" s="2" t="s">
        <v>514</v>
      </c>
      <c r="E3092" s="2" t="s">
        <v>5220</v>
      </c>
      <c r="F3092" s="2" t="s">
        <v>14</v>
      </c>
      <c r="G3092" s="2" t="s">
        <v>15</v>
      </c>
      <c r="H3092" s="2">
        <v>6000000</v>
      </c>
      <c r="I3092" s="2">
        <v>6.2</v>
      </c>
      <c r="J3092" s="2">
        <f t="shared" si="24"/>
        <v>6793213</v>
      </c>
      <c r="K3092" s="2">
        <f t="shared" si="25"/>
        <v>-1.7174691372440432E-2</v>
      </c>
      <c r="L3092" s="2" t="str">
        <f>IF(ISNUMBER(SEARCH("|",IMDB_Movies!$D3092)),LEFT(IMDB_Movies!$D3092,SEARCH("|",IMDB_Movies!$D3092)-1),IMDB_Movies!$D3092)</f>
        <v>Comedy</v>
      </c>
      <c r="V3092" s="2"/>
      <c r="W3092" s="2"/>
    </row>
    <row r="3093" spans="1:23" ht="12.5" x14ac:dyDescent="0.25">
      <c r="A3093" s="2" t="s">
        <v>1972</v>
      </c>
      <c r="B3093" s="2">
        <v>99</v>
      </c>
      <c r="C3093" s="2">
        <v>11883495</v>
      </c>
      <c r="D3093" s="2" t="s">
        <v>881</v>
      </c>
      <c r="E3093" s="2" t="s">
        <v>5221</v>
      </c>
      <c r="F3093" s="2" t="s">
        <v>14</v>
      </c>
      <c r="G3093" s="2" t="s">
        <v>22</v>
      </c>
      <c r="H3093" s="2">
        <v>9000000</v>
      </c>
      <c r="I3093" s="2">
        <v>6.8</v>
      </c>
      <c r="J3093" s="2">
        <f t="shared" si="24"/>
        <v>2883495</v>
      </c>
      <c r="K3093" s="2">
        <f t="shared" si="25"/>
        <v>-1.7170767907938346E-2</v>
      </c>
      <c r="L3093" s="2" t="str">
        <f>IF(ISNUMBER(SEARCH("|",IMDB_Movies!$D3093)),LEFT(IMDB_Movies!$D3093,SEARCH("|",IMDB_Movies!$D3093)-1),IMDB_Movies!$D3093)</f>
        <v>Comedy</v>
      </c>
      <c r="V3093" s="2"/>
      <c r="W3093" s="2"/>
    </row>
    <row r="3094" spans="1:23" ht="12.5" x14ac:dyDescent="0.25">
      <c r="A3094" s="2" t="s">
        <v>5222</v>
      </c>
      <c r="B3094" s="2">
        <v>98</v>
      </c>
      <c r="C3094" s="2">
        <v>11797927</v>
      </c>
      <c r="D3094" s="2" t="s">
        <v>4081</v>
      </c>
      <c r="E3094" s="2" t="s">
        <v>5223</v>
      </c>
      <c r="F3094" s="2" t="s">
        <v>14</v>
      </c>
      <c r="G3094" s="2" t="s">
        <v>15</v>
      </c>
      <c r="H3094" s="2">
        <v>6000000</v>
      </c>
      <c r="I3094" s="2">
        <v>6.1</v>
      </c>
      <c r="J3094" s="2">
        <f t="shared" si="24"/>
        <v>5797927</v>
      </c>
      <c r="K3094" s="2">
        <f t="shared" si="25"/>
        <v>-1.7169766389593839E-2</v>
      </c>
      <c r="L3094" s="2" t="str">
        <f>IF(ISNUMBER(SEARCH("|",IMDB_Movies!$D3094)),LEFT(IMDB_Movies!$D3094,SEARCH("|",IMDB_Movies!$D3094)-1),IMDB_Movies!$D3094)</f>
        <v>Comedy</v>
      </c>
      <c r="V3094" s="2"/>
      <c r="W3094" s="2"/>
    </row>
    <row r="3095" spans="1:23" ht="12.5" x14ac:dyDescent="0.25">
      <c r="A3095" s="2" t="s">
        <v>5224</v>
      </c>
      <c r="B3095" s="2">
        <v>121</v>
      </c>
      <c r="C3095" s="2">
        <v>17605861</v>
      </c>
      <c r="D3095" s="2" t="s">
        <v>2017</v>
      </c>
      <c r="E3095" s="2" t="s">
        <v>5225</v>
      </c>
      <c r="F3095" s="2" t="s">
        <v>14</v>
      </c>
      <c r="G3095" s="2" t="s">
        <v>22</v>
      </c>
      <c r="H3095" s="2">
        <v>6000000</v>
      </c>
      <c r="I3095" s="2">
        <v>7.7</v>
      </c>
      <c r="J3095" s="2">
        <f t="shared" si="24"/>
        <v>11605861</v>
      </c>
      <c r="K3095" s="2">
        <f t="shared" si="25"/>
        <v>-1.7167956117054413E-2</v>
      </c>
      <c r="L3095" s="2" t="str">
        <f>IF(ISNUMBER(SEARCH("|",IMDB_Movies!$D3095)),LEFT(IMDB_Movies!$D3095,SEARCH("|",IMDB_Movies!$D3095)-1),IMDB_Movies!$D3095)</f>
        <v>Biography</v>
      </c>
      <c r="V3095" s="2"/>
      <c r="W3095" s="2"/>
    </row>
    <row r="3096" spans="1:23" ht="12.5" x14ac:dyDescent="0.25">
      <c r="A3096" s="2" t="s">
        <v>5226</v>
      </c>
      <c r="B3096" s="2">
        <v>96</v>
      </c>
      <c r="C3096" s="2">
        <v>11642254</v>
      </c>
      <c r="D3096" s="2" t="s">
        <v>2228</v>
      </c>
      <c r="E3096" s="2" t="s">
        <v>5227</v>
      </c>
      <c r="F3096" s="2" t="s">
        <v>14</v>
      </c>
      <c r="G3096" s="2" t="s">
        <v>15</v>
      </c>
      <c r="H3096" s="2">
        <v>3000000</v>
      </c>
      <c r="I3096" s="2">
        <v>5.2</v>
      </c>
      <c r="J3096" s="2">
        <f t="shared" si="24"/>
        <v>8642254</v>
      </c>
      <c r="K3096" s="2">
        <f t="shared" si="25"/>
        <v>-1.7154290580546131E-2</v>
      </c>
      <c r="L3096" s="2" t="str">
        <f>IF(ISNUMBER(SEARCH("|",IMDB_Movies!$D3096)),LEFT(IMDB_Movies!$D3096,SEARCH("|",IMDB_Movies!$D3096)-1),IMDB_Movies!$D3096)</f>
        <v>Horror</v>
      </c>
      <c r="V3096" s="2"/>
      <c r="W3096" s="2"/>
    </row>
    <row r="3097" spans="1:23" ht="12.5" x14ac:dyDescent="0.25">
      <c r="A3097" s="2" t="s">
        <v>2991</v>
      </c>
      <c r="B3097" s="2">
        <v>99</v>
      </c>
      <c r="C3097" s="2">
        <v>9203192</v>
      </c>
      <c r="D3097" s="2" t="s">
        <v>3003</v>
      </c>
      <c r="E3097" s="2" t="s">
        <v>5228</v>
      </c>
      <c r="F3097" s="2" t="s">
        <v>14</v>
      </c>
      <c r="G3097" s="2" t="s">
        <v>15</v>
      </c>
      <c r="H3097" s="2">
        <v>5000000</v>
      </c>
      <c r="I3097" s="2">
        <v>6.8</v>
      </c>
      <c r="J3097" s="2">
        <f t="shared" si="24"/>
        <v>4203192</v>
      </c>
      <c r="K3097" s="2">
        <f t="shared" si="25"/>
        <v>-1.7152057090319108E-2</v>
      </c>
      <c r="L3097" s="2" t="str">
        <f>IF(ISNUMBER(SEARCH("|",IMDB_Movies!$D3097)),LEFT(IMDB_Movies!$D3097,SEARCH("|",IMDB_Movies!$D3097)-1),IMDB_Movies!$D3097)</f>
        <v>Comedy</v>
      </c>
      <c r="V3097" s="2"/>
      <c r="W3097" s="2"/>
    </row>
    <row r="3098" spans="1:23" ht="12.5" x14ac:dyDescent="0.25">
      <c r="A3098" s="2" t="s">
        <v>5229</v>
      </c>
      <c r="B3098" s="2">
        <v>42</v>
      </c>
      <c r="C3098" s="2">
        <v>7518876</v>
      </c>
      <c r="D3098" s="2" t="s">
        <v>5230</v>
      </c>
      <c r="E3098" s="2" t="s">
        <v>5231</v>
      </c>
      <c r="F3098" s="2" t="s">
        <v>14</v>
      </c>
      <c r="G3098" s="2" t="s">
        <v>22</v>
      </c>
      <c r="H3098" s="2">
        <v>6000000</v>
      </c>
      <c r="I3098" s="2">
        <v>6.5</v>
      </c>
      <c r="J3098" s="2">
        <f t="shared" si="24"/>
        <v>1518876</v>
      </c>
      <c r="K3098" s="2">
        <f t="shared" si="25"/>
        <v>-1.7156630856572173E-2</v>
      </c>
      <c r="L3098" s="2" t="str">
        <f>IF(ISNUMBER(SEARCH("|",IMDB_Movies!$D3098)),LEFT(IMDB_Movies!$D3098,SEARCH("|",IMDB_Movies!$D3098)-1),IMDB_Movies!$D3098)</f>
        <v>Adventure</v>
      </c>
      <c r="V3098" s="2"/>
      <c r="W3098" s="2"/>
    </row>
    <row r="3099" spans="1:23" ht="12.5" x14ac:dyDescent="0.25">
      <c r="A3099" s="2" t="s">
        <v>5232</v>
      </c>
      <c r="B3099" s="2">
        <v>122</v>
      </c>
      <c r="C3099" s="2">
        <v>8596914</v>
      </c>
      <c r="D3099" s="2" t="s">
        <v>555</v>
      </c>
      <c r="E3099" s="2" t="s">
        <v>5233</v>
      </c>
      <c r="F3099" s="2" t="s">
        <v>14</v>
      </c>
      <c r="G3099" s="2" t="s">
        <v>15</v>
      </c>
      <c r="H3099" s="2">
        <v>6000000</v>
      </c>
      <c r="I3099" s="2">
        <v>7</v>
      </c>
      <c r="J3099" s="2">
        <f t="shared" si="24"/>
        <v>2596914</v>
      </c>
      <c r="K3099" s="2">
        <f t="shared" si="25"/>
        <v>-1.7164493612225395E-2</v>
      </c>
      <c r="L3099" s="2" t="str">
        <f>IF(ISNUMBER(SEARCH("|",IMDB_Movies!$D3099)),LEFT(IMDB_Movies!$D3099,SEARCH("|",IMDB_Movies!$D3099)-1),IMDB_Movies!$D3099)</f>
        <v>Biography</v>
      </c>
      <c r="V3099" s="2"/>
      <c r="W3099" s="2"/>
    </row>
    <row r="3100" spans="1:23" ht="12.5" x14ac:dyDescent="0.25">
      <c r="A3100" s="2" t="s">
        <v>5234</v>
      </c>
      <c r="B3100" s="2">
        <v>101</v>
      </c>
      <c r="C3100" s="2">
        <v>6851636</v>
      </c>
      <c r="D3100" s="2" t="s">
        <v>514</v>
      </c>
      <c r="E3100" s="2" t="s">
        <v>5235</v>
      </c>
      <c r="F3100" s="2" t="s">
        <v>14</v>
      </c>
      <c r="G3100" s="2" t="s">
        <v>15</v>
      </c>
      <c r="H3100" s="2">
        <v>6000000</v>
      </c>
      <c r="I3100" s="2">
        <v>5.9</v>
      </c>
      <c r="J3100" s="2">
        <f t="shared" si="24"/>
        <v>851636</v>
      </c>
      <c r="K3100" s="2">
        <f t="shared" si="25"/>
        <v>-1.7169856422161157E-2</v>
      </c>
      <c r="L3100" s="2" t="str">
        <f>IF(ISNUMBER(SEARCH("|",IMDB_Movies!$D3100)),LEFT(IMDB_Movies!$D3100,SEARCH("|",IMDB_Movies!$D3100)-1),IMDB_Movies!$D3100)</f>
        <v>Comedy</v>
      </c>
      <c r="V3100" s="2"/>
      <c r="W3100" s="2"/>
    </row>
    <row r="3101" spans="1:23" ht="12.5" x14ac:dyDescent="0.25">
      <c r="A3101" s="2" t="s">
        <v>5236</v>
      </c>
      <c r="B3101" s="2">
        <v>102</v>
      </c>
      <c r="C3101" s="2">
        <v>11434867</v>
      </c>
      <c r="D3101" s="2" t="s">
        <v>1137</v>
      </c>
      <c r="E3101" s="2" t="s">
        <v>5237</v>
      </c>
      <c r="F3101" s="2" t="s">
        <v>14</v>
      </c>
      <c r="G3101" s="2" t="s">
        <v>15</v>
      </c>
      <c r="H3101" s="2">
        <v>6000000</v>
      </c>
      <c r="I3101" s="2">
        <v>7.1</v>
      </c>
      <c r="J3101" s="2">
        <f t="shared" si="24"/>
        <v>5434867</v>
      </c>
      <c r="K3101" s="2">
        <f t="shared" si="25"/>
        <v>-1.7179350627546316E-2</v>
      </c>
      <c r="L3101" s="2" t="str">
        <f>IF(ISNUMBER(SEARCH("|",IMDB_Movies!$D3101)),LEFT(IMDB_Movies!$D3101,SEARCH("|",IMDB_Movies!$D3101)-1),IMDB_Movies!$D3101)</f>
        <v>Drama</v>
      </c>
      <c r="V3101" s="2"/>
      <c r="W3101" s="2"/>
    </row>
    <row r="3102" spans="1:23" ht="12.5" x14ac:dyDescent="0.25">
      <c r="A3102" s="2" t="s">
        <v>5238</v>
      </c>
      <c r="B3102" s="2">
        <v>84</v>
      </c>
      <c r="C3102" s="2">
        <v>5895238</v>
      </c>
      <c r="D3102" s="2" t="s">
        <v>2206</v>
      </c>
      <c r="E3102" s="2" t="s">
        <v>5239</v>
      </c>
      <c r="F3102" s="2" t="s">
        <v>971</v>
      </c>
      <c r="G3102" s="2" t="s">
        <v>15</v>
      </c>
      <c r="H3102" s="2">
        <v>6000000</v>
      </c>
      <c r="I3102" s="2">
        <v>5.5</v>
      </c>
      <c r="J3102" s="2">
        <f t="shared" si="24"/>
        <v>-104762</v>
      </c>
      <c r="K3102" s="2">
        <f t="shared" si="25"/>
        <v>-1.7178327858684658E-2</v>
      </c>
      <c r="L3102" s="2" t="str">
        <f>IF(ISNUMBER(SEARCH("|",IMDB_Movies!$D3102)),LEFT(IMDB_Movies!$D3102,SEARCH("|",IMDB_Movies!$D3102)-1),IMDB_Movies!$D3102)</f>
        <v>Comedy</v>
      </c>
      <c r="V3102" s="2"/>
      <c r="W3102" s="2"/>
    </row>
    <row r="3103" spans="1:23" ht="12.5" x14ac:dyDescent="0.25">
      <c r="A3103" s="2" t="s">
        <v>5240</v>
      </c>
      <c r="B3103" s="2">
        <v>104</v>
      </c>
      <c r="C3103" s="2">
        <v>6670712</v>
      </c>
      <c r="D3103" s="2" t="s">
        <v>891</v>
      </c>
      <c r="E3103" s="2" t="s">
        <v>5241</v>
      </c>
      <c r="F3103" s="2" t="s">
        <v>14</v>
      </c>
      <c r="G3103" s="2" t="s">
        <v>15</v>
      </c>
      <c r="H3103" s="2">
        <v>6000000</v>
      </c>
      <c r="I3103" s="2">
        <v>7.4</v>
      </c>
      <c r="J3103" s="2">
        <f t="shared" si="24"/>
        <v>670712</v>
      </c>
      <c r="K3103" s="2">
        <f t="shared" si="25"/>
        <v>-1.7190179414132378E-2</v>
      </c>
      <c r="L3103" s="2" t="str">
        <f>IF(ISNUMBER(SEARCH("|",IMDB_Movies!$D3103)),LEFT(IMDB_Movies!$D3103,SEARCH("|",IMDB_Movies!$D3103)-1),IMDB_Movies!$D3103)</f>
        <v>Comedy</v>
      </c>
      <c r="V3103" s="2"/>
      <c r="W3103" s="2"/>
    </row>
    <row r="3104" spans="1:23" ht="12.5" x14ac:dyDescent="0.25">
      <c r="A3104" s="2" t="s">
        <v>5242</v>
      </c>
      <c r="B3104" s="2">
        <v>96</v>
      </c>
      <c r="C3104" s="2">
        <v>5359774</v>
      </c>
      <c r="D3104" s="2" t="s">
        <v>2009</v>
      </c>
      <c r="E3104" s="2" t="s">
        <v>5243</v>
      </c>
      <c r="F3104" s="2" t="s">
        <v>14</v>
      </c>
      <c r="G3104" s="2" t="s">
        <v>2637</v>
      </c>
      <c r="H3104" s="2">
        <v>6000000</v>
      </c>
      <c r="I3104" s="2">
        <v>7.3</v>
      </c>
      <c r="J3104" s="2">
        <f t="shared" si="24"/>
        <v>-640226</v>
      </c>
      <c r="K3104" s="2">
        <f t="shared" si="25"/>
        <v>-1.7200181367236427E-2</v>
      </c>
      <c r="L3104" s="2" t="str">
        <f>IF(ISNUMBER(SEARCH("|",IMDB_Movies!$D3104)),LEFT(IMDB_Movies!$D3104,SEARCH("|",IMDB_Movies!$D3104)-1),IMDB_Movies!$D3104)</f>
        <v>Comedy</v>
      </c>
      <c r="V3104" s="2"/>
      <c r="W3104" s="2"/>
    </row>
    <row r="3105" spans="1:23" ht="12.5" x14ac:dyDescent="0.25">
      <c r="A3105" s="2" t="s">
        <v>5244</v>
      </c>
      <c r="B3105" s="2">
        <v>94</v>
      </c>
      <c r="C3105" s="2">
        <v>4693919</v>
      </c>
      <c r="D3105" s="2" t="s">
        <v>709</v>
      </c>
      <c r="E3105" s="2" t="s">
        <v>5245</v>
      </c>
      <c r="F3105" s="2" t="s">
        <v>14</v>
      </c>
      <c r="G3105" s="2" t="s">
        <v>15</v>
      </c>
      <c r="H3105" s="2">
        <v>6500000</v>
      </c>
      <c r="I3105" s="2">
        <v>4.5999999999999996</v>
      </c>
      <c r="J3105" s="2">
        <f t="shared" si="24"/>
        <v>-1806081</v>
      </c>
      <c r="K3105" s="2">
        <f t="shared" si="25"/>
        <v>-1.7213419801300586E-2</v>
      </c>
      <c r="L3105" s="2" t="str">
        <f>IF(ISNUMBER(SEARCH("|",IMDB_Movies!$D3105)),LEFT(IMDB_Movies!$D3105,SEARCH("|",IMDB_Movies!$D3105)-1),IMDB_Movies!$D3105)</f>
        <v>Comedy</v>
      </c>
      <c r="V3105" s="2"/>
      <c r="W3105" s="2"/>
    </row>
    <row r="3106" spans="1:23" ht="12.5" x14ac:dyDescent="0.25">
      <c r="A3106" s="2" t="s">
        <v>2243</v>
      </c>
      <c r="B3106" s="2">
        <v>90</v>
      </c>
      <c r="C3106" s="2">
        <v>4859475</v>
      </c>
      <c r="D3106" s="2" t="s">
        <v>85</v>
      </c>
      <c r="E3106" s="2" t="s">
        <v>5246</v>
      </c>
      <c r="F3106" s="2" t="s">
        <v>14</v>
      </c>
      <c r="G3106" s="2" t="s">
        <v>15</v>
      </c>
      <c r="H3106" s="2">
        <v>6000000</v>
      </c>
      <c r="I3106" s="2">
        <v>7.2</v>
      </c>
      <c r="J3106" s="2">
        <f t="shared" si="24"/>
        <v>-1140525</v>
      </c>
      <c r="K3106" s="2">
        <f t="shared" si="25"/>
        <v>-1.7227216152542853E-2</v>
      </c>
      <c r="L3106" s="2" t="str">
        <f>IF(ISNUMBER(SEARCH("|",IMDB_Movies!$D3106)),LEFT(IMDB_Movies!$D3106,SEARCH("|",IMDB_Movies!$D3106)-1),IMDB_Movies!$D3106)</f>
        <v>Drama</v>
      </c>
      <c r="V3106" s="2"/>
      <c r="W3106" s="2"/>
    </row>
    <row r="3107" spans="1:23" ht="12.5" x14ac:dyDescent="0.25">
      <c r="A3107" s="2" t="s">
        <v>5247</v>
      </c>
      <c r="B3107" s="2">
        <v>90</v>
      </c>
      <c r="C3107" s="2">
        <v>4542775</v>
      </c>
      <c r="D3107" s="2" t="s">
        <v>600</v>
      </c>
      <c r="E3107" s="2" t="s">
        <v>5248</v>
      </c>
      <c r="F3107" s="2" t="s">
        <v>14</v>
      </c>
      <c r="G3107" s="2" t="s">
        <v>15</v>
      </c>
      <c r="H3107" s="2">
        <v>6000000</v>
      </c>
      <c r="I3107" s="2">
        <v>5.0999999999999996</v>
      </c>
      <c r="J3107" s="2">
        <f t="shared" si="24"/>
        <v>-1457225</v>
      </c>
      <c r="K3107" s="2">
        <f t="shared" si="25"/>
        <v>-1.7241782872404628E-2</v>
      </c>
      <c r="L3107" s="2" t="str">
        <f>IF(ISNUMBER(SEARCH("|",IMDB_Movies!$D3107)),LEFT(IMDB_Movies!$D3107,SEARCH("|",IMDB_Movies!$D3107)-1),IMDB_Movies!$D3107)</f>
        <v>Comedy</v>
      </c>
      <c r="V3107" s="2"/>
      <c r="W3107" s="2"/>
    </row>
    <row r="3108" spans="1:23" ht="12.5" x14ac:dyDescent="0.25">
      <c r="A3108" s="2" t="s">
        <v>5249</v>
      </c>
      <c r="B3108" s="2">
        <v>106</v>
      </c>
      <c r="C3108" s="2">
        <v>3588432</v>
      </c>
      <c r="D3108" s="2" t="s">
        <v>891</v>
      </c>
      <c r="E3108" s="2" t="s">
        <v>5250</v>
      </c>
      <c r="F3108" s="2" t="s">
        <v>14</v>
      </c>
      <c r="G3108" s="2" t="s">
        <v>15</v>
      </c>
      <c r="H3108" s="2">
        <v>6000000</v>
      </c>
      <c r="I3108" s="2">
        <v>6.7</v>
      </c>
      <c r="J3108" s="2">
        <f t="shared" si="24"/>
        <v>-2411568</v>
      </c>
      <c r="K3108" s="2">
        <f t="shared" si="25"/>
        <v>-1.725719024093527E-2</v>
      </c>
      <c r="L3108" s="2" t="str">
        <f>IF(ISNUMBER(SEARCH("|",IMDB_Movies!$D3108)),LEFT(IMDB_Movies!$D3108,SEARCH("|",IMDB_Movies!$D3108)-1),IMDB_Movies!$D3108)</f>
        <v>Comedy</v>
      </c>
      <c r="V3108" s="2"/>
      <c r="W3108" s="2"/>
    </row>
    <row r="3109" spans="1:23" ht="12.5" x14ac:dyDescent="0.25">
      <c r="A3109" s="2" t="s">
        <v>5251</v>
      </c>
      <c r="B3109" s="2">
        <v>96</v>
      </c>
      <c r="C3109" s="2">
        <v>4394936</v>
      </c>
      <c r="D3109" s="2" t="s">
        <v>881</v>
      </c>
      <c r="E3109" s="2" t="s">
        <v>5252</v>
      </c>
      <c r="F3109" s="2" t="s">
        <v>14</v>
      </c>
      <c r="G3109" s="2" t="s">
        <v>287</v>
      </c>
      <c r="H3109" s="2">
        <v>6000000</v>
      </c>
      <c r="I3109" s="2">
        <v>5.3</v>
      </c>
      <c r="J3109" s="2">
        <f t="shared" si="24"/>
        <v>-1605064</v>
      </c>
      <c r="K3109" s="2">
        <f t="shared" si="25"/>
        <v>-1.7275074627821473E-2</v>
      </c>
      <c r="L3109" s="2" t="str">
        <f>IF(ISNUMBER(SEARCH("|",IMDB_Movies!$D3109)),LEFT(IMDB_Movies!$D3109,SEARCH("|",IMDB_Movies!$D3109)-1),IMDB_Movies!$D3109)</f>
        <v>Comedy</v>
      </c>
      <c r="V3109" s="2"/>
      <c r="W3109" s="2"/>
    </row>
    <row r="3110" spans="1:23" ht="12.5" x14ac:dyDescent="0.25">
      <c r="A3110" s="2" t="s">
        <v>5253</v>
      </c>
      <c r="B3110" s="2">
        <v>95</v>
      </c>
      <c r="C3110" s="2">
        <v>3029081</v>
      </c>
      <c r="D3110" s="2" t="s">
        <v>5254</v>
      </c>
      <c r="E3110" s="2" t="s">
        <v>5255</v>
      </c>
      <c r="F3110" s="2" t="s">
        <v>14</v>
      </c>
      <c r="G3110" s="2" t="s">
        <v>15</v>
      </c>
      <c r="H3110" s="2">
        <v>6000000</v>
      </c>
      <c r="I3110" s="2">
        <v>7.8</v>
      </c>
      <c r="J3110" s="2">
        <f t="shared" si="24"/>
        <v>-2970919</v>
      </c>
      <c r="K3110" s="2">
        <f t="shared" si="25"/>
        <v>-1.7290954798917763E-2</v>
      </c>
      <c r="L3110" s="2" t="str">
        <f>IF(ISNUMBER(SEARCH("|",IMDB_Movies!$D3110)),LEFT(IMDB_Movies!$D3110,SEARCH("|",IMDB_Movies!$D3110)-1),IMDB_Movies!$D3110)</f>
        <v>Comedy</v>
      </c>
      <c r="V3110" s="2"/>
      <c r="W3110" s="2"/>
    </row>
    <row r="3111" spans="1:23" ht="12.5" x14ac:dyDescent="0.25">
      <c r="A3111" s="2" t="s">
        <v>3967</v>
      </c>
      <c r="B3111" s="2">
        <v>99</v>
      </c>
      <c r="C3111" s="2">
        <v>3273588</v>
      </c>
      <c r="D3111" s="2" t="s">
        <v>290</v>
      </c>
      <c r="E3111" s="2" t="s">
        <v>5256</v>
      </c>
      <c r="F3111" s="2" t="s">
        <v>14</v>
      </c>
      <c r="G3111" s="2" t="s">
        <v>15</v>
      </c>
      <c r="H3111" s="2">
        <v>6000000</v>
      </c>
      <c r="I3111" s="2">
        <v>6.7</v>
      </c>
      <c r="J3111" s="2">
        <f t="shared" si="24"/>
        <v>-2726412</v>
      </c>
      <c r="K3111" s="2">
        <f t="shared" si="25"/>
        <v>-1.731039401079297E-2</v>
      </c>
      <c r="L3111" s="2" t="str">
        <f>IF(ISNUMBER(SEARCH("|",IMDB_Movies!$D3111)),LEFT(IMDB_Movies!$D3111,SEARCH("|",IMDB_Movies!$D3111)-1),IMDB_Movies!$D3111)</f>
        <v>Action</v>
      </c>
      <c r="V3111" s="2"/>
      <c r="W3111" s="2"/>
    </row>
    <row r="3112" spans="1:23" ht="12.5" x14ac:dyDescent="0.25">
      <c r="A3112" s="2" t="s">
        <v>5257</v>
      </c>
      <c r="B3112" s="2">
        <v>99</v>
      </c>
      <c r="C3112" s="2">
        <v>2207975</v>
      </c>
      <c r="D3112" s="2" t="s">
        <v>2182</v>
      </c>
      <c r="E3112" s="2" t="s">
        <v>5258</v>
      </c>
      <c r="F3112" s="2" t="s">
        <v>14</v>
      </c>
      <c r="G3112" s="2" t="s">
        <v>15</v>
      </c>
      <c r="H3112" s="2">
        <v>6000000</v>
      </c>
      <c r="I3112" s="2">
        <v>7.2</v>
      </c>
      <c r="J3112" s="2">
        <f t="shared" si="24"/>
        <v>-3792025</v>
      </c>
      <c r="K3112" s="2">
        <f t="shared" si="25"/>
        <v>-1.7329258579169598E-2</v>
      </c>
      <c r="L3112" s="2" t="str">
        <f>IF(ISNUMBER(SEARCH("|",IMDB_Movies!$D3112)),LEFT(IMDB_Movies!$D3112,SEARCH("|",IMDB_Movies!$D3112)-1),IMDB_Movies!$D3112)</f>
        <v>Drama</v>
      </c>
      <c r="V3112" s="2"/>
      <c r="W3112" s="2"/>
    </row>
    <row r="3113" spans="1:23" ht="12.5" x14ac:dyDescent="0.25">
      <c r="A3113" s="2" t="s">
        <v>5259</v>
      </c>
      <c r="B3113" s="2">
        <v>95</v>
      </c>
      <c r="C3113" s="2">
        <v>2025238</v>
      </c>
      <c r="D3113" s="2" t="s">
        <v>1802</v>
      </c>
      <c r="E3113" s="2" t="s">
        <v>5260</v>
      </c>
      <c r="F3113" s="2" t="s">
        <v>14</v>
      </c>
      <c r="G3113" s="2" t="s">
        <v>15</v>
      </c>
      <c r="H3113" s="2">
        <v>6000000</v>
      </c>
      <c r="I3113" s="2">
        <v>5.8</v>
      </c>
      <c r="J3113" s="2">
        <f t="shared" si="24"/>
        <v>-3974762</v>
      </c>
      <c r="K3113" s="2">
        <f t="shared" si="25"/>
        <v>-1.7350975205535607E-2</v>
      </c>
      <c r="L3113" s="2" t="str">
        <f>IF(ISNUMBER(SEARCH("|",IMDB_Movies!$D3113)),LEFT(IMDB_Movies!$D3113,SEARCH("|",IMDB_Movies!$D3113)-1),IMDB_Movies!$D3113)</f>
        <v>Comedy</v>
      </c>
      <c r="V3113" s="2"/>
      <c r="W3113" s="2"/>
    </row>
    <row r="3114" spans="1:23" ht="12.5" x14ac:dyDescent="0.25">
      <c r="A3114" s="2" t="s">
        <v>2713</v>
      </c>
      <c r="B3114" s="2">
        <v>99</v>
      </c>
      <c r="C3114" s="2">
        <v>2077046</v>
      </c>
      <c r="D3114" s="2" t="s">
        <v>514</v>
      </c>
      <c r="E3114" s="2" t="s">
        <v>5261</v>
      </c>
      <c r="F3114" s="2" t="s">
        <v>14</v>
      </c>
      <c r="G3114" s="2" t="s">
        <v>15</v>
      </c>
      <c r="H3114" s="2">
        <v>6000000</v>
      </c>
      <c r="I3114" s="2">
        <v>7</v>
      </c>
      <c r="J3114" s="2">
        <f t="shared" si="24"/>
        <v>-3922954</v>
      </c>
      <c r="K3114" s="2">
        <f t="shared" si="25"/>
        <v>-1.7373245577103423E-2</v>
      </c>
      <c r="L3114" s="2" t="str">
        <f>IF(ISNUMBER(SEARCH("|",IMDB_Movies!$D3114)),LEFT(IMDB_Movies!$D3114,SEARCH("|",IMDB_Movies!$D3114)-1),IMDB_Movies!$D3114)</f>
        <v>Comedy</v>
      </c>
      <c r="V3114" s="2"/>
      <c r="W3114" s="2"/>
    </row>
    <row r="3115" spans="1:23" ht="12.5" x14ac:dyDescent="0.25">
      <c r="A3115" s="2" t="s">
        <v>5262</v>
      </c>
      <c r="B3115" s="2">
        <v>107</v>
      </c>
      <c r="C3115" s="2">
        <v>869325</v>
      </c>
      <c r="D3115" s="2" t="s">
        <v>12</v>
      </c>
      <c r="E3115" s="2" t="s">
        <v>5263</v>
      </c>
      <c r="F3115" s="2" t="s">
        <v>14</v>
      </c>
      <c r="G3115" s="2" t="s">
        <v>15</v>
      </c>
      <c r="H3115" s="2">
        <v>6000000</v>
      </c>
      <c r="I3115" s="2">
        <v>3.8</v>
      </c>
      <c r="J3115" s="2">
        <f t="shared" si="24"/>
        <v>-5130675</v>
      </c>
      <c r="K3115" s="2">
        <f t="shared" si="25"/>
        <v>-1.7395449095394568E-2</v>
      </c>
      <c r="L3115" s="2" t="str">
        <f>IF(ISNUMBER(SEARCH("|",IMDB_Movies!$D3115)),LEFT(IMDB_Movies!$D3115,SEARCH("|",IMDB_Movies!$D3115)-1),IMDB_Movies!$D3115)</f>
        <v>Action</v>
      </c>
      <c r="V3115" s="2"/>
      <c r="W3115" s="2"/>
    </row>
    <row r="3116" spans="1:23" ht="12.5" x14ac:dyDescent="0.25">
      <c r="A3116" s="2" t="s">
        <v>5264</v>
      </c>
      <c r="B3116" s="2">
        <v>90</v>
      </c>
      <c r="C3116" s="2">
        <v>399611</v>
      </c>
      <c r="D3116" s="2" t="s">
        <v>585</v>
      </c>
      <c r="E3116" s="2" t="s">
        <v>5265</v>
      </c>
      <c r="F3116" s="2" t="s">
        <v>14</v>
      </c>
      <c r="G3116" s="2" t="s">
        <v>15</v>
      </c>
      <c r="H3116" s="2">
        <v>6000000</v>
      </c>
      <c r="I3116" s="2">
        <v>5.7</v>
      </c>
      <c r="J3116" s="2">
        <f t="shared" si="24"/>
        <v>-5600389</v>
      </c>
      <c r="K3116" s="2">
        <f t="shared" si="25"/>
        <v>-1.7420973180661783E-2</v>
      </c>
      <c r="L3116" s="2" t="str">
        <f>IF(ISNUMBER(SEARCH("|",IMDB_Movies!$D3116)),LEFT(IMDB_Movies!$D3116,SEARCH("|",IMDB_Movies!$D3116)-1),IMDB_Movies!$D3116)</f>
        <v>Biography</v>
      </c>
      <c r="V3116" s="2"/>
      <c r="W3116" s="2"/>
    </row>
    <row r="3117" spans="1:23" ht="12.5" x14ac:dyDescent="0.25">
      <c r="A3117" s="2" t="s">
        <v>3562</v>
      </c>
      <c r="B3117" s="2">
        <v>96</v>
      </c>
      <c r="C3117" s="2">
        <v>115862</v>
      </c>
      <c r="D3117" s="2" t="s">
        <v>85</v>
      </c>
      <c r="E3117" s="2" t="s">
        <v>5266</v>
      </c>
      <c r="F3117" s="2" t="s">
        <v>14</v>
      </c>
      <c r="G3117" s="2" t="s">
        <v>15</v>
      </c>
      <c r="H3117" s="2">
        <v>6000000</v>
      </c>
      <c r="I3117" s="2">
        <v>6.7</v>
      </c>
      <c r="J3117" s="2">
        <f t="shared" si="24"/>
        <v>-5884138</v>
      </c>
      <c r="K3117" s="2">
        <f t="shared" si="25"/>
        <v>-1.7447863989702141E-2</v>
      </c>
      <c r="L3117" s="2" t="str">
        <f>IF(ISNUMBER(SEARCH("|",IMDB_Movies!$D3117)),LEFT(IMDB_Movies!$D3117,SEARCH("|",IMDB_Movies!$D3117)-1),IMDB_Movies!$D3117)</f>
        <v>Drama</v>
      </c>
      <c r="V3117" s="2"/>
      <c r="W3117" s="2"/>
    </row>
    <row r="3118" spans="1:23" ht="12.5" x14ac:dyDescent="0.25">
      <c r="A3118" s="2" t="s">
        <v>1579</v>
      </c>
      <c r="B3118" s="2">
        <v>104</v>
      </c>
      <c r="C3118" s="2">
        <v>1346503</v>
      </c>
      <c r="D3118" s="2" t="s">
        <v>2182</v>
      </c>
      <c r="E3118" s="2" t="s">
        <v>5267</v>
      </c>
      <c r="F3118" s="2" t="s">
        <v>14</v>
      </c>
      <c r="G3118" s="2" t="s">
        <v>331</v>
      </c>
      <c r="H3118" s="2">
        <v>6000000</v>
      </c>
      <c r="I3118" s="2">
        <v>6.1</v>
      </c>
      <c r="J3118" s="2">
        <f t="shared" si="24"/>
        <v>-4653497</v>
      </c>
      <c r="K3118" s="2">
        <f t="shared" si="25"/>
        <v>-1.7475624843901007E-2</v>
      </c>
      <c r="L3118" s="2" t="str">
        <f>IF(ISNUMBER(SEARCH("|",IMDB_Movies!$D3118)),LEFT(IMDB_Movies!$D3118,SEARCH("|",IMDB_Movies!$D3118)-1),IMDB_Movies!$D3118)</f>
        <v>Drama</v>
      </c>
      <c r="V3118" s="2"/>
      <c r="W3118" s="2"/>
    </row>
    <row r="3119" spans="1:23" ht="12.5" x14ac:dyDescent="0.25">
      <c r="A3119" s="2" t="s">
        <v>5268</v>
      </c>
      <c r="B3119" s="2">
        <v>97</v>
      </c>
      <c r="C3119" s="2">
        <v>117560</v>
      </c>
      <c r="D3119" s="2" t="s">
        <v>85</v>
      </c>
      <c r="E3119" s="2" t="s">
        <v>5269</v>
      </c>
      <c r="F3119" s="2" t="s">
        <v>14</v>
      </c>
      <c r="G3119" s="2" t="s">
        <v>15</v>
      </c>
      <c r="H3119" s="2">
        <v>6000000</v>
      </c>
      <c r="I3119" s="2">
        <v>6.2</v>
      </c>
      <c r="J3119" s="2">
        <f t="shared" si="24"/>
        <v>-5882440</v>
      </c>
      <c r="K3119" s="2">
        <f t="shared" si="25"/>
        <v>-1.750010686386012E-2</v>
      </c>
      <c r="L3119" s="2" t="str">
        <f>IF(ISNUMBER(SEARCH("|",IMDB_Movies!$D3119)),LEFT(IMDB_Movies!$D3119,SEARCH("|",IMDB_Movies!$D3119)-1),IMDB_Movies!$D3119)</f>
        <v>Drama</v>
      </c>
      <c r="V3119" s="2"/>
      <c r="W3119" s="2"/>
    </row>
    <row r="3120" spans="1:23" ht="12.5" x14ac:dyDescent="0.25">
      <c r="A3120" s="2" t="s">
        <v>4183</v>
      </c>
      <c r="B3120" s="2">
        <v>107</v>
      </c>
      <c r="C3120" s="2">
        <v>54606</v>
      </c>
      <c r="D3120" s="2" t="s">
        <v>1464</v>
      </c>
      <c r="E3120" s="2" t="s">
        <v>5270</v>
      </c>
      <c r="F3120" s="2" t="s">
        <v>14</v>
      </c>
      <c r="G3120" s="2" t="s">
        <v>22</v>
      </c>
      <c r="H3120" s="2">
        <v>6000000</v>
      </c>
      <c r="I3120" s="2">
        <v>6.2</v>
      </c>
      <c r="J3120" s="2">
        <f t="shared" si="24"/>
        <v>-5945394</v>
      </c>
      <c r="K3120" s="2">
        <f t="shared" si="25"/>
        <v>-1.7528040734430587E-2</v>
      </c>
      <c r="L3120" s="2" t="str">
        <f>IF(ISNUMBER(SEARCH("|",IMDB_Movies!$D3120)),LEFT(IMDB_Movies!$D3120,SEARCH("|",IMDB_Movies!$D3120)-1),IMDB_Movies!$D3120)</f>
        <v>Comedy</v>
      </c>
      <c r="V3120" s="2"/>
      <c r="W3120" s="2"/>
    </row>
    <row r="3121" spans="1:23" ht="12.5" x14ac:dyDescent="0.25">
      <c r="A3121" s="2" t="s">
        <v>5271</v>
      </c>
      <c r="B3121" s="2">
        <v>85</v>
      </c>
      <c r="C3121" s="2">
        <v>36497</v>
      </c>
      <c r="D3121" s="2" t="s">
        <v>709</v>
      </c>
      <c r="E3121" s="2" t="s">
        <v>5272</v>
      </c>
      <c r="F3121" s="2" t="s">
        <v>14</v>
      </c>
      <c r="G3121" s="2" t="s">
        <v>15</v>
      </c>
      <c r="H3121" s="2">
        <v>6000000</v>
      </c>
      <c r="I3121" s="2">
        <v>4.7</v>
      </c>
      <c r="J3121" s="2">
        <f t="shared" si="24"/>
        <v>-5963503</v>
      </c>
      <c r="K3121" s="2">
        <f t="shared" si="25"/>
        <v>-1.755624230273967E-2</v>
      </c>
      <c r="L3121" s="2" t="str">
        <f>IF(ISNUMBER(SEARCH("|",IMDB_Movies!$D3121)),LEFT(IMDB_Movies!$D3121,SEARCH("|",IMDB_Movies!$D3121)-1),IMDB_Movies!$D3121)</f>
        <v>Comedy</v>
      </c>
      <c r="V3121" s="2"/>
      <c r="W3121" s="2"/>
    </row>
    <row r="3122" spans="1:23" ht="12.5" x14ac:dyDescent="0.25">
      <c r="A3122" s="2" t="s">
        <v>4227</v>
      </c>
      <c r="B3122" s="2">
        <v>95</v>
      </c>
      <c r="C3122" s="2">
        <v>65804</v>
      </c>
      <c r="D3122" s="2" t="s">
        <v>763</v>
      </c>
      <c r="E3122" s="2" t="s">
        <v>5273</v>
      </c>
      <c r="F3122" s="2" t="s">
        <v>14</v>
      </c>
      <c r="G3122" s="2" t="s">
        <v>15</v>
      </c>
      <c r="H3122" s="2">
        <v>12000000</v>
      </c>
      <c r="I3122" s="2">
        <v>6.3</v>
      </c>
      <c r="J3122" s="2">
        <f t="shared" si="24"/>
        <v>-11934196</v>
      </c>
      <c r="K3122" s="2">
        <f t="shared" si="25"/>
        <v>-1.7584588273217273E-2</v>
      </c>
      <c r="L3122" s="2" t="str">
        <f>IF(ISNUMBER(SEARCH("|",IMDB_Movies!$D3122)),LEFT(IMDB_Movies!$D3122,SEARCH("|",IMDB_Movies!$D3122)-1),IMDB_Movies!$D3122)</f>
        <v>Crime</v>
      </c>
      <c r="V3122" s="2"/>
      <c r="W3122" s="2"/>
    </row>
    <row r="3123" spans="1:23" ht="12.5" x14ac:dyDescent="0.25">
      <c r="A3123" s="2" t="s">
        <v>5274</v>
      </c>
      <c r="B3123" s="2">
        <v>111</v>
      </c>
      <c r="C3123" s="2">
        <v>3895664</v>
      </c>
      <c r="D3123" s="2" t="s">
        <v>891</v>
      </c>
      <c r="E3123" s="2" t="s">
        <v>5275</v>
      </c>
      <c r="F3123" s="2" t="s">
        <v>1006</v>
      </c>
      <c r="G3123" s="2" t="s">
        <v>686</v>
      </c>
      <c r="H3123" s="2">
        <v>5300000</v>
      </c>
      <c r="I3123" s="2">
        <v>7.3</v>
      </c>
      <c r="J3123" s="2">
        <f t="shared" si="24"/>
        <v>-1404336</v>
      </c>
      <c r="K3123" s="2">
        <f t="shared" si="25"/>
        <v>-1.7588672936002178E-2</v>
      </c>
      <c r="L3123" s="2" t="str">
        <f>IF(ISNUMBER(SEARCH("|",IMDB_Movies!$D3123)),LEFT(IMDB_Movies!$D3123,SEARCH("|",IMDB_Movies!$D3123)-1),IMDB_Movies!$D3123)</f>
        <v>Comedy</v>
      </c>
      <c r="V3123" s="2"/>
      <c r="W3123" s="2"/>
    </row>
    <row r="3124" spans="1:23" ht="12.5" x14ac:dyDescent="0.25">
      <c r="A3124" s="2" t="s">
        <v>5276</v>
      </c>
      <c r="B3124" s="2">
        <v>86</v>
      </c>
      <c r="C3124" s="2">
        <v>20200</v>
      </c>
      <c r="D3124" s="2" t="s">
        <v>2082</v>
      </c>
      <c r="E3124" s="2" t="s">
        <v>5277</v>
      </c>
      <c r="F3124" s="2" t="s">
        <v>14</v>
      </c>
      <c r="G3124" s="2" t="s">
        <v>15</v>
      </c>
      <c r="H3124" s="2">
        <v>6000000</v>
      </c>
      <c r="I3124" s="2">
        <v>5.8</v>
      </c>
      <c r="J3124" s="2">
        <f t="shared" si="24"/>
        <v>-5979800</v>
      </c>
      <c r="K3124" s="2">
        <f t="shared" si="25"/>
        <v>-1.7608586757107809E-2</v>
      </c>
      <c r="L3124" s="2" t="str">
        <f>IF(ISNUMBER(SEARCH("|",IMDB_Movies!$D3124)),LEFT(IMDB_Movies!$D3124,SEARCH("|",IMDB_Movies!$D3124)-1),IMDB_Movies!$D3124)</f>
        <v>Drama</v>
      </c>
      <c r="V3124" s="2"/>
      <c r="W3124" s="2"/>
    </row>
    <row r="3125" spans="1:23" ht="12.5" x14ac:dyDescent="0.25">
      <c r="A3125" s="2" t="s">
        <v>5278</v>
      </c>
      <c r="B3125" s="2">
        <v>103</v>
      </c>
      <c r="C3125" s="2">
        <v>542860</v>
      </c>
      <c r="D3125" s="2" t="s">
        <v>706</v>
      </c>
      <c r="E3125" s="2" t="s">
        <v>5279</v>
      </c>
      <c r="F3125" s="2" t="s">
        <v>3392</v>
      </c>
      <c r="G3125" s="2" t="s">
        <v>3393</v>
      </c>
      <c r="H3125" s="2">
        <v>4000000</v>
      </c>
      <c r="I3125" s="2">
        <v>7.1</v>
      </c>
      <c r="J3125" s="2">
        <f t="shared" si="24"/>
        <v>-3457140</v>
      </c>
      <c r="K3125" s="2">
        <f t="shared" si="25"/>
        <v>-1.7637206675583189E-2</v>
      </c>
      <c r="L3125" s="2" t="str">
        <f>IF(ISNUMBER(SEARCH("|",IMDB_Movies!$D3125)),LEFT(IMDB_Movies!$D3125,SEARCH("|",IMDB_Movies!$D3125)-1),IMDB_Movies!$D3125)</f>
        <v>Drama</v>
      </c>
      <c r="V3125" s="2"/>
      <c r="W3125" s="2"/>
    </row>
    <row r="3126" spans="1:23" ht="12.5" x14ac:dyDescent="0.25">
      <c r="A3126" s="2" t="s">
        <v>5280</v>
      </c>
      <c r="B3126" s="2">
        <v>111</v>
      </c>
      <c r="C3126" s="2">
        <v>11905519</v>
      </c>
      <c r="D3126" s="2" t="s">
        <v>177</v>
      </c>
      <c r="E3126" s="2" t="s">
        <v>5281</v>
      </c>
      <c r="F3126" s="2" t="s">
        <v>4220</v>
      </c>
      <c r="G3126" s="2" t="s">
        <v>4221</v>
      </c>
      <c r="H3126" s="2">
        <v>200000000</v>
      </c>
      <c r="I3126" s="2">
        <v>7.1</v>
      </c>
      <c r="J3126" s="2">
        <f t="shared" si="24"/>
        <v>-188094481</v>
      </c>
      <c r="K3126" s="2">
        <f t="shared" si="25"/>
        <v>-1.7672251243728204E-2</v>
      </c>
      <c r="L3126" s="2" t="str">
        <f>IF(ISNUMBER(SEARCH("|",IMDB_Movies!$D3126)),LEFT(IMDB_Movies!$D3126,SEARCH("|",IMDB_Movies!$D3126)-1),IMDB_Movies!$D3126)</f>
        <v>Action</v>
      </c>
      <c r="V3126" s="2"/>
      <c r="W3126" s="2"/>
    </row>
    <row r="3127" spans="1:23" ht="12.5" x14ac:dyDescent="0.25">
      <c r="A3127" s="2" t="s">
        <v>5097</v>
      </c>
      <c r="B3127" s="2">
        <v>112</v>
      </c>
      <c r="C3127" s="2">
        <v>32541719</v>
      </c>
      <c r="D3127" s="2" t="s">
        <v>1537</v>
      </c>
      <c r="E3127" s="2" t="s">
        <v>5282</v>
      </c>
      <c r="F3127" s="2" t="s">
        <v>14</v>
      </c>
      <c r="G3127" s="2" t="s">
        <v>22</v>
      </c>
      <c r="H3127" s="2">
        <v>3500159</v>
      </c>
      <c r="I3127" s="2">
        <v>6.7</v>
      </c>
      <c r="J3127" s="2">
        <f t="shared" si="24"/>
        <v>29041560</v>
      </c>
      <c r="K3127" s="2">
        <f t="shared" si="25"/>
        <v>-1.7731833295526932E-2</v>
      </c>
      <c r="L3127" s="2" t="str">
        <f>IF(ISNUMBER(SEARCH("|",IMDB_Movies!$D3127)),LEFT(IMDB_Movies!$D3127,SEARCH("|",IMDB_Movies!$D3127)-1),IMDB_Movies!$D3127)</f>
        <v>Comedy</v>
      </c>
      <c r="V3127" s="2"/>
      <c r="W3127" s="2"/>
    </row>
    <row r="3128" spans="1:23" ht="12.5" x14ac:dyDescent="0.25">
      <c r="A3128" s="2" t="s">
        <v>4931</v>
      </c>
      <c r="B3128" s="2">
        <v>141</v>
      </c>
      <c r="C3128" s="2">
        <v>3064356</v>
      </c>
      <c r="D3128" s="2" t="s">
        <v>85</v>
      </c>
      <c r="E3128" s="2" t="s">
        <v>5283</v>
      </c>
      <c r="F3128" s="2" t="s">
        <v>14</v>
      </c>
      <c r="G3128" s="2" t="s">
        <v>15</v>
      </c>
      <c r="H3128" s="2">
        <v>5600000</v>
      </c>
      <c r="I3128" s="2">
        <v>6.9</v>
      </c>
      <c r="J3128" s="2">
        <f t="shared" si="24"/>
        <v>-2535644</v>
      </c>
      <c r="K3128" s="2">
        <f t="shared" si="25"/>
        <v>-1.7675615360342643E-2</v>
      </c>
      <c r="L3128" s="2" t="str">
        <f>IF(ISNUMBER(SEARCH("|",IMDB_Movies!$D3128)),LEFT(IMDB_Movies!$D3128,SEARCH("|",IMDB_Movies!$D3128)-1),IMDB_Movies!$D3128)</f>
        <v>Drama</v>
      </c>
      <c r="V3128" s="2"/>
      <c r="W3128" s="2"/>
    </row>
    <row r="3129" spans="1:23" ht="12.5" x14ac:dyDescent="0.25">
      <c r="A3129" s="2" t="s">
        <v>4336</v>
      </c>
      <c r="B3129" s="2">
        <v>95</v>
      </c>
      <c r="C3129" s="2">
        <v>7009668</v>
      </c>
      <c r="D3129" s="2" t="s">
        <v>5284</v>
      </c>
      <c r="E3129" s="2" t="s">
        <v>5285</v>
      </c>
      <c r="F3129" s="2" t="s">
        <v>14</v>
      </c>
      <c r="G3129" s="2" t="s">
        <v>15</v>
      </c>
      <c r="H3129" s="2">
        <v>5600000</v>
      </c>
      <c r="I3129" s="2">
        <v>2.1</v>
      </c>
      <c r="J3129" s="2">
        <f t="shared" si="24"/>
        <v>1409668</v>
      </c>
      <c r="K3129" s="2">
        <f t="shared" si="25"/>
        <v>-1.769641441992233E-2</v>
      </c>
      <c r="L3129" s="2" t="str">
        <f>IF(ISNUMBER(SEARCH("|",IMDB_Movies!$D3129)),LEFT(IMDB_Movies!$D3129,SEARCH("|",IMDB_Movies!$D3129)-1),IMDB_Movies!$D3129)</f>
        <v>Action</v>
      </c>
      <c r="V3129" s="2"/>
      <c r="W3129" s="2"/>
    </row>
    <row r="3130" spans="1:23" ht="12.5" x14ac:dyDescent="0.25">
      <c r="A3130" s="2" t="s">
        <v>4633</v>
      </c>
      <c r="B3130" s="2">
        <v>85</v>
      </c>
      <c r="C3130" s="2">
        <v>27024</v>
      </c>
      <c r="D3130" s="2" t="s">
        <v>2148</v>
      </c>
      <c r="E3130" s="2" t="s">
        <v>5286</v>
      </c>
      <c r="F3130" s="2" t="s">
        <v>971</v>
      </c>
      <c r="G3130" s="2" t="s">
        <v>1239</v>
      </c>
      <c r="H3130" s="2">
        <v>5600000</v>
      </c>
      <c r="I3130" s="2">
        <v>6.6</v>
      </c>
      <c r="J3130" s="2">
        <f t="shared" si="24"/>
        <v>-5572976</v>
      </c>
      <c r="K3130" s="2">
        <f t="shared" si="25"/>
        <v>-1.7706859906122314E-2</v>
      </c>
      <c r="L3130" s="2" t="str">
        <f>IF(ISNUMBER(SEARCH("|",IMDB_Movies!$D3130)),LEFT(IMDB_Movies!$D3130,SEARCH("|",IMDB_Movies!$D3130)-1),IMDB_Movies!$D3130)</f>
        <v>Horror</v>
      </c>
      <c r="V3130" s="2"/>
      <c r="W3130" s="2"/>
    </row>
    <row r="3131" spans="1:23" ht="12.5" x14ac:dyDescent="0.25">
      <c r="A3131" s="2" t="s">
        <v>5194</v>
      </c>
      <c r="B3131" s="2">
        <v>129</v>
      </c>
      <c r="C3131" s="2">
        <v>159600000</v>
      </c>
      <c r="D3131" s="2" t="s">
        <v>3003</v>
      </c>
      <c r="E3131" s="2" t="s">
        <v>5287</v>
      </c>
      <c r="F3131" s="2" t="s">
        <v>14</v>
      </c>
      <c r="G3131" s="2" t="s">
        <v>15</v>
      </c>
      <c r="H3131" s="2">
        <v>5500000</v>
      </c>
      <c r="I3131" s="2">
        <v>8.3000000000000007</v>
      </c>
      <c r="J3131" s="2">
        <f t="shared" si="24"/>
        <v>154100000</v>
      </c>
      <c r="K3131" s="2">
        <f t="shared" si="25"/>
        <v>-1.7736283569187362E-2</v>
      </c>
      <c r="L3131" s="2" t="str">
        <f>IF(ISNUMBER(SEARCH("|",IMDB_Movies!$D3131)),LEFT(IMDB_Movies!$D3131,SEARCH("|",IMDB_Movies!$D3131)-1),IMDB_Movies!$D3131)</f>
        <v>Comedy</v>
      </c>
      <c r="V3131" s="2"/>
      <c r="W3131" s="2"/>
    </row>
    <row r="3132" spans="1:23" ht="12.5" x14ac:dyDescent="0.25">
      <c r="A3132" s="2" t="s">
        <v>2573</v>
      </c>
      <c r="B3132" s="2">
        <v>125</v>
      </c>
      <c r="C3132" s="2">
        <v>58800000</v>
      </c>
      <c r="D3132" s="2" t="s">
        <v>585</v>
      </c>
      <c r="E3132" s="2" t="s">
        <v>5288</v>
      </c>
      <c r="F3132" s="2" t="s">
        <v>14</v>
      </c>
      <c r="G3132" s="2" t="s">
        <v>22</v>
      </c>
      <c r="H3132" s="2">
        <v>5500000</v>
      </c>
      <c r="I3132" s="2">
        <v>7.2</v>
      </c>
      <c r="J3132" s="2">
        <f t="shared" si="24"/>
        <v>53300000</v>
      </c>
      <c r="K3132" s="2">
        <f t="shared" si="25"/>
        <v>-1.7881298247568341E-2</v>
      </c>
      <c r="L3132" s="2" t="str">
        <f>IF(ISNUMBER(SEARCH("|",IMDB_Movies!$D3132)),LEFT(IMDB_Movies!$D3132,SEARCH("|",IMDB_Movies!$D3132)-1),IMDB_Movies!$D3132)</f>
        <v>Biography</v>
      </c>
      <c r="V3132" s="2"/>
      <c r="W3132" s="2"/>
    </row>
    <row r="3133" spans="1:23" ht="12.5" x14ac:dyDescent="0.25">
      <c r="A3133" s="2" t="s">
        <v>5289</v>
      </c>
      <c r="B3133" s="2">
        <v>116</v>
      </c>
      <c r="C3133" s="2">
        <v>50382128</v>
      </c>
      <c r="D3133" s="2" t="s">
        <v>514</v>
      </c>
      <c r="E3133" s="2" t="s">
        <v>5290</v>
      </c>
      <c r="F3133" s="2" t="s">
        <v>14</v>
      </c>
      <c r="G3133" s="2" t="s">
        <v>15</v>
      </c>
      <c r="H3133" s="2">
        <v>5500000</v>
      </c>
      <c r="I3133" s="2">
        <v>5.6</v>
      </c>
      <c r="J3133" s="2">
        <f t="shared" si="24"/>
        <v>44882128</v>
      </c>
      <c r="K3133" s="2">
        <f t="shared" si="25"/>
        <v>-1.781703492980883E-2</v>
      </c>
      <c r="L3133" s="2" t="str">
        <f>IF(ISNUMBER(SEARCH("|",IMDB_Movies!$D3133)),LEFT(IMDB_Movies!$D3133,SEARCH("|",IMDB_Movies!$D3133)-1),IMDB_Movies!$D3133)</f>
        <v>Comedy</v>
      </c>
      <c r="V3133" s="2"/>
      <c r="W3133" s="2"/>
    </row>
    <row r="3134" spans="1:23" ht="12.5" x14ac:dyDescent="0.25">
      <c r="A3134" s="2" t="s">
        <v>2400</v>
      </c>
      <c r="B3134" s="2">
        <v>105</v>
      </c>
      <c r="C3134" s="2">
        <v>35811509</v>
      </c>
      <c r="D3134" s="2" t="s">
        <v>2882</v>
      </c>
      <c r="E3134" s="2" t="s">
        <v>5291</v>
      </c>
      <c r="F3134" s="2" t="s">
        <v>14</v>
      </c>
      <c r="G3134" s="2" t="s">
        <v>135</v>
      </c>
      <c r="H3134" s="2">
        <v>5500000</v>
      </c>
      <c r="I3134" s="2">
        <v>7.7</v>
      </c>
      <c r="J3134" s="2">
        <f t="shared" si="24"/>
        <v>30311509</v>
      </c>
      <c r="K3134" s="2">
        <f t="shared" si="25"/>
        <v>-1.7755818725314291E-2</v>
      </c>
      <c r="L3134" s="2" t="str">
        <f>IF(ISNUMBER(SEARCH("|",IMDB_Movies!$D3134)),LEFT(IMDB_Movies!$D3134,SEARCH("|",IMDB_Movies!$D3134)-1),IMDB_Movies!$D3134)</f>
        <v>Biography</v>
      </c>
      <c r="V3134" s="2"/>
      <c r="W3134" s="2"/>
    </row>
    <row r="3135" spans="1:23" ht="12.5" x14ac:dyDescent="0.25">
      <c r="A3135" s="2" t="s">
        <v>5292</v>
      </c>
      <c r="B3135" s="2">
        <v>90</v>
      </c>
      <c r="C3135" s="2">
        <v>24475193</v>
      </c>
      <c r="D3135" s="2" t="s">
        <v>514</v>
      </c>
      <c r="E3135" s="2" t="s">
        <v>5293</v>
      </c>
      <c r="F3135" s="2" t="s">
        <v>14</v>
      </c>
      <c r="G3135" s="2" t="s">
        <v>15</v>
      </c>
      <c r="H3135" s="2">
        <v>3000000</v>
      </c>
      <c r="I3135" s="2">
        <v>6.6</v>
      </c>
      <c r="J3135" s="2">
        <f t="shared" si="24"/>
        <v>21475193</v>
      </c>
      <c r="K3135" s="2">
        <f t="shared" si="25"/>
        <v>-1.7708330743073514E-2</v>
      </c>
      <c r="L3135" s="2" t="str">
        <f>IF(ISNUMBER(SEARCH("|",IMDB_Movies!$D3135)),LEFT(IMDB_Movies!$D3135,SEARCH("|",IMDB_Movies!$D3135)-1),IMDB_Movies!$D3135)</f>
        <v>Comedy</v>
      </c>
      <c r="V3135" s="2"/>
      <c r="W3135" s="2"/>
    </row>
    <row r="3136" spans="1:23" ht="12.5" x14ac:dyDescent="0.25">
      <c r="A3136" s="2" t="s">
        <v>3767</v>
      </c>
      <c r="B3136" s="2">
        <v>111</v>
      </c>
      <c r="C3136" s="2">
        <v>6200756</v>
      </c>
      <c r="D3136" s="2" t="s">
        <v>891</v>
      </c>
      <c r="E3136" s="2" t="s">
        <v>5294</v>
      </c>
      <c r="F3136" s="2" t="s">
        <v>14</v>
      </c>
      <c r="G3136" s="2" t="s">
        <v>15</v>
      </c>
      <c r="H3136" s="2">
        <v>7000000</v>
      </c>
      <c r="I3136" s="2">
        <v>7.4</v>
      </c>
      <c r="J3136" s="2">
        <f t="shared" si="24"/>
        <v>-799244</v>
      </c>
      <c r="K3136" s="2">
        <f t="shared" si="25"/>
        <v>-1.7665878365409955E-2</v>
      </c>
      <c r="L3136" s="2" t="str">
        <f>IF(ISNUMBER(SEARCH("|",IMDB_Movies!$D3136)),LEFT(IMDB_Movies!$D3136,SEARCH("|",IMDB_Movies!$D3136)-1),IMDB_Movies!$D3136)</f>
        <v>Comedy</v>
      </c>
      <c r="V3136" s="2"/>
      <c r="W3136" s="2"/>
    </row>
    <row r="3137" spans="1:23" ht="12.5" x14ac:dyDescent="0.25">
      <c r="A3137" s="2" t="s">
        <v>2969</v>
      </c>
      <c r="B3137" s="2">
        <v>91</v>
      </c>
      <c r="C3137" s="2">
        <v>1292119</v>
      </c>
      <c r="D3137" s="2" t="s">
        <v>2124</v>
      </c>
      <c r="E3137" s="2" t="s">
        <v>5295</v>
      </c>
      <c r="F3137" s="2" t="s">
        <v>14</v>
      </c>
      <c r="G3137" s="2" t="s">
        <v>22</v>
      </c>
      <c r="H3137" s="2">
        <v>5500000</v>
      </c>
      <c r="I3137" s="2">
        <v>7.1</v>
      </c>
      <c r="J3137" s="2">
        <f t="shared" si="24"/>
        <v>-4207881</v>
      </c>
      <c r="K3137" s="2">
        <f t="shared" si="25"/>
        <v>-1.7675480557623403E-2</v>
      </c>
      <c r="L3137" s="2" t="str">
        <f>IF(ISNUMBER(SEARCH("|",IMDB_Movies!$D3137)),LEFT(IMDB_Movies!$D3137,SEARCH("|",IMDB_Movies!$D3137)-1),IMDB_Movies!$D3137)</f>
        <v>Biography</v>
      </c>
      <c r="V3137" s="2"/>
      <c r="W3137" s="2"/>
    </row>
    <row r="3138" spans="1:23" ht="12.5" x14ac:dyDescent="0.25">
      <c r="A3138" s="2" t="s">
        <v>5296</v>
      </c>
      <c r="B3138" s="2">
        <v>97</v>
      </c>
      <c r="C3138" s="2">
        <v>3629758</v>
      </c>
      <c r="D3138" s="2" t="s">
        <v>2082</v>
      </c>
      <c r="E3138" s="2" t="s">
        <v>5297</v>
      </c>
      <c r="F3138" s="2" t="s">
        <v>1006</v>
      </c>
      <c r="G3138" s="2" t="s">
        <v>686</v>
      </c>
      <c r="H3138" s="2">
        <v>5500000</v>
      </c>
      <c r="I3138" s="2">
        <v>7.9</v>
      </c>
      <c r="J3138" s="2">
        <f t="shared" si="24"/>
        <v>-1870242</v>
      </c>
      <c r="K3138" s="2">
        <f t="shared" si="25"/>
        <v>-1.7701776758460987E-2</v>
      </c>
      <c r="L3138" s="2" t="str">
        <f>IF(ISNUMBER(SEARCH("|",IMDB_Movies!$D3138)),LEFT(IMDB_Movies!$D3138,SEARCH("|",IMDB_Movies!$D3138)-1),IMDB_Movies!$D3138)</f>
        <v>Drama</v>
      </c>
      <c r="V3138" s="2"/>
      <c r="W3138" s="2"/>
    </row>
    <row r="3139" spans="1:23" ht="12.5" x14ac:dyDescent="0.25">
      <c r="A3139" s="2" t="s">
        <v>5298</v>
      </c>
      <c r="B3139" s="2">
        <v>92</v>
      </c>
      <c r="C3139" s="2">
        <v>6239558</v>
      </c>
      <c r="D3139" s="2" t="s">
        <v>891</v>
      </c>
      <c r="E3139" s="2" t="s">
        <v>5299</v>
      </c>
      <c r="F3139" s="2" t="s">
        <v>14</v>
      </c>
      <c r="G3139" s="2" t="s">
        <v>104</v>
      </c>
      <c r="H3139" s="2">
        <v>5000000</v>
      </c>
      <c r="I3139" s="2">
        <v>6.7</v>
      </c>
      <c r="J3139" s="2">
        <f t="shared" si="24"/>
        <v>1239558</v>
      </c>
      <c r="K3139" s="2">
        <f t="shared" si="25"/>
        <v>-1.7721325519746031E-2</v>
      </c>
      <c r="L3139" s="2" t="str">
        <f>IF(ISNUMBER(SEARCH("|",IMDB_Movies!$D3139)),LEFT(IMDB_Movies!$D3139,SEARCH("|",IMDB_Movies!$D3139)-1),IMDB_Movies!$D3139)</f>
        <v>Comedy</v>
      </c>
      <c r="V3139" s="2"/>
      <c r="W3139" s="2"/>
    </row>
    <row r="3140" spans="1:23" ht="12.5" x14ac:dyDescent="0.25">
      <c r="A3140" s="2" t="s">
        <v>5300</v>
      </c>
      <c r="B3140" s="2">
        <v>104</v>
      </c>
      <c r="C3140" s="2">
        <v>1056102</v>
      </c>
      <c r="D3140" s="2" t="s">
        <v>770</v>
      </c>
      <c r="E3140" s="2" t="s">
        <v>5301</v>
      </c>
      <c r="F3140" s="2" t="s">
        <v>14</v>
      </c>
      <c r="G3140" s="2" t="s">
        <v>15</v>
      </c>
      <c r="H3140" s="2">
        <v>5000000</v>
      </c>
      <c r="I3140" s="2">
        <v>6.6</v>
      </c>
      <c r="J3140" s="2">
        <f t="shared" si="24"/>
        <v>-3943898</v>
      </c>
      <c r="K3140" s="2">
        <f t="shared" si="25"/>
        <v>-1.7734481379712057E-2</v>
      </c>
      <c r="L3140" s="2" t="str">
        <f>IF(ISNUMBER(SEARCH("|",IMDB_Movies!$D3140)),LEFT(IMDB_Movies!$D3140,SEARCH("|",IMDB_Movies!$D3140)-1),IMDB_Movies!$D3140)</f>
        <v>Crime</v>
      </c>
      <c r="V3140" s="2"/>
      <c r="W3140" s="2"/>
    </row>
    <row r="3141" spans="1:23" ht="12.5" x14ac:dyDescent="0.25">
      <c r="A3141" s="2" t="s">
        <v>1725</v>
      </c>
      <c r="B3141" s="2">
        <v>120</v>
      </c>
      <c r="C3141" s="2">
        <v>27545445</v>
      </c>
      <c r="D3141" s="2" t="s">
        <v>1180</v>
      </c>
      <c r="E3141" s="2" t="s">
        <v>5302</v>
      </c>
      <c r="F3141" s="2" t="s">
        <v>14</v>
      </c>
      <c r="G3141" s="2" t="s">
        <v>15</v>
      </c>
      <c r="H3141" s="2">
        <v>6500000</v>
      </c>
      <c r="I3141" s="2">
        <v>7.9</v>
      </c>
      <c r="J3141" s="2">
        <f t="shared" si="24"/>
        <v>21045445</v>
      </c>
      <c r="K3141" s="2">
        <f t="shared" si="25"/>
        <v>-1.7763567786828621E-2</v>
      </c>
      <c r="L3141" s="2" t="str">
        <f>IF(ISNUMBER(SEARCH("|",IMDB_Movies!$D3141)),LEFT(IMDB_Movies!$D3141,SEARCH("|",IMDB_Movies!$D3141)-1),IMDB_Movies!$D3141)</f>
        <v>Drama</v>
      </c>
      <c r="V3141" s="2"/>
      <c r="W3141" s="2"/>
    </row>
    <row r="3142" spans="1:23" ht="12.5" x14ac:dyDescent="0.25">
      <c r="A3142" s="2" t="s">
        <v>5303</v>
      </c>
      <c r="B3142" s="2">
        <v>99</v>
      </c>
      <c r="C3142" s="2">
        <v>56007</v>
      </c>
      <c r="D3142" s="2" t="s">
        <v>4952</v>
      </c>
      <c r="E3142" s="2" t="s">
        <v>5304</v>
      </c>
      <c r="F3142" s="2" t="s">
        <v>14</v>
      </c>
      <c r="G3142" s="2" t="s">
        <v>15</v>
      </c>
      <c r="H3142" s="2">
        <v>5500000</v>
      </c>
      <c r="I3142" s="2">
        <v>4.9000000000000004</v>
      </c>
      <c r="J3142" s="2">
        <f t="shared" si="24"/>
        <v>-5443993</v>
      </c>
      <c r="K3142" s="2">
        <f t="shared" si="25"/>
        <v>-1.7734321890059284E-2</v>
      </c>
      <c r="L3142" s="2" t="str">
        <f>IF(ISNUMBER(SEARCH("|",IMDB_Movies!$D3142)),LEFT(IMDB_Movies!$D3142,SEARCH("|",IMDB_Movies!$D3142)-1),IMDB_Movies!$D3142)</f>
        <v>Comedy</v>
      </c>
      <c r="V3142" s="2"/>
      <c r="W3142" s="2"/>
    </row>
    <row r="3143" spans="1:23" ht="12.5" x14ac:dyDescent="0.25">
      <c r="A3143" s="2" t="s">
        <v>5305</v>
      </c>
      <c r="B3143" s="2">
        <v>93</v>
      </c>
      <c r="C3143" s="2">
        <v>611709</v>
      </c>
      <c r="D3143" s="2" t="s">
        <v>891</v>
      </c>
      <c r="E3143" s="2" t="s">
        <v>5306</v>
      </c>
      <c r="F3143" s="2" t="s">
        <v>1006</v>
      </c>
      <c r="G3143" s="2" t="s">
        <v>5307</v>
      </c>
      <c r="H3143" s="2">
        <v>3850000</v>
      </c>
      <c r="I3143" s="2">
        <v>7.2</v>
      </c>
      <c r="J3143" s="2">
        <f t="shared" si="24"/>
        <v>-3238291</v>
      </c>
      <c r="K3143" s="2">
        <f t="shared" si="25"/>
        <v>-1.7764645142785054E-2</v>
      </c>
      <c r="L3143" s="2" t="str">
        <f>IF(ISNUMBER(SEARCH("|",IMDB_Movies!$D3143)),LEFT(IMDB_Movies!$D3143,SEARCH("|",IMDB_Movies!$D3143)-1),IMDB_Movies!$D3143)</f>
        <v>Comedy</v>
      </c>
      <c r="V3143" s="2"/>
      <c r="W3143" s="2"/>
    </row>
    <row r="3144" spans="1:23" ht="12.5" x14ac:dyDescent="0.25">
      <c r="A3144" s="2" t="s">
        <v>5308</v>
      </c>
      <c r="B3144" s="2">
        <v>99</v>
      </c>
      <c r="C3144" s="2">
        <v>22770</v>
      </c>
      <c r="D3144" s="2" t="s">
        <v>891</v>
      </c>
      <c r="E3144" s="2" t="s">
        <v>5309</v>
      </c>
      <c r="F3144" s="2" t="s">
        <v>2568</v>
      </c>
      <c r="G3144" s="2" t="s">
        <v>1032</v>
      </c>
      <c r="H3144" s="2">
        <v>5500000</v>
      </c>
      <c r="I3144" s="2">
        <v>6.1</v>
      </c>
      <c r="J3144" s="2">
        <f t="shared" si="24"/>
        <v>-5477230</v>
      </c>
      <c r="K3144" s="2">
        <f t="shared" si="25"/>
        <v>-1.7799786177766584E-2</v>
      </c>
      <c r="L3144" s="2" t="str">
        <f>IF(ISNUMBER(SEARCH("|",IMDB_Movies!$D3144)),LEFT(IMDB_Movies!$D3144,SEARCH("|",IMDB_Movies!$D3144)-1),IMDB_Movies!$D3144)</f>
        <v>Comedy</v>
      </c>
      <c r="V3144" s="2"/>
      <c r="W3144" s="2"/>
    </row>
    <row r="3145" spans="1:23" ht="12.5" x14ac:dyDescent="0.25">
      <c r="A3145" s="2" t="s">
        <v>5310</v>
      </c>
      <c r="B3145" s="2">
        <v>96</v>
      </c>
      <c r="C3145" s="2">
        <v>27445</v>
      </c>
      <c r="D3145" s="2" t="s">
        <v>5311</v>
      </c>
      <c r="E3145" s="2" t="s">
        <v>5312</v>
      </c>
      <c r="F3145" s="2" t="s">
        <v>14</v>
      </c>
      <c r="G3145" s="2" t="s">
        <v>15</v>
      </c>
      <c r="H3145" s="2">
        <v>9000000</v>
      </c>
      <c r="I3145" s="2">
        <v>5.3</v>
      </c>
      <c r="J3145" s="2">
        <f t="shared" si="24"/>
        <v>-8972555</v>
      </c>
      <c r="K3145" s="2">
        <f t="shared" si="25"/>
        <v>-1.7830428897133127E-2</v>
      </c>
      <c r="L3145" s="2" t="str">
        <f>IF(ISNUMBER(SEARCH("|",IMDB_Movies!$D3145)),LEFT(IMDB_Movies!$D3145,SEARCH("|",IMDB_Movies!$D3145)-1),IMDB_Movies!$D3145)</f>
        <v>Action</v>
      </c>
      <c r="V3145" s="2"/>
      <c r="W3145" s="2"/>
    </row>
    <row r="3146" spans="1:23" ht="12.5" x14ac:dyDescent="0.25">
      <c r="A3146" s="2" t="s">
        <v>2909</v>
      </c>
      <c r="B3146" s="2">
        <v>96</v>
      </c>
      <c r="C3146" s="2">
        <v>766487</v>
      </c>
      <c r="D3146" s="2" t="s">
        <v>600</v>
      </c>
      <c r="E3146" s="2" t="s">
        <v>5313</v>
      </c>
      <c r="F3146" s="2" t="s">
        <v>14</v>
      </c>
      <c r="G3146" s="2" t="s">
        <v>15</v>
      </c>
      <c r="H3146" s="2">
        <v>5250000</v>
      </c>
      <c r="I3146" s="2">
        <v>5</v>
      </c>
      <c r="J3146" s="2">
        <f t="shared" si="24"/>
        <v>-4483513</v>
      </c>
      <c r="K3146" s="2">
        <f t="shared" si="25"/>
        <v>-1.7846757572064591E-2</v>
      </c>
      <c r="L3146" s="2" t="str">
        <f>IF(ISNUMBER(SEARCH("|",IMDB_Movies!$D3146)),LEFT(IMDB_Movies!$D3146,SEARCH("|",IMDB_Movies!$D3146)-1),IMDB_Movies!$D3146)</f>
        <v>Comedy</v>
      </c>
      <c r="V3146" s="2"/>
      <c r="W3146" s="2"/>
    </row>
    <row r="3147" spans="1:23" ht="12.5" x14ac:dyDescent="0.25">
      <c r="A3147" s="2" t="s">
        <v>4036</v>
      </c>
      <c r="B3147" s="2">
        <v>100</v>
      </c>
      <c r="C3147" s="2">
        <v>1196752</v>
      </c>
      <c r="D3147" s="2" t="s">
        <v>763</v>
      </c>
      <c r="E3147" s="2" t="s">
        <v>5314</v>
      </c>
      <c r="F3147" s="2" t="s">
        <v>5315</v>
      </c>
      <c r="G3147" s="2" t="s">
        <v>5316</v>
      </c>
      <c r="H3147" s="2">
        <v>30300000</v>
      </c>
      <c r="I3147" s="2">
        <v>7.6</v>
      </c>
      <c r="J3147" s="2">
        <f t="shared" si="24"/>
        <v>-29103248</v>
      </c>
      <c r="K3147" s="2">
        <f t="shared" si="25"/>
        <v>-1.7876269127805565E-2</v>
      </c>
      <c r="L3147" s="2" t="str">
        <f>IF(ISNUMBER(SEARCH("|",IMDB_Movies!$D3147)),LEFT(IMDB_Movies!$D3147,SEARCH("|",IMDB_Movies!$D3147)-1),IMDB_Movies!$D3147)</f>
        <v>Crime</v>
      </c>
      <c r="V3147" s="2"/>
      <c r="W3147" s="2"/>
    </row>
    <row r="3148" spans="1:23" ht="12.5" x14ac:dyDescent="0.25">
      <c r="A3148" s="2" t="s">
        <v>5317</v>
      </c>
      <c r="B3148" s="2">
        <v>98</v>
      </c>
      <c r="C3148" s="2">
        <v>795126</v>
      </c>
      <c r="D3148" s="2" t="s">
        <v>2108</v>
      </c>
      <c r="E3148" s="2" t="s">
        <v>5318</v>
      </c>
      <c r="F3148" s="2" t="s">
        <v>14</v>
      </c>
      <c r="G3148" s="2" t="s">
        <v>104</v>
      </c>
      <c r="H3148" s="2">
        <v>6000000</v>
      </c>
      <c r="I3148" s="2">
        <v>7.6</v>
      </c>
      <c r="J3148" s="2">
        <f t="shared" si="24"/>
        <v>-5204874</v>
      </c>
      <c r="K3148" s="2">
        <f t="shared" si="25"/>
        <v>-1.7812379992364874E-2</v>
      </c>
      <c r="L3148" s="2" t="str">
        <f>IF(ISNUMBER(SEARCH("|",IMDB_Movies!$D3148)),LEFT(IMDB_Movies!$D3148,SEARCH("|",IMDB_Movies!$D3148)-1),IMDB_Movies!$D3148)</f>
        <v>Comedy</v>
      </c>
      <c r="V3148" s="2"/>
      <c r="W3148" s="2"/>
    </row>
    <row r="3149" spans="1:23" ht="12.5" x14ac:dyDescent="0.25">
      <c r="A3149" s="2" t="s">
        <v>124</v>
      </c>
      <c r="B3149" s="2">
        <v>106</v>
      </c>
      <c r="C3149" s="2">
        <v>83574831</v>
      </c>
      <c r="D3149" s="2" t="s">
        <v>3172</v>
      </c>
      <c r="E3149" s="2" t="s">
        <v>5319</v>
      </c>
      <c r="F3149" s="2" t="s">
        <v>14</v>
      </c>
      <c r="G3149" s="2" t="s">
        <v>15</v>
      </c>
      <c r="H3149" s="2">
        <v>5000000</v>
      </c>
      <c r="I3149" s="2">
        <v>6.6</v>
      </c>
      <c r="J3149" s="2">
        <f t="shared" si="24"/>
        <v>78574831</v>
      </c>
      <c r="K3149" s="2">
        <f t="shared" si="25"/>
        <v>-1.7838951657878369E-2</v>
      </c>
      <c r="L3149" s="2" t="str">
        <f>IF(ISNUMBER(SEARCH("|",IMDB_Movies!$D3149)),LEFT(IMDB_Movies!$D3149,SEARCH("|",IMDB_Movies!$D3149)-1),IMDB_Movies!$D3149)</f>
        <v>Fantasy</v>
      </c>
      <c r="V3149" s="2"/>
      <c r="W3149" s="2"/>
    </row>
    <row r="3150" spans="1:23" ht="12.5" x14ac:dyDescent="0.25">
      <c r="A3150" s="2" t="s">
        <v>4645</v>
      </c>
      <c r="B3150" s="2">
        <v>95</v>
      </c>
      <c r="C3150" s="2">
        <v>87025093</v>
      </c>
      <c r="D3150" s="2" t="s">
        <v>2116</v>
      </c>
      <c r="E3150" s="2" t="s">
        <v>5320</v>
      </c>
      <c r="F3150" s="2" t="s">
        <v>14</v>
      </c>
      <c r="G3150" s="2" t="s">
        <v>15</v>
      </c>
      <c r="H3150" s="2">
        <v>4000000</v>
      </c>
      <c r="I3150" s="2">
        <v>6.6</v>
      </c>
      <c r="J3150" s="2">
        <f t="shared" si="24"/>
        <v>83025093</v>
      </c>
      <c r="K3150" s="2">
        <f t="shared" si="25"/>
        <v>-1.7767176973943234E-2</v>
      </c>
      <c r="L3150" s="2" t="str">
        <f>IF(ISNUMBER(SEARCH("|",IMDB_Movies!$D3150)),LEFT(IMDB_Movies!$D3150,SEARCH("|",IMDB_Movies!$D3150)-1),IMDB_Movies!$D3150)</f>
        <v>Horror</v>
      </c>
      <c r="V3150" s="2"/>
      <c r="W3150" s="2"/>
    </row>
    <row r="3151" spans="1:23" ht="12.5" x14ac:dyDescent="0.25">
      <c r="A3151" s="2" t="s">
        <v>5321</v>
      </c>
      <c r="B3151" s="2">
        <v>104</v>
      </c>
      <c r="C3151" s="2">
        <v>71897215</v>
      </c>
      <c r="D3151" s="2" t="s">
        <v>5322</v>
      </c>
      <c r="E3151" s="2" t="s">
        <v>5323</v>
      </c>
      <c r="F3151" s="2" t="s">
        <v>14</v>
      </c>
      <c r="G3151" s="2" t="s">
        <v>15</v>
      </c>
      <c r="H3151" s="2">
        <v>15000000</v>
      </c>
      <c r="I3151" s="2">
        <v>7.3</v>
      </c>
      <c r="J3151" s="2">
        <f t="shared" si="24"/>
        <v>56897215</v>
      </c>
      <c r="K3151" s="2">
        <f t="shared" si="25"/>
        <v>-1.7668982350068998E-2</v>
      </c>
      <c r="L3151" s="2" t="str">
        <f>IF(ISNUMBER(SEARCH("|",IMDB_Movies!$D3151)),LEFT(IMDB_Movies!$D3151,SEARCH("|",IMDB_Movies!$D3151)-1),IMDB_Movies!$D3151)</f>
        <v>Drama</v>
      </c>
      <c r="V3151" s="2"/>
      <c r="W3151" s="2"/>
    </row>
    <row r="3152" spans="1:23" ht="12.5" x14ac:dyDescent="0.25">
      <c r="A3152" s="2" t="s">
        <v>3448</v>
      </c>
      <c r="B3152" s="2">
        <v>87</v>
      </c>
      <c r="C3152" s="2">
        <v>64267897</v>
      </c>
      <c r="D3152" s="2" t="s">
        <v>5324</v>
      </c>
      <c r="E3152" s="2" t="s">
        <v>5325</v>
      </c>
      <c r="F3152" s="2" t="s">
        <v>14</v>
      </c>
      <c r="G3152" s="2" t="s">
        <v>15</v>
      </c>
      <c r="H3152" s="2">
        <v>5000000</v>
      </c>
      <c r="I3152" s="2">
        <v>6.6</v>
      </c>
      <c r="J3152" s="2">
        <f t="shared" si="24"/>
        <v>59267897</v>
      </c>
      <c r="K3152" s="2">
        <f t="shared" si="25"/>
        <v>-1.7825527352069759E-2</v>
      </c>
      <c r="L3152" s="2" t="str">
        <f>IF(ISNUMBER(SEARCH("|",IMDB_Movies!$D3152)),LEFT(IMDB_Movies!$D3152,SEARCH("|",IMDB_Movies!$D3152)-1),IMDB_Movies!$D3152)</f>
        <v>Comedy</v>
      </c>
      <c r="V3152" s="2"/>
      <c r="W3152" s="2"/>
    </row>
    <row r="3153" spans="1:23" ht="12.5" x14ac:dyDescent="0.25">
      <c r="A3153" s="2" t="s">
        <v>5326</v>
      </c>
      <c r="B3153" s="2">
        <v>81</v>
      </c>
      <c r="C3153" s="2">
        <v>56536016</v>
      </c>
      <c r="D3153" s="2" t="s">
        <v>2148</v>
      </c>
      <c r="E3153" s="2" t="s">
        <v>5327</v>
      </c>
      <c r="F3153" s="2" t="s">
        <v>14</v>
      </c>
      <c r="G3153" s="2" t="s">
        <v>15</v>
      </c>
      <c r="H3153" s="2">
        <v>4900000</v>
      </c>
      <c r="I3153" s="2">
        <v>6.9</v>
      </c>
      <c r="J3153" s="2">
        <f t="shared" si="24"/>
        <v>51636016</v>
      </c>
      <c r="K3153" s="2">
        <f t="shared" si="25"/>
        <v>-1.7747220288547683E-2</v>
      </c>
      <c r="L3153" s="2" t="str">
        <f>IF(ISNUMBER(SEARCH("|",IMDB_Movies!$D3153)),LEFT(IMDB_Movies!$D3153,SEARCH("|",IMDB_Movies!$D3153)-1),IMDB_Movies!$D3153)</f>
        <v>Horror</v>
      </c>
      <c r="V3153" s="2"/>
      <c r="W3153" s="2"/>
    </row>
    <row r="3154" spans="1:23" ht="12.5" x14ac:dyDescent="0.25">
      <c r="A3154" s="2" t="s">
        <v>3555</v>
      </c>
      <c r="B3154" s="2">
        <v>94</v>
      </c>
      <c r="C3154" s="2">
        <v>104007828</v>
      </c>
      <c r="D3154" s="2" t="s">
        <v>2148</v>
      </c>
      <c r="E3154" s="2" t="s">
        <v>5328</v>
      </c>
      <c r="F3154" s="2" t="s">
        <v>14</v>
      </c>
      <c r="G3154" s="2" t="s">
        <v>15</v>
      </c>
      <c r="H3154" s="2">
        <v>5000000</v>
      </c>
      <c r="I3154" s="2">
        <v>5.8</v>
      </c>
      <c r="J3154" s="2">
        <f t="shared" si="24"/>
        <v>99007828</v>
      </c>
      <c r="K3154" s="2">
        <f t="shared" si="25"/>
        <v>-1.7668939337163295E-2</v>
      </c>
      <c r="L3154" s="2" t="str">
        <f>IF(ISNUMBER(SEARCH("|",IMDB_Movies!$D3154)),LEFT(IMDB_Movies!$D3154,SEARCH("|",IMDB_Movies!$D3154)-1),IMDB_Movies!$D3154)</f>
        <v>Horror</v>
      </c>
      <c r="V3154" s="2"/>
      <c r="W3154" s="2"/>
    </row>
    <row r="3155" spans="1:23" ht="12.5" x14ac:dyDescent="0.25">
      <c r="A3155" s="2" t="s">
        <v>5329</v>
      </c>
      <c r="B3155" s="2">
        <v>89</v>
      </c>
      <c r="C3155" s="2">
        <v>50820940</v>
      </c>
      <c r="D3155" s="2" t="s">
        <v>2465</v>
      </c>
      <c r="E3155" s="2" t="s">
        <v>5330</v>
      </c>
      <c r="F3155" s="2" t="s">
        <v>14</v>
      </c>
      <c r="G3155" s="2" t="s">
        <v>15</v>
      </c>
      <c r="H3155" s="2">
        <v>5000000</v>
      </c>
      <c r="I3155" s="2">
        <v>4.4000000000000004</v>
      </c>
      <c r="J3155" s="2">
        <f t="shared" si="24"/>
        <v>45820940</v>
      </c>
      <c r="K3155" s="2">
        <f t="shared" si="25"/>
        <v>-1.7625738040358975E-2</v>
      </c>
      <c r="L3155" s="2" t="str">
        <f>IF(ISNUMBER(SEARCH("|",IMDB_Movies!$D3155)),LEFT(IMDB_Movies!$D3155,SEARCH("|",IMDB_Movies!$D3155)-1),IMDB_Movies!$D3155)</f>
        <v>Fantasy</v>
      </c>
      <c r="V3155" s="2"/>
      <c r="W3155" s="2"/>
    </row>
    <row r="3156" spans="1:23" ht="12.5" x14ac:dyDescent="0.25">
      <c r="A3156" s="2" t="s">
        <v>625</v>
      </c>
      <c r="B3156" s="2">
        <v>88</v>
      </c>
      <c r="C3156" s="2">
        <v>44793200</v>
      </c>
      <c r="D3156" s="2" t="s">
        <v>2930</v>
      </c>
      <c r="E3156" s="2" t="s">
        <v>5331</v>
      </c>
      <c r="F3156" s="2" t="s">
        <v>14</v>
      </c>
      <c r="G3156" s="2" t="s">
        <v>15</v>
      </c>
      <c r="H3156" s="2">
        <v>4500000</v>
      </c>
      <c r="I3156" s="2">
        <v>6.6</v>
      </c>
      <c r="J3156" s="2">
        <f t="shared" si="24"/>
        <v>40293200</v>
      </c>
      <c r="K3156" s="2">
        <f t="shared" si="25"/>
        <v>-1.7551633463972226E-2</v>
      </c>
      <c r="L3156" s="2" t="str">
        <f>IF(ISNUMBER(SEARCH("|",IMDB_Movies!$D3156)),LEFT(IMDB_Movies!$D3156,SEARCH("|",IMDB_Movies!$D3156)-1),IMDB_Movies!$D3156)</f>
        <v>Action</v>
      </c>
      <c r="V3156" s="2"/>
      <c r="W3156" s="2"/>
    </row>
    <row r="3157" spans="1:23" ht="12.5" x14ac:dyDescent="0.25">
      <c r="A3157" s="2" t="s">
        <v>5332</v>
      </c>
      <c r="B3157" s="2">
        <v>115</v>
      </c>
      <c r="C3157" s="2">
        <v>44456509</v>
      </c>
      <c r="D3157" s="2" t="s">
        <v>891</v>
      </c>
      <c r="E3157" s="2" t="s">
        <v>5333</v>
      </c>
      <c r="F3157" s="2" t="s">
        <v>971</v>
      </c>
      <c r="G3157" s="2" t="s">
        <v>3657</v>
      </c>
      <c r="H3157" s="2">
        <v>5000000</v>
      </c>
      <c r="I3157" s="2">
        <v>7.6</v>
      </c>
      <c r="J3157" s="2">
        <f t="shared" si="24"/>
        <v>39456509</v>
      </c>
      <c r="K3157" s="2">
        <f t="shared" si="25"/>
        <v>-1.7475978066048125E-2</v>
      </c>
      <c r="L3157" s="2" t="str">
        <f>IF(ISNUMBER(SEARCH("|",IMDB_Movies!$D3157)),LEFT(IMDB_Movies!$D3157,SEARCH("|",IMDB_Movies!$D3157)-1),IMDB_Movies!$D3157)</f>
        <v>Comedy</v>
      </c>
      <c r="V3157" s="2"/>
      <c r="W3157" s="2"/>
    </row>
    <row r="3158" spans="1:23" ht="12.5" x14ac:dyDescent="0.25">
      <c r="A3158" s="2" t="s">
        <v>3555</v>
      </c>
      <c r="B3158" s="2">
        <v>96</v>
      </c>
      <c r="C3158" s="2">
        <v>53884821</v>
      </c>
      <c r="D3158" s="2" t="s">
        <v>2148</v>
      </c>
      <c r="E3158" s="2" t="s">
        <v>5334</v>
      </c>
      <c r="F3158" s="2" t="s">
        <v>14</v>
      </c>
      <c r="G3158" s="2" t="s">
        <v>15</v>
      </c>
      <c r="H3158" s="2">
        <v>5000000</v>
      </c>
      <c r="I3158" s="2">
        <v>4.5999999999999996</v>
      </c>
      <c r="J3158" s="2">
        <f t="shared" si="24"/>
        <v>48884821</v>
      </c>
      <c r="K3158" s="2">
        <f t="shared" si="25"/>
        <v>-1.740706501182503E-2</v>
      </c>
      <c r="L3158" s="2" t="str">
        <f>IF(ISNUMBER(SEARCH("|",IMDB_Movies!$D3158)),LEFT(IMDB_Movies!$D3158,SEARCH("|",IMDB_Movies!$D3158)-1),IMDB_Movies!$D3158)</f>
        <v>Horror</v>
      </c>
      <c r="V3158" s="2"/>
      <c r="W3158" s="2"/>
    </row>
    <row r="3159" spans="1:23" ht="12.5" x14ac:dyDescent="0.25">
      <c r="A3159" s="2" t="s">
        <v>5335</v>
      </c>
      <c r="B3159" s="2">
        <v>135</v>
      </c>
      <c r="C3159" s="2">
        <v>36000000</v>
      </c>
      <c r="D3159" s="2" t="s">
        <v>2182</v>
      </c>
      <c r="E3159" s="2" t="s">
        <v>5336</v>
      </c>
      <c r="F3159" s="2" t="s">
        <v>14</v>
      </c>
      <c r="G3159" s="2" t="s">
        <v>15</v>
      </c>
      <c r="H3159" s="2">
        <v>5000000</v>
      </c>
      <c r="I3159" s="2">
        <v>6.8</v>
      </c>
      <c r="J3159" s="2">
        <f t="shared" si="24"/>
        <v>31000000</v>
      </c>
      <c r="K3159" s="2">
        <f t="shared" si="25"/>
        <v>-1.7329279913641332E-2</v>
      </c>
      <c r="L3159" s="2" t="str">
        <f>IF(ISNUMBER(SEARCH("|",IMDB_Movies!$D3159)),LEFT(IMDB_Movies!$D3159,SEARCH("|",IMDB_Movies!$D3159)-1),IMDB_Movies!$D3159)</f>
        <v>Drama</v>
      </c>
      <c r="V3159" s="2"/>
      <c r="W3159" s="2"/>
    </row>
    <row r="3160" spans="1:23" ht="12.5" x14ac:dyDescent="0.25">
      <c r="A3160" s="2" t="s">
        <v>3237</v>
      </c>
      <c r="B3160" s="2">
        <v>93</v>
      </c>
      <c r="C3160" s="2">
        <v>34872293</v>
      </c>
      <c r="D3160" s="2" t="s">
        <v>2667</v>
      </c>
      <c r="E3160" s="2" t="s">
        <v>5337</v>
      </c>
      <c r="F3160" s="2" t="s">
        <v>14</v>
      </c>
      <c r="G3160" s="2" t="s">
        <v>15</v>
      </c>
      <c r="H3160" s="2">
        <v>8500000</v>
      </c>
      <c r="I3160" s="2">
        <v>4.9000000000000004</v>
      </c>
      <c r="J3160" s="2">
        <f t="shared" si="24"/>
        <v>26372293</v>
      </c>
      <c r="K3160" s="2">
        <f t="shared" si="25"/>
        <v>-1.7271032137866165E-2</v>
      </c>
      <c r="L3160" s="2" t="str">
        <f>IF(ISNUMBER(SEARCH("|",IMDB_Movies!$D3160)),LEFT(IMDB_Movies!$D3160,SEARCH("|",IMDB_Movies!$D3160)-1),IMDB_Movies!$D3160)</f>
        <v>Comedy</v>
      </c>
      <c r="V3160" s="2"/>
      <c r="W3160" s="2"/>
    </row>
    <row r="3161" spans="1:23" ht="12.5" x14ac:dyDescent="0.25">
      <c r="A3161" s="2" t="s">
        <v>5338</v>
      </c>
      <c r="B3161" s="2">
        <v>109</v>
      </c>
      <c r="C3161" s="2">
        <v>34468224</v>
      </c>
      <c r="D3161" s="2" t="s">
        <v>1914</v>
      </c>
      <c r="E3161" s="2" t="s">
        <v>5339</v>
      </c>
      <c r="F3161" s="2" t="s">
        <v>14</v>
      </c>
      <c r="G3161" s="2" t="s">
        <v>15</v>
      </c>
      <c r="H3161" s="2">
        <v>4500000</v>
      </c>
      <c r="I3161" s="2">
        <v>7.3</v>
      </c>
      <c r="J3161" s="2">
        <f t="shared" si="24"/>
        <v>29968224</v>
      </c>
      <c r="K3161" s="2">
        <f t="shared" si="25"/>
        <v>-1.7248736051009749E-2</v>
      </c>
      <c r="L3161" s="2" t="str">
        <f>IF(ISNUMBER(SEARCH("|",IMDB_Movies!$D3161)),LEFT(IMDB_Movies!$D3161,SEARCH("|",IMDB_Movies!$D3161)-1),IMDB_Movies!$D3161)</f>
        <v>Biography</v>
      </c>
      <c r="V3161" s="2"/>
      <c r="W3161" s="2"/>
    </row>
    <row r="3162" spans="1:23" ht="12.5" x14ac:dyDescent="0.25">
      <c r="A3162" s="2" t="s">
        <v>5340</v>
      </c>
      <c r="B3162" s="2">
        <v>101</v>
      </c>
      <c r="C3162" s="2">
        <v>32453345</v>
      </c>
      <c r="D3162" s="2" t="s">
        <v>3172</v>
      </c>
      <c r="E3162" s="2" t="s">
        <v>5341</v>
      </c>
      <c r="F3162" s="2" t="s">
        <v>14</v>
      </c>
      <c r="G3162" s="2" t="s">
        <v>15</v>
      </c>
      <c r="H3162" s="2">
        <v>5000000</v>
      </c>
      <c r="I3162" s="2">
        <v>5</v>
      </c>
      <c r="J3162" s="2">
        <f t="shared" si="24"/>
        <v>27453345</v>
      </c>
      <c r="K3162" s="2">
        <f t="shared" si="25"/>
        <v>-1.7187671346029654E-2</v>
      </c>
      <c r="L3162" s="2" t="str">
        <f>IF(ISNUMBER(SEARCH("|",IMDB_Movies!$D3162)),LEFT(IMDB_Movies!$D3162,SEARCH("|",IMDB_Movies!$D3162)-1),IMDB_Movies!$D3162)</f>
        <v>Fantasy</v>
      </c>
      <c r="V3162" s="2"/>
      <c r="W3162" s="2"/>
    </row>
    <row r="3163" spans="1:23" ht="12.5" x14ac:dyDescent="0.25">
      <c r="A3163" s="2" t="s">
        <v>2531</v>
      </c>
      <c r="B3163" s="2">
        <v>117</v>
      </c>
      <c r="C3163" s="2">
        <v>27296514</v>
      </c>
      <c r="D3163" s="2" t="s">
        <v>555</v>
      </c>
      <c r="E3163" s="2" t="s">
        <v>5342</v>
      </c>
      <c r="F3163" s="2" t="s">
        <v>14</v>
      </c>
      <c r="G3163" s="2" t="s">
        <v>15</v>
      </c>
      <c r="H3163" s="2">
        <v>5000000</v>
      </c>
      <c r="I3163" s="2">
        <v>8</v>
      </c>
      <c r="J3163" s="2">
        <f t="shared" si="24"/>
        <v>22296514</v>
      </c>
      <c r="K3163" s="2">
        <f t="shared" si="25"/>
        <v>-1.7134666149720711E-2</v>
      </c>
      <c r="L3163" s="2" t="str">
        <f>IF(ISNUMBER(SEARCH("|",IMDB_Movies!$D3163)),LEFT(IMDB_Movies!$D3163,SEARCH("|",IMDB_Movies!$D3163)-1),IMDB_Movies!$D3163)</f>
        <v>Biography</v>
      </c>
      <c r="V3163" s="2"/>
      <c r="W3163" s="2"/>
    </row>
    <row r="3164" spans="1:23" ht="12.5" x14ac:dyDescent="0.25">
      <c r="A3164" s="2" t="s">
        <v>5343</v>
      </c>
      <c r="B3164" s="2">
        <v>83</v>
      </c>
      <c r="C3164" s="2">
        <v>25799043</v>
      </c>
      <c r="D3164" s="2" t="s">
        <v>1486</v>
      </c>
      <c r="E3164" s="2" t="s">
        <v>5344</v>
      </c>
      <c r="F3164" s="2" t="s">
        <v>14</v>
      </c>
      <c r="G3164" s="2" t="s">
        <v>15</v>
      </c>
      <c r="H3164" s="2">
        <v>3300000</v>
      </c>
      <c r="I3164" s="2">
        <v>5.2</v>
      </c>
      <c r="J3164" s="2">
        <f t="shared" si="24"/>
        <v>22499043</v>
      </c>
      <c r="K3164" s="2">
        <f t="shared" si="25"/>
        <v>-1.7091343194545566E-2</v>
      </c>
      <c r="L3164" s="2" t="str">
        <f>IF(ISNUMBER(SEARCH("|",IMDB_Movies!$D3164)),LEFT(IMDB_Movies!$D3164,SEARCH("|",IMDB_Movies!$D3164)-1),IMDB_Movies!$D3164)</f>
        <v>Horror</v>
      </c>
      <c r="V3164" s="2"/>
      <c r="W3164" s="2"/>
    </row>
    <row r="3165" spans="1:23" ht="12.5" x14ac:dyDescent="0.25">
      <c r="A3165" s="2" t="s">
        <v>24</v>
      </c>
      <c r="B3165" s="2">
        <v>113</v>
      </c>
      <c r="C3165" s="2">
        <v>25530884</v>
      </c>
      <c r="D3165" s="2" t="s">
        <v>315</v>
      </c>
      <c r="E3165" s="2" t="s">
        <v>5345</v>
      </c>
      <c r="F3165" s="2" t="s">
        <v>14</v>
      </c>
      <c r="G3165" s="2" t="s">
        <v>15</v>
      </c>
      <c r="H3165" s="2">
        <v>9000000</v>
      </c>
      <c r="I3165" s="2">
        <v>8.5</v>
      </c>
      <c r="J3165" s="2">
        <f t="shared" si="24"/>
        <v>16530884</v>
      </c>
      <c r="K3165" s="2">
        <f t="shared" si="25"/>
        <v>-1.7040279440616687E-2</v>
      </c>
      <c r="L3165" s="2" t="str">
        <f>IF(ISNUMBER(SEARCH("|",IMDB_Movies!$D3165)),LEFT(IMDB_Movies!$D3165,SEARCH("|",IMDB_Movies!$D3165)-1),IMDB_Movies!$D3165)</f>
        <v>Mystery</v>
      </c>
      <c r="V3165" s="2"/>
      <c r="W3165" s="2"/>
    </row>
    <row r="3166" spans="1:23" ht="12.5" x14ac:dyDescent="0.25">
      <c r="A3166" s="2" t="s">
        <v>5346</v>
      </c>
      <c r="B3166" s="2">
        <v>104</v>
      </c>
      <c r="C3166" s="2">
        <v>27689474</v>
      </c>
      <c r="D3166" s="2" t="s">
        <v>2116</v>
      </c>
      <c r="E3166" s="2" t="s">
        <v>5347</v>
      </c>
      <c r="F3166" s="2" t="s">
        <v>14</v>
      </c>
      <c r="G3166" s="2" t="s">
        <v>15</v>
      </c>
      <c r="H3166" s="2">
        <v>5000000</v>
      </c>
      <c r="I3166" s="2">
        <v>6.5</v>
      </c>
      <c r="J3166" s="2">
        <f t="shared" si="24"/>
        <v>22689474</v>
      </c>
      <c r="K3166" s="2">
        <f t="shared" si="25"/>
        <v>-1.7025163173465804E-2</v>
      </c>
      <c r="L3166" s="2" t="str">
        <f>IF(ISNUMBER(SEARCH("|",IMDB_Movies!$D3166)),LEFT(IMDB_Movies!$D3166,SEARCH("|",IMDB_Movies!$D3166)-1),IMDB_Movies!$D3166)</f>
        <v>Horror</v>
      </c>
      <c r="V3166" s="2"/>
      <c r="W3166" s="2"/>
    </row>
    <row r="3167" spans="1:23" ht="12.5" x14ac:dyDescent="0.25">
      <c r="A3167" s="2" t="s">
        <v>2378</v>
      </c>
      <c r="B3167" s="2">
        <v>97</v>
      </c>
      <c r="C3167" s="2">
        <v>24138847</v>
      </c>
      <c r="D3167" s="2" t="s">
        <v>709</v>
      </c>
      <c r="E3167" s="2" t="s">
        <v>5348</v>
      </c>
      <c r="F3167" s="2" t="s">
        <v>14</v>
      </c>
      <c r="G3167" s="2" t="s">
        <v>15</v>
      </c>
      <c r="H3167" s="2">
        <v>5000000</v>
      </c>
      <c r="I3167" s="2">
        <v>7.4</v>
      </c>
      <c r="J3167" s="2">
        <f t="shared" si="24"/>
        <v>19138847</v>
      </c>
      <c r="K3167" s="2">
        <f t="shared" si="25"/>
        <v>-1.6980553235703719E-2</v>
      </c>
      <c r="L3167" s="2" t="str">
        <f>IF(ISNUMBER(SEARCH("|",IMDB_Movies!$D3167)),LEFT(IMDB_Movies!$D3167,SEARCH("|",IMDB_Movies!$D3167)-1),IMDB_Movies!$D3167)</f>
        <v>Comedy</v>
      </c>
      <c r="V3167" s="2"/>
      <c r="W3167" s="2"/>
    </row>
    <row r="3168" spans="1:23" ht="12.5" x14ac:dyDescent="0.25">
      <c r="A3168" s="2" t="s">
        <v>2210</v>
      </c>
      <c r="B3168" s="2">
        <v>110</v>
      </c>
      <c r="C3168" s="2">
        <v>21994911</v>
      </c>
      <c r="D3168" s="2" t="s">
        <v>2082</v>
      </c>
      <c r="E3168" s="2" t="s">
        <v>5349</v>
      </c>
      <c r="F3168" s="2" t="s">
        <v>14</v>
      </c>
      <c r="G3168" s="2" t="s">
        <v>22</v>
      </c>
      <c r="H3168" s="2">
        <v>5000000</v>
      </c>
      <c r="I3168" s="2">
        <v>7.7</v>
      </c>
      <c r="J3168" s="2">
        <f t="shared" si="24"/>
        <v>16994911</v>
      </c>
      <c r="K3168" s="2">
        <f t="shared" si="25"/>
        <v>-1.6943391227178504E-2</v>
      </c>
      <c r="L3168" s="2" t="str">
        <f>IF(ISNUMBER(SEARCH("|",IMDB_Movies!$D3168)),LEFT(IMDB_Movies!$D3168,SEARCH("|",IMDB_Movies!$D3168)-1),IMDB_Movies!$D3168)</f>
        <v>Drama</v>
      </c>
      <c r="V3168" s="2"/>
      <c r="W3168" s="2"/>
    </row>
    <row r="3169" spans="1:23" ht="12.5" x14ac:dyDescent="0.25">
      <c r="A3169" s="2" t="s">
        <v>5350</v>
      </c>
      <c r="B3169" s="2">
        <v>103</v>
      </c>
      <c r="C3169" s="2">
        <v>21501098</v>
      </c>
      <c r="D3169" s="2" t="s">
        <v>891</v>
      </c>
      <c r="E3169" s="2" t="s">
        <v>5351</v>
      </c>
      <c r="F3169" s="2" t="s">
        <v>14</v>
      </c>
      <c r="G3169" s="2" t="s">
        <v>15</v>
      </c>
      <c r="H3169" s="2">
        <v>5000000</v>
      </c>
      <c r="I3169" s="2">
        <v>7.4</v>
      </c>
      <c r="J3169" s="2">
        <f t="shared" si="24"/>
        <v>16501098</v>
      </c>
      <c r="K3169" s="2">
        <f t="shared" si="25"/>
        <v>-1.6911018745679234E-2</v>
      </c>
      <c r="L3169" s="2" t="str">
        <f>IF(ISNUMBER(SEARCH("|",IMDB_Movies!$D3169)),LEFT(IMDB_Movies!$D3169,SEARCH("|",IMDB_Movies!$D3169)-1),IMDB_Movies!$D3169)</f>
        <v>Comedy</v>
      </c>
      <c r="V3169" s="2"/>
      <c r="W3169" s="2"/>
    </row>
    <row r="3170" spans="1:23" ht="12.5" x14ac:dyDescent="0.25">
      <c r="A3170" s="2" t="s">
        <v>5352</v>
      </c>
      <c r="B3170" s="2">
        <v>94</v>
      </c>
      <c r="C3170" s="2">
        <v>19281235</v>
      </c>
      <c r="D3170" s="2" t="s">
        <v>1946</v>
      </c>
      <c r="E3170" s="2" t="s">
        <v>5353</v>
      </c>
      <c r="F3170" s="2" t="s">
        <v>14</v>
      </c>
      <c r="G3170" s="2" t="s">
        <v>15</v>
      </c>
      <c r="H3170" s="2">
        <v>5000000</v>
      </c>
      <c r="I3170" s="2">
        <v>5.0999999999999996</v>
      </c>
      <c r="J3170" s="2">
        <f t="shared" si="24"/>
        <v>14281235</v>
      </c>
      <c r="K3170" s="2">
        <f t="shared" si="25"/>
        <v>-1.687969932282652E-2</v>
      </c>
      <c r="L3170" s="2" t="str">
        <f>IF(ISNUMBER(SEARCH("|",IMDB_Movies!$D3170)),LEFT(IMDB_Movies!$D3170,SEARCH("|",IMDB_Movies!$D3170)-1),IMDB_Movies!$D3170)</f>
        <v>Comedy</v>
      </c>
      <c r="V3170" s="2"/>
      <c r="W3170" s="2"/>
    </row>
    <row r="3171" spans="1:23" ht="12.5" x14ac:dyDescent="0.25">
      <c r="A3171" s="2" t="s">
        <v>5354</v>
      </c>
      <c r="B3171" s="2">
        <v>77</v>
      </c>
      <c r="C3171" s="2">
        <v>19421271</v>
      </c>
      <c r="D3171" s="2" t="s">
        <v>1030</v>
      </c>
      <c r="E3171" s="2" t="s">
        <v>5355</v>
      </c>
      <c r="F3171" s="2" t="s">
        <v>14</v>
      </c>
      <c r="G3171" s="2" t="s">
        <v>15</v>
      </c>
      <c r="H3171" s="2">
        <v>5000000</v>
      </c>
      <c r="I3171" s="2">
        <v>5</v>
      </c>
      <c r="J3171" s="2">
        <f t="shared" si="24"/>
        <v>14421271</v>
      </c>
      <c r="K3171" s="2">
        <f t="shared" si="25"/>
        <v>-1.6853697772165249E-2</v>
      </c>
      <c r="L3171" s="2" t="str">
        <f>IF(ISNUMBER(SEARCH("|",IMDB_Movies!$D3171)),LEFT(IMDB_Movies!$D3171,SEARCH("|",IMDB_Movies!$D3171)-1),IMDB_Movies!$D3171)</f>
        <v>Animation</v>
      </c>
      <c r="V3171" s="2"/>
      <c r="W3171" s="2"/>
    </row>
    <row r="3172" spans="1:23" ht="12.5" x14ac:dyDescent="0.25">
      <c r="A3172" s="2" t="s">
        <v>5356</v>
      </c>
      <c r="B3172" s="2">
        <v>134</v>
      </c>
      <c r="C3172" s="2">
        <v>20733485</v>
      </c>
      <c r="D3172" s="2" t="s">
        <v>1180</v>
      </c>
      <c r="E3172" s="2" t="s">
        <v>5357</v>
      </c>
      <c r="F3172" s="2" t="s">
        <v>14</v>
      </c>
      <c r="G3172" s="2" t="s">
        <v>15</v>
      </c>
      <c r="H3172" s="2">
        <v>5000000</v>
      </c>
      <c r="I3172" s="2">
        <v>7.2</v>
      </c>
      <c r="J3172" s="2">
        <f t="shared" si="24"/>
        <v>15733485</v>
      </c>
      <c r="K3172" s="2">
        <f t="shared" si="25"/>
        <v>-1.682725415860286E-2</v>
      </c>
      <c r="L3172" s="2" t="str">
        <f>IF(ISNUMBER(SEARCH("|",IMDB_Movies!$D3172)),LEFT(IMDB_Movies!$D3172,SEARCH("|",IMDB_Movies!$D3172)-1),IMDB_Movies!$D3172)</f>
        <v>Drama</v>
      </c>
      <c r="V3172" s="2"/>
      <c r="W3172" s="2"/>
    </row>
    <row r="3173" spans="1:23" ht="12.5" x14ac:dyDescent="0.25">
      <c r="A3173" s="2" t="s">
        <v>5358</v>
      </c>
      <c r="B3173" s="2">
        <v>90</v>
      </c>
      <c r="C3173" s="2">
        <v>24809547</v>
      </c>
      <c r="D3173" s="2" t="s">
        <v>891</v>
      </c>
      <c r="E3173" s="2" t="s">
        <v>5359</v>
      </c>
      <c r="F3173" s="2" t="s">
        <v>14</v>
      </c>
      <c r="G3173" s="2" t="s">
        <v>15</v>
      </c>
      <c r="H3173" s="2">
        <v>5000000</v>
      </c>
      <c r="I3173" s="2">
        <v>6.4</v>
      </c>
      <c r="J3173" s="2">
        <f t="shared" si="24"/>
        <v>19809547</v>
      </c>
      <c r="K3173" s="2">
        <f t="shared" si="25"/>
        <v>-1.6797472024299532E-2</v>
      </c>
      <c r="L3173" s="2" t="str">
        <f>IF(ISNUMBER(SEARCH("|",IMDB_Movies!$D3173)),LEFT(IMDB_Movies!$D3173,SEARCH("|",IMDB_Movies!$D3173)-1),IMDB_Movies!$D3173)</f>
        <v>Comedy</v>
      </c>
      <c r="V3173" s="2"/>
      <c r="W3173" s="2"/>
    </row>
    <row r="3174" spans="1:23" ht="12.5" x14ac:dyDescent="0.25">
      <c r="A3174" s="2" t="s">
        <v>5360</v>
      </c>
      <c r="B3174" s="2">
        <v>104</v>
      </c>
      <c r="C3174" s="2">
        <v>23031390</v>
      </c>
      <c r="D3174" s="2" t="s">
        <v>891</v>
      </c>
      <c r="E3174" s="2" t="s">
        <v>5361</v>
      </c>
      <c r="F3174" s="2" t="s">
        <v>14</v>
      </c>
      <c r="G3174" s="2" t="s">
        <v>15</v>
      </c>
      <c r="H3174" s="2">
        <v>4500000</v>
      </c>
      <c r="I3174" s="2">
        <v>5.6</v>
      </c>
      <c r="J3174" s="2">
        <f t="shared" si="24"/>
        <v>18531390</v>
      </c>
      <c r="K3174" s="2">
        <f t="shared" si="25"/>
        <v>-1.6758035823345251E-2</v>
      </c>
      <c r="L3174" s="2" t="str">
        <f>IF(ISNUMBER(SEARCH("|",IMDB_Movies!$D3174)),LEFT(IMDB_Movies!$D3174,SEARCH("|",IMDB_Movies!$D3174)-1),IMDB_Movies!$D3174)</f>
        <v>Comedy</v>
      </c>
      <c r="V3174" s="2"/>
      <c r="W3174" s="2"/>
    </row>
    <row r="3175" spans="1:23" ht="12.5" x14ac:dyDescent="0.25">
      <c r="A3175" s="2" t="s">
        <v>4470</v>
      </c>
      <c r="B3175" s="2">
        <v>93</v>
      </c>
      <c r="C3175" s="2">
        <v>21197315</v>
      </c>
      <c r="D3175" s="2" t="s">
        <v>1050</v>
      </c>
      <c r="E3175" s="2" t="s">
        <v>5362</v>
      </c>
      <c r="F3175" s="2" t="s">
        <v>14</v>
      </c>
      <c r="G3175" s="2" t="s">
        <v>15</v>
      </c>
      <c r="H3175" s="2">
        <v>5000000</v>
      </c>
      <c r="I3175" s="2">
        <v>6.1</v>
      </c>
      <c r="J3175" s="2">
        <f t="shared" si="24"/>
        <v>16197315</v>
      </c>
      <c r="K3175" s="2">
        <f t="shared" si="25"/>
        <v>-1.6719867270881841E-2</v>
      </c>
      <c r="L3175" s="2" t="str">
        <f>IF(ISNUMBER(SEARCH("|",IMDB_Movies!$D3175)),LEFT(IMDB_Movies!$D3175,SEARCH("|",IMDB_Movies!$D3175)-1),IMDB_Movies!$D3175)</f>
        <v>Horror</v>
      </c>
      <c r="V3175" s="2"/>
      <c r="W3175" s="2"/>
    </row>
    <row r="3176" spans="1:23" ht="12.5" x14ac:dyDescent="0.25">
      <c r="A3176" s="2" t="s">
        <v>3785</v>
      </c>
      <c r="B3176" s="2">
        <v>106</v>
      </c>
      <c r="C3176" s="2">
        <v>17382982</v>
      </c>
      <c r="D3176" s="2" t="s">
        <v>1400</v>
      </c>
      <c r="E3176" s="2" t="s">
        <v>5363</v>
      </c>
      <c r="F3176" s="2" t="s">
        <v>971</v>
      </c>
      <c r="G3176" s="2" t="s">
        <v>15</v>
      </c>
      <c r="H3176" s="2">
        <v>5000000</v>
      </c>
      <c r="I3176" s="2">
        <v>5.2</v>
      </c>
      <c r="J3176" s="2">
        <f t="shared" si="24"/>
        <v>12382982</v>
      </c>
      <c r="K3176" s="2">
        <f t="shared" si="25"/>
        <v>-1.6688587884712447E-2</v>
      </c>
      <c r="L3176" s="2" t="str">
        <f>IF(ISNUMBER(SEARCH("|",IMDB_Movies!$D3176)),LEFT(IMDB_Movies!$D3176,SEARCH("|",IMDB_Movies!$D3176)-1),IMDB_Movies!$D3176)</f>
        <v>Drama</v>
      </c>
      <c r="V3176" s="2"/>
      <c r="W3176" s="2"/>
    </row>
    <row r="3177" spans="1:23" ht="12.5" x14ac:dyDescent="0.25">
      <c r="A3177" s="2" t="s">
        <v>3866</v>
      </c>
      <c r="B3177" s="2">
        <v>109</v>
      </c>
      <c r="C3177" s="2">
        <v>14821531</v>
      </c>
      <c r="D3177" s="2" t="s">
        <v>1180</v>
      </c>
      <c r="E3177" s="2" t="s">
        <v>5364</v>
      </c>
      <c r="F3177" s="2" t="s">
        <v>14</v>
      </c>
      <c r="G3177" s="2" t="s">
        <v>15</v>
      </c>
      <c r="H3177" s="2">
        <v>6000000</v>
      </c>
      <c r="I3177" s="2">
        <v>7.3</v>
      </c>
      <c r="J3177" s="2">
        <f t="shared" si="24"/>
        <v>8821531</v>
      </c>
      <c r="K3177" s="2">
        <f t="shared" si="25"/>
        <v>-1.666686303119861E-2</v>
      </c>
      <c r="L3177" s="2" t="str">
        <f>IF(ISNUMBER(SEARCH("|",IMDB_Movies!$D3177)),LEFT(IMDB_Movies!$D3177,SEARCH("|",IMDB_Movies!$D3177)-1),IMDB_Movies!$D3177)</f>
        <v>Drama</v>
      </c>
      <c r="V3177" s="2"/>
      <c r="W3177" s="2"/>
    </row>
    <row r="3178" spans="1:23" ht="12.5" x14ac:dyDescent="0.25">
      <c r="A3178" s="2" t="s">
        <v>5365</v>
      </c>
      <c r="B3178" s="2">
        <v>101</v>
      </c>
      <c r="C3178" s="2">
        <v>18656400</v>
      </c>
      <c r="D3178" s="2" t="s">
        <v>1180</v>
      </c>
      <c r="E3178" s="2" t="s">
        <v>5366</v>
      </c>
      <c r="F3178" s="2" t="s">
        <v>14</v>
      </c>
      <c r="G3178" s="2" t="s">
        <v>15</v>
      </c>
      <c r="H3178" s="2">
        <v>5000000</v>
      </c>
      <c r="I3178" s="2">
        <v>7.5</v>
      </c>
      <c r="J3178" s="2">
        <f t="shared" si="24"/>
        <v>13656400</v>
      </c>
      <c r="K3178" s="2">
        <f t="shared" si="25"/>
        <v>-1.6654028713218971E-2</v>
      </c>
      <c r="L3178" s="2" t="str">
        <f>IF(ISNUMBER(SEARCH("|",IMDB_Movies!$D3178)),LEFT(IMDB_Movies!$D3178,SEARCH("|",IMDB_Movies!$D3178)-1),IMDB_Movies!$D3178)</f>
        <v>Drama</v>
      </c>
      <c r="V3178" s="2"/>
      <c r="W3178" s="2"/>
    </row>
    <row r="3179" spans="1:23" ht="12.5" x14ac:dyDescent="0.25">
      <c r="A3179" s="2" t="s">
        <v>5367</v>
      </c>
      <c r="B3179" s="2">
        <v>100</v>
      </c>
      <c r="C3179" s="2">
        <v>14343976</v>
      </c>
      <c r="D3179" s="2" t="s">
        <v>5368</v>
      </c>
      <c r="E3179" s="2" t="s">
        <v>5369</v>
      </c>
      <c r="F3179" s="2" t="s">
        <v>14</v>
      </c>
      <c r="G3179" s="2" t="s">
        <v>15</v>
      </c>
      <c r="H3179" s="2">
        <v>5000000</v>
      </c>
      <c r="I3179" s="2">
        <v>4.5</v>
      </c>
      <c r="J3179" s="2">
        <f t="shared" si="24"/>
        <v>9343976</v>
      </c>
      <c r="K3179" s="2">
        <f t="shared" si="25"/>
        <v>-1.6628849864280728E-2</v>
      </c>
      <c r="L3179" s="2" t="str">
        <f>IF(ISNUMBER(SEARCH("|",IMDB_Movies!$D3179)),LEFT(IMDB_Movies!$D3179,SEARCH("|",IMDB_Movies!$D3179)-1),IMDB_Movies!$D3179)</f>
        <v>Adventure</v>
      </c>
      <c r="V3179" s="2"/>
      <c r="W3179" s="2"/>
    </row>
    <row r="3180" spans="1:23" ht="12.5" x14ac:dyDescent="0.25">
      <c r="A3180" s="2" t="s">
        <v>1960</v>
      </c>
      <c r="B3180" s="2">
        <v>95</v>
      </c>
      <c r="C3180" s="2">
        <v>241437427</v>
      </c>
      <c r="D3180" s="2" t="s">
        <v>955</v>
      </c>
      <c r="E3180" s="2" t="s">
        <v>5370</v>
      </c>
      <c r="F3180" s="2" t="s">
        <v>14</v>
      </c>
      <c r="G3180" s="2" t="s">
        <v>15</v>
      </c>
      <c r="H3180" s="2">
        <v>5000000</v>
      </c>
      <c r="I3180" s="2">
        <v>6.6</v>
      </c>
      <c r="J3180" s="2">
        <f t="shared" si="24"/>
        <v>236437427</v>
      </c>
      <c r="K3180" s="2">
        <f t="shared" si="25"/>
        <v>-1.6615181620711014E-2</v>
      </c>
      <c r="L3180" s="2" t="str">
        <f>IF(ISNUMBER(SEARCH("|",IMDB_Movies!$D3180)),LEFT(IMDB_Movies!$D3180,SEARCH("|",IMDB_Movies!$D3180)-1),IMDB_Movies!$D3180)</f>
        <v>Comedy</v>
      </c>
      <c r="V3180" s="2"/>
      <c r="W3180" s="2"/>
    </row>
    <row r="3181" spans="1:23" ht="12.5" x14ac:dyDescent="0.25">
      <c r="A3181" s="2" t="s">
        <v>5371</v>
      </c>
      <c r="B3181" s="2">
        <v>94</v>
      </c>
      <c r="C3181" s="2">
        <v>14123773</v>
      </c>
      <c r="D3181" s="2" t="s">
        <v>694</v>
      </c>
      <c r="E3181" s="2" t="s">
        <v>5372</v>
      </c>
      <c r="F3181" s="2" t="s">
        <v>14</v>
      </c>
      <c r="G3181" s="2" t="s">
        <v>15</v>
      </c>
      <c r="H3181" s="2">
        <v>5000000</v>
      </c>
      <c r="I3181" s="2">
        <v>5.3</v>
      </c>
      <c r="J3181" s="2">
        <f t="shared" si="24"/>
        <v>9123773</v>
      </c>
      <c r="K3181" s="2">
        <f t="shared" si="25"/>
        <v>-1.7390040743677334E-2</v>
      </c>
      <c r="L3181" s="2" t="str">
        <f>IF(ISNUMBER(SEARCH("|",IMDB_Movies!$D3181)),LEFT(IMDB_Movies!$D3181,SEARCH("|",IMDB_Movies!$D3181)-1),IMDB_Movies!$D3181)</f>
        <v>Crime</v>
      </c>
      <c r="V3181" s="2"/>
      <c r="W3181" s="2"/>
    </row>
    <row r="3182" spans="1:23" ht="12.5" x14ac:dyDescent="0.25">
      <c r="A3182" s="2" t="s">
        <v>5373</v>
      </c>
      <c r="B3182" s="2">
        <v>93</v>
      </c>
      <c r="C3182" s="2">
        <v>15126948</v>
      </c>
      <c r="D3182" s="2" t="s">
        <v>2228</v>
      </c>
      <c r="E3182" s="2" t="s">
        <v>5374</v>
      </c>
      <c r="F3182" s="2" t="s">
        <v>14</v>
      </c>
      <c r="G3182" s="2" t="s">
        <v>15</v>
      </c>
      <c r="H3182" s="2">
        <v>5000000</v>
      </c>
      <c r="I3182" s="2">
        <v>4.9000000000000004</v>
      </c>
      <c r="J3182" s="2">
        <f t="shared" si="24"/>
        <v>10126948</v>
      </c>
      <c r="K3182" s="2">
        <f t="shared" si="25"/>
        <v>-1.7374622642427923E-2</v>
      </c>
      <c r="L3182" s="2" t="str">
        <f>IF(ISNUMBER(SEARCH("|",IMDB_Movies!$D3182)),LEFT(IMDB_Movies!$D3182,SEARCH("|",IMDB_Movies!$D3182)-1),IMDB_Movies!$D3182)</f>
        <v>Horror</v>
      </c>
      <c r="V3182" s="2"/>
      <c r="W3182" s="2"/>
    </row>
    <row r="3183" spans="1:23" ht="12.5" x14ac:dyDescent="0.25">
      <c r="A3183" s="2" t="s">
        <v>446</v>
      </c>
      <c r="B3183" s="2">
        <v>106</v>
      </c>
      <c r="C3183" s="2">
        <v>13622333</v>
      </c>
      <c r="D3183" s="2" t="s">
        <v>3674</v>
      </c>
      <c r="E3183" s="2" t="s">
        <v>5375</v>
      </c>
      <c r="F3183" s="2" t="s">
        <v>971</v>
      </c>
      <c r="G3183" s="2" t="s">
        <v>3657</v>
      </c>
      <c r="H3183" s="2">
        <v>2000000</v>
      </c>
      <c r="I3183" s="2">
        <v>7.7</v>
      </c>
      <c r="J3183" s="2">
        <f t="shared" si="24"/>
        <v>11622333</v>
      </c>
      <c r="K3183" s="2">
        <f t="shared" si="25"/>
        <v>-1.7356146994125271E-2</v>
      </c>
      <c r="L3183" s="2" t="str">
        <f>IF(ISNUMBER(SEARCH("|",IMDB_Movies!$D3183)),LEFT(IMDB_Movies!$D3183,SEARCH("|",IMDB_Movies!$D3183)-1),IMDB_Movies!$D3183)</f>
        <v>Adventure</v>
      </c>
      <c r="V3183" s="2"/>
      <c r="W3183" s="2"/>
    </row>
    <row r="3184" spans="1:23" ht="12.5" x14ac:dyDescent="0.25">
      <c r="A3184" s="2" t="s">
        <v>869</v>
      </c>
      <c r="B3184" s="2">
        <v>99</v>
      </c>
      <c r="C3184" s="2">
        <v>13464388</v>
      </c>
      <c r="D3184" s="2" t="s">
        <v>2514</v>
      </c>
      <c r="E3184" s="2" t="s">
        <v>5376</v>
      </c>
      <c r="F3184" s="2" t="s">
        <v>14</v>
      </c>
      <c r="G3184" s="2" t="s">
        <v>22</v>
      </c>
      <c r="H3184" s="2">
        <v>4000000</v>
      </c>
      <c r="I3184" s="2">
        <v>8</v>
      </c>
      <c r="J3184" s="2">
        <f t="shared" si="24"/>
        <v>9464388</v>
      </c>
      <c r="K3184" s="2">
        <f t="shared" si="25"/>
        <v>-1.7336438881315027E-2</v>
      </c>
      <c r="L3184" s="2" t="str">
        <f>IF(ISNUMBER(SEARCH("|",IMDB_Movies!$D3184)),LEFT(IMDB_Movies!$D3184,SEARCH("|",IMDB_Movies!$D3184)-1),IMDB_Movies!$D3184)</f>
        <v>Comedy</v>
      </c>
      <c r="V3184" s="2"/>
      <c r="W3184" s="2"/>
    </row>
    <row r="3185" spans="1:23" ht="12.5" x14ac:dyDescent="0.25">
      <c r="A3185" s="2" t="s">
        <v>5377</v>
      </c>
      <c r="B3185" s="2">
        <v>82</v>
      </c>
      <c r="C3185" s="2">
        <v>13350177</v>
      </c>
      <c r="D3185" s="2" t="s">
        <v>1507</v>
      </c>
      <c r="E3185" s="2" t="s">
        <v>5378</v>
      </c>
      <c r="F3185" s="2" t="s">
        <v>14</v>
      </c>
      <c r="G3185" s="2" t="s">
        <v>15</v>
      </c>
      <c r="H3185" s="2">
        <v>5000000</v>
      </c>
      <c r="I3185" s="2">
        <v>3.8</v>
      </c>
      <c r="J3185" s="2">
        <f t="shared" si="24"/>
        <v>8350177</v>
      </c>
      <c r="K3185" s="2">
        <f t="shared" si="25"/>
        <v>-1.7321029824406066E-2</v>
      </c>
      <c r="L3185" s="2" t="str">
        <f>IF(ISNUMBER(SEARCH("|",IMDB_Movies!$D3185)),LEFT(IMDB_Movies!$D3185,SEARCH("|",IMDB_Movies!$D3185)-1),IMDB_Movies!$D3185)</f>
        <v>Drama</v>
      </c>
      <c r="V3185" s="2"/>
      <c r="W3185" s="2"/>
    </row>
    <row r="3186" spans="1:23" ht="12.5" x14ac:dyDescent="0.25">
      <c r="A3186" s="2" t="s">
        <v>4931</v>
      </c>
      <c r="B3186" s="2">
        <v>135</v>
      </c>
      <c r="C3186" s="2">
        <v>13269963</v>
      </c>
      <c r="D3186" s="2" t="s">
        <v>2665</v>
      </c>
      <c r="E3186" s="2" t="s">
        <v>5379</v>
      </c>
      <c r="F3186" s="2" t="s">
        <v>14</v>
      </c>
      <c r="G3186" s="2" t="s">
        <v>15</v>
      </c>
      <c r="H3186" s="2">
        <v>5000000</v>
      </c>
      <c r="I3186" s="2">
        <v>7.6</v>
      </c>
      <c r="J3186" s="2">
        <f t="shared" si="24"/>
        <v>8269963</v>
      </c>
      <c r="K3186" s="2">
        <f t="shared" si="25"/>
        <v>-1.7307762700905754E-2</v>
      </c>
      <c r="L3186" s="2" t="str">
        <f>IF(ISNUMBER(SEARCH("|",IMDB_Movies!$D3186)),LEFT(IMDB_Movies!$D3186,SEARCH("|",IMDB_Movies!$D3186)-1),IMDB_Movies!$D3186)</f>
        <v>Drama</v>
      </c>
      <c r="V3186" s="2"/>
      <c r="W3186" s="2"/>
    </row>
    <row r="3187" spans="1:23" ht="12.5" x14ac:dyDescent="0.25">
      <c r="A3187" s="2" t="s">
        <v>3136</v>
      </c>
      <c r="B3187" s="2">
        <v>88</v>
      </c>
      <c r="C3187" s="2">
        <v>17768000</v>
      </c>
      <c r="D3187" s="2" t="s">
        <v>2228</v>
      </c>
      <c r="E3187" s="2" t="s">
        <v>5380</v>
      </c>
      <c r="F3187" s="2" t="s">
        <v>14</v>
      </c>
      <c r="G3187" s="2" t="s">
        <v>15</v>
      </c>
      <c r="H3187" s="2">
        <v>5000000</v>
      </c>
      <c r="I3187" s="2">
        <v>5.9</v>
      </c>
      <c r="J3187" s="2">
        <f t="shared" si="24"/>
        <v>12768000</v>
      </c>
      <c r="K3187" s="2">
        <f t="shared" si="25"/>
        <v>-1.729469947771807E-2</v>
      </c>
      <c r="L3187" s="2" t="str">
        <f>IF(ISNUMBER(SEARCH("|",IMDB_Movies!$D3187)),LEFT(IMDB_Movies!$D3187,SEARCH("|",IMDB_Movies!$D3187)-1),IMDB_Movies!$D3187)</f>
        <v>Horror</v>
      </c>
      <c r="V3187" s="2"/>
      <c r="W3187" s="2"/>
    </row>
    <row r="3188" spans="1:23" ht="12.5" x14ac:dyDescent="0.25">
      <c r="A3188" s="2" t="s">
        <v>5381</v>
      </c>
      <c r="B3188" s="2">
        <v>89</v>
      </c>
      <c r="C3188" s="2">
        <v>12947763</v>
      </c>
      <c r="D3188" s="2" t="s">
        <v>2116</v>
      </c>
      <c r="E3188" s="2" t="s">
        <v>5382</v>
      </c>
      <c r="F3188" s="2" t="s">
        <v>14</v>
      </c>
      <c r="G3188" s="2" t="s">
        <v>15</v>
      </c>
      <c r="H3188" s="2">
        <v>5000000</v>
      </c>
      <c r="I3188" s="2">
        <v>6.2</v>
      </c>
      <c r="J3188" s="2">
        <f t="shared" si="24"/>
        <v>7947763</v>
      </c>
      <c r="K3188" s="2">
        <f t="shared" si="25"/>
        <v>-1.7268231256124887E-2</v>
      </c>
      <c r="L3188" s="2" t="str">
        <f>IF(ISNUMBER(SEARCH("|",IMDB_Movies!$D3188)),LEFT(IMDB_Movies!$D3188,SEARCH("|",IMDB_Movies!$D3188)-1),IMDB_Movies!$D3188)</f>
        <v>Horror</v>
      </c>
      <c r="V3188" s="2"/>
      <c r="W3188" s="2"/>
    </row>
    <row r="3189" spans="1:23" ht="12.5" x14ac:dyDescent="0.25">
      <c r="A3189" s="2" t="s">
        <v>1081</v>
      </c>
      <c r="B3189" s="2">
        <v>110</v>
      </c>
      <c r="C3189" s="2">
        <v>14100000</v>
      </c>
      <c r="D3189" s="2" t="s">
        <v>891</v>
      </c>
      <c r="E3189" s="2" t="s">
        <v>5383</v>
      </c>
      <c r="F3189" s="2" t="s">
        <v>14</v>
      </c>
      <c r="G3189" s="2" t="s">
        <v>15</v>
      </c>
      <c r="H3189" s="2">
        <v>5000000</v>
      </c>
      <c r="I3189" s="2">
        <v>7.2</v>
      </c>
      <c r="J3189" s="2">
        <f t="shared" si="24"/>
        <v>9100000</v>
      </c>
      <c r="K3189" s="2">
        <f t="shared" si="25"/>
        <v>-1.7256061362785947E-2</v>
      </c>
      <c r="L3189" s="2" t="str">
        <f>IF(ISNUMBER(SEARCH("|",IMDB_Movies!$D3189)),LEFT(IMDB_Movies!$D3189,SEARCH("|",IMDB_Movies!$D3189)-1),IMDB_Movies!$D3189)</f>
        <v>Comedy</v>
      </c>
      <c r="V3189" s="2"/>
      <c r="W3189" s="2"/>
    </row>
    <row r="3190" spans="1:23" ht="12.5" x14ac:dyDescent="0.25">
      <c r="A3190" s="2" t="s">
        <v>5384</v>
      </c>
      <c r="B3190" s="2">
        <v>107</v>
      </c>
      <c r="C3190" s="2">
        <v>12200000</v>
      </c>
      <c r="D3190" s="2" t="s">
        <v>3335</v>
      </c>
      <c r="E3190" s="2" t="s">
        <v>5385</v>
      </c>
      <c r="F3190" s="2" t="s">
        <v>14</v>
      </c>
      <c r="G3190" s="2" t="s">
        <v>15</v>
      </c>
      <c r="H3190" s="2">
        <v>5000000</v>
      </c>
      <c r="I3190" s="2">
        <v>6.3</v>
      </c>
      <c r="J3190" s="2">
        <f t="shared" si="24"/>
        <v>7200000</v>
      </c>
      <c r="K3190" s="2">
        <f t="shared" si="25"/>
        <v>-1.7240271202904361E-2</v>
      </c>
      <c r="L3190" s="2" t="str">
        <f>IF(ISNUMBER(SEARCH("|",IMDB_Movies!$D3190)),LEFT(IMDB_Movies!$D3190,SEARCH("|",IMDB_Movies!$D3190)-1),IMDB_Movies!$D3190)</f>
        <v>Action</v>
      </c>
      <c r="V3190" s="2"/>
      <c r="W3190" s="2"/>
    </row>
    <row r="3191" spans="1:23" ht="12.5" x14ac:dyDescent="0.25">
      <c r="A3191" s="2" t="s">
        <v>5386</v>
      </c>
      <c r="B3191" s="2">
        <v>86</v>
      </c>
      <c r="C3191" s="2">
        <v>17683670</v>
      </c>
      <c r="D3191" s="2" t="s">
        <v>1467</v>
      </c>
      <c r="E3191" s="2" t="s">
        <v>5387</v>
      </c>
      <c r="F3191" s="2" t="s">
        <v>14</v>
      </c>
      <c r="G3191" s="2" t="s">
        <v>15</v>
      </c>
      <c r="H3191" s="2">
        <v>5000000</v>
      </c>
      <c r="I3191" s="2">
        <v>5.2</v>
      </c>
      <c r="J3191" s="2">
        <f t="shared" si="24"/>
        <v>12683670</v>
      </c>
      <c r="K3191" s="2">
        <f t="shared" si="25"/>
        <v>-1.7230383046930621E-2</v>
      </c>
      <c r="L3191" s="2" t="str">
        <f>IF(ISNUMBER(SEARCH("|",IMDB_Movies!$D3191)),LEFT(IMDB_Movies!$D3191,SEARCH("|",IMDB_Movies!$D3191)-1),IMDB_Movies!$D3191)</f>
        <v>Horror</v>
      </c>
      <c r="V3191" s="2"/>
      <c r="W3191" s="2"/>
    </row>
    <row r="3192" spans="1:23" ht="12.5" x14ac:dyDescent="0.25">
      <c r="A3192" s="2" t="s">
        <v>5388</v>
      </c>
      <c r="B3192" s="2">
        <v>91</v>
      </c>
      <c r="C3192" s="2">
        <v>12055108</v>
      </c>
      <c r="D3192" s="2" t="s">
        <v>891</v>
      </c>
      <c r="E3192" s="2" t="s">
        <v>5389</v>
      </c>
      <c r="F3192" s="2" t="s">
        <v>14</v>
      </c>
      <c r="G3192" s="2" t="s">
        <v>15</v>
      </c>
      <c r="H3192" s="2">
        <v>8000000</v>
      </c>
      <c r="I3192" s="2">
        <v>6.9</v>
      </c>
      <c r="J3192" s="2">
        <f t="shared" si="24"/>
        <v>4055108</v>
      </c>
      <c r="K3192" s="2">
        <f t="shared" si="25"/>
        <v>-1.7203852274584513E-2</v>
      </c>
      <c r="L3192" s="2" t="str">
        <f>IF(ISNUMBER(SEARCH("|",IMDB_Movies!$D3192)),LEFT(IMDB_Movies!$D3192,SEARCH("|",IMDB_Movies!$D3192)-1),IMDB_Movies!$D3192)</f>
        <v>Comedy</v>
      </c>
      <c r="V3192" s="2"/>
      <c r="W3192" s="2"/>
    </row>
    <row r="3193" spans="1:23" ht="12.5" x14ac:dyDescent="0.25">
      <c r="A3193" s="2" t="s">
        <v>4470</v>
      </c>
      <c r="B3193" s="2">
        <v>103</v>
      </c>
      <c r="C3193" s="2">
        <v>27285953</v>
      </c>
      <c r="D3193" s="2" t="s">
        <v>25</v>
      </c>
      <c r="E3193" s="2" t="s">
        <v>5390</v>
      </c>
      <c r="F3193" s="2" t="s">
        <v>14</v>
      </c>
      <c r="G3193" s="2" t="s">
        <v>15</v>
      </c>
      <c r="H3193" s="2">
        <v>5000000</v>
      </c>
      <c r="I3193" s="2">
        <v>6.8</v>
      </c>
      <c r="J3193" s="2">
        <f t="shared" si="24"/>
        <v>22285953</v>
      </c>
      <c r="K3193" s="2">
        <f t="shared" si="25"/>
        <v>-1.7198097545789808E-2</v>
      </c>
      <c r="L3193" s="2" t="str">
        <f>IF(ISNUMBER(SEARCH("|",IMDB_Movies!$D3193)),LEFT(IMDB_Movies!$D3193,SEARCH("|",IMDB_Movies!$D3193)-1),IMDB_Movies!$D3193)</f>
        <v>Action</v>
      </c>
      <c r="V3193" s="2"/>
      <c r="W3193" s="2"/>
    </row>
    <row r="3194" spans="1:23" ht="12.5" x14ac:dyDescent="0.25">
      <c r="A3194" s="2" t="s">
        <v>5391</v>
      </c>
      <c r="B3194" s="2">
        <v>92</v>
      </c>
      <c r="C3194" s="2">
        <v>11675178</v>
      </c>
      <c r="D3194" s="2" t="s">
        <v>709</v>
      </c>
      <c r="E3194" s="2" t="s">
        <v>5392</v>
      </c>
      <c r="F3194" s="2" t="s">
        <v>14</v>
      </c>
      <c r="G3194" s="2" t="s">
        <v>15</v>
      </c>
      <c r="H3194" s="2">
        <v>5000000</v>
      </c>
      <c r="I3194" s="2">
        <v>3.5</v>
      </c>
      <c r="J3194" s="2">
        <f t="shared" si="24"/>
        <v>6675178</v>
      </c>
      <c r="K3194" s="2">
        <f t="shared" si="25"/>
        <v>-1.7146753766605044E-2</v>
      </c>
      <c r="L3194" s="2" t="str">
        <f>IF(ISNUMBER(SEARCH("|",IMDB_Movies!$D3194)),LEFT(IMDB_Movies!$D3194,SEARCH("|",IMDB_Movies!$D3194)-1),IMDB_Movies!$D3194)</f>
        <v>Comedy</v>
      </c>
      <c r="V3194" s="2"/>
      <c r="W3194" s="2"/>
    </row>
    <row r="3195" spans="1:23" ht="12.5" x14ac:dyDescent="0.25">
      <c r="A3195" s="2" t="s">
        <v>5393</v>
      </c>
      <c r="B3195" s="2">
        <v>99</v>
      </c>
      <c r="C3195" s="2">
        <v>10572742</v>
      </c>
      <c r="D3195" s="2" t="s">
        <v>85</v>
      </c>
      <c r="E3195" s="2" t="s">
        <v>5394</v>
      </c>
      <c r="F3195" s="2" t="s">
        <v>14</v>
      </c>
      <c r="G3195" s="2" t="s">
        <v>15</v>
      </c>
      <c r="H3195" s="2">
        <v>8000000</v>
      </c>
      <c r="I3195" s="2">
        <v>6.1</v>
      </c>
      <c r="J3195" s="2">
        <f t="shared" si="24"/>
        <v>2572742</v>
      </c>
      <c r="K3195" s="2">
        <f t="shared" si="25"/>
        <v>-1.7138314490935887E-2</v>
      </c>
      <c r="L3195" s="2" t="str">
        <f>IF(ISNUMBER(SEARCH("|",IMDB_Movies!$D3195)),LEFT(IMDB_Movies!$D3195,SEARCH("|",IMDB_Movies!$D3195)-1),IMDB_Movies!$D3195)</f>
        <v>Drama</v>
      </c>
      <c r="V3195" s="2"/>
      <c r="W3195" s="2"/>
    </row>
    <row r="3196" spans="1:23" ht="12.5" x14ac:dyDescent="0.25">
      <c r="A3196" s="2" t="s">
        <v>3785</v>
      </c>
      <c r="B3196" s="2">
        <v>96</v>
      </c>
      <c r="C3196" s="2">
        <v>9658370</v>
      </c>
      <c r="D3196" s="2" t="s">
        <v>600</v>
      </c>
      <c r="E3196" s="2" t="s">
        <v>5395</v>
      </c>
      <c r="F3196" s="2" t="s">
        <v>14</v>
      </c>
      <c r="G3196" s="2" t="s">
        <v>15</v>
      </c>
      <c r="H3196" s="2">
        <v>5000000</v>
      </c>
      <c r="I3196" s="2">
        <v>4.5</v>
      </c>
      <c r="J3196" s="2">
        <f t="shared" si="24"/>
        <v>4658370</v>
      </c>
      <c r="K3196" s="2">
        <f t="shared" si="25"/>
        <v>-1.7135349179948835E-2</v>
      </c>
      <c r="L3196" s="2" t="str">
        <f>IF(ISNUMBER(SEARCH("|",IMDB_Movies!$D3196)),LEFT(IMDB_Movies!$D3196,SEARCH("|",IMDB_Movies!$D3196)-1),IMDB_Movies!$D3196)</f>
        <v>Comedy</v>
      </c>
      <c r="V3196" s="2"/>
      <c r="W3196" s="2"/>
    </row>
    <row r="3197" spans="1:23" ht="12.5" x14ac:dyDescent="0.25">
      <c r="A3197" s="2" t="s">
        <v>5396</v>
      </c>
      <c r="B3197" s="2">
        <v>82</v>
      </c>
      <c r="C3197" s="2">
        <v>9628751</v>
      </c>
      <c r="D3197" s="2" t="s">
        <v>1095</v>
      </c>
      <c r="E3197" s="2" t="s">
        <v>5397</v>
      </c>
      <c r="F3197" s="2" t="s">
        <v>14</v>
      </c>
      <c r="G3197" s="2" t="s">
        <v>15</v>
      </c>
      <c r="H3197" s="2">
        <v>5000000</v>
      </c>
      <c r="I3197" s="2">
        <v>5.9</v>
      </c>
      <c r="J3197" s="2">
        <f t="shared" si="24"/>
        <v>4628751</v>
      </c>
      <c r="K3197" s="2">
        <f t="shared" si="25"/>
        <v>-1.7133558033236195E-2</v>
      </c>
      <c r="L3197" s="2" t="str">
        <f>IF(ISNUMBER(SEARCH("|",IMDB_Movies!$D3197)),LEFT(IMDB_Movies!$D3197,SEARCH("|",IMDB_Movies!$D3197)-1),IMDB_Movies!$D3197)</f>
        <v>Action</v>
      </c>
      <c r="V3197" s="2"/>
      <c r="W3197" s="2"/>
    </row>
    <row r="3198" spans="1:23" ht="12.5" x14ac:dyDescent="0.25">
      <c r="A3198" s="2" t="s">
        <v>5398</v>
      </c>
      <c r="B3198" s="2">
        <v>92</v>
      </c>
      <c r="C3198" s="2">
        <v>8786715</v>
      </c>
      <c r="D3198" s="2" t="s">
        <v>891</v>
      </c>
      <c r="E3198" s="2" t="s">
        <v>5399</v>
      </c>
      <c r="F3198" s="2" t="s">
        <v>14</v>
      </c>
      <c r="G3198" s="2" t="s">
        <v>15</v>
      </c>
      <c r="H3198" s="2">
        <v>5000000</v>
      </c>
      <c r="I3198" s="2">
        <v>6.9</v>
      </c>
      <c r="J3198" s="2">
        <f t="shared" si="24"/>
        <v>3786715</v>
      </c>
      <c r="K3198" s="2">
        <f t="shared" si="25"/>
        <v>-1.7131861169048926E-2</v>
      </c>
      <c r="L3198" s="2" t="str">
        <f>IF(ISNUMBER(SEARCH("|",IMDB_Movies!$D3198)),LEFT(IMDB_Movies!$D3198,SEARCH("|",IMDB_Movies!$D3198)-1),IMDB_Movies!$D3198)</f>
        <v>Comedy</v>
      </c>
      <c r="V3198" s="2"/>
      <c r="W3198" s="2"/>
    </row>
    <row r="3199" spans="1:23" ht="12.5" x14ac:dyDescent="0.25">
      <c r="A3199" s="2" t="s">
        <v>5400</v>
      </c>
      <c r="B3199" s="2">
        <v>112</v>
      </c>
      <c r="C3199" s="2">
        <v>3432342</v>
      </c>
      <c r="D3199" s="2" t="s">
        <v>3640</v>
      </c>
      <c r="E3199" s="2" t="s">
        <v>5401</v>
      </c>
      <c r="F3199" s="2" t="s">
        <v>1006</v>
      </c>
      <c r="G3199" s="2" t="s">
        <v>104</v>
      </c>
      <c r="H3199" s="2">
        <v>6000000</v>
      </c>
      <c r="I3199" s="2">
        <v>7.7</v>
      </c>
      <c r="J3199" s="2">
        <f t="shared" si="24"/>
        <v>-2567658</v>
      </c>
      <c r="K3199" s="2">
        <f t="shared" si="25"/>
        <v>-1.713303939389435E-2</v>
      </c>
      <c r="L3199" s="2" t="str">
        <f>IF(ISNUMBER(SEARCH("|",IMDB_Movies!$D3199)),LEFT(IMDB_Movies!$D3199,SEARCH("|",IMDB_Movies!$D3199)-1),IMDB_Movies!$D3199)</f>
        <v>Comedy</v>
      </c>
      <c r="V3199" s="2"/>
      <c r="W3199" s="2"/>
    </row>
    <row r="3200" spans="1:23" ht="12.5" x14ac:dyDescent="0.25">
      <c r="A3200" s="2" t="s">
        <v>5402</v>
      </c>
      <c r="B3200" s="2">
        <v>90</v>
      </c>
      <c r="C3200" s="2">
        <v>6755271</v>
      </c>
      <c r="D3200" s="2" t="s">
        <v>2228</v>
      </c>
      <c r="E3200" s="2" t="s">
        <v>5403</v>
      </c>
      <c r="F3200" s="2" t="s">
        <v>14</v>
      </c>
      <c r="G3200" s="2" t="s">
        <v>15</v>
      </c>
      <c r="H3200" s="2">
        <v>5000000</v>
      </c>
      <c r="I3200" s="2">
        <v>5.3</v>
      </c>
      <c r="J3200" s="2">
        <f t="shared" si="24"/>
        <v>1755271</v>
      </c>
      <c r="K3200" s="2">
        <f t="shared" si="25"/>
        <v>-1.7151113726217436E-2</v>
      </c>
      <c r="L3200" s="2" t="str">
        <f>IF(ISNUMBER(SEARCH("|",IMDB_Movies!$D3200)),LEFT(IMDB_Movies!$D3200,SEARCH("|",IMDB_Movies!$D3200)-1),IMDB_Movies!$D3200)</f>
        <v>Horror</v>
      </c>
      <c r="V3200" s="2"/>
      <c r="W3200" s="2"/>
    </row>
    <row r="3201" spans="1:23" ht="12.5" x14ac:dyDescent="0.25">
      <c r="A3201" s="2" t="s">
        <v>5404</v>
      </c>
      <c r="B3201" s="2">
        <v>150</v>
      </c>
      <c r="C3201" s="2">
        <v>6157157</v>
      </c>
      <c r="D3201" s="2" t="s">
        <v>891</v>
      </c>
      <c r="E3201" s="2" t="s">
        <v>5405</v>
      </c>
      <c r="F3201" s="2" t="s">
        <v>14</v>
      </c>
      <c r="G3201" s="2" t="s">
        <v>15</v>
      </c>
      <c r="H3201" s="2">
        <v>5000000</v>
      </c>
      <c r="I3201" s="2">
        <v>7</v>
      </c>
      <c r="J3201" s="2">
        <f t="shared" si="24"/>
        <v>1157157</v>
      </c>
      <c r="K3201" s="2">
        <f t="shared" si="25"/>
        <v>-1.7159487304209256E-2</v>
      </c>
      <c r="L3201" s="2" t="str">
        <f>IF(ISNUMBER(SEARCH("|",IMDB_Movies!$D3201)),LEFT(IMDB_Movies!$D3201,SEARCH("|",IMDB_Movies!$D3201)-1),IMDB_Movies!$D3201)</f>
        <v>Comedy</v>
      </c>
      <c r="V3201" s="2"/>
      <c r="W3201" s="2"/>
    </row>
    <row r="3202" spans="1:23" ht="12.5" x14ac:dyDescent="0.25">
      <c r="A3202" s="2" t="s">
        <v>5406</v>
      </c>
      <c r="B3202" s="2">
        <v>91</v>
      </c>
      <c r="C3202" s="2">
        <v>5480318</v>
      </c>
      <c r="D3202" s="2" t="s">
        <v>891</v>
      </c>
      <c r="E3202" s="2" t="s">
        <v>5407</v>
      </c>
      <c r="F3202" s="2" t="s">
        <v>14</v>
      </c>
      <c r="G3202" s="2" t="s">
        <v>15</v>
      </c>
      <c r="H3202" s="2">
        <v>5000000</v>
      </c>
      <c r="I3202" s="2">
        <v>6.6</v>
      </c>
      <c r="J3202" s="2">
        <f t="shared" si="24"/>
        <v>480318</v>
      </c>
      <c r="K3202" s="2">
        <f t="shared" si="25"/>
        <v>-1.7170049355760393E-2</v>
      </c>
      <c r="L3202" s="2" t="str">
        <f>IF(ISNUMBER(SEARCH("|",IMDB_Movies!$D3202)),LEFT(IMDB_Movies!$D3202,SEARCH("|",IMDB_Movies!$D3202)-1),IMDB_Movies!$D3202)</f>
        <v>Comedy</v>
      </c>
      <c r="V3202" s="2"/>
      <c r="W3202" s="2"/>
    </row>
    <row r="3203" spans="1:23" ht="12.5" x14ac:dyDescent="0.25">
      <c r="A3203" s="2" t="s">
        <v>188</v>
      </c>
      <c r="B3203" s="2">
        <v>95</v>
      </c>
      <c r="C3203" s="2">
        <v>5308707</v>
      </c>
      <c r="D3203" s="2" t="s">
        <v>1802</v>
      </c>
      <c r="E3203" s="2" t="s">
        <v>5408</v>
      </c>
      <c r="F3203" s="2" t="s">
        <v>14</v>
      </c>
      <c r="G3203" s="2" t="s">
        <v>15</v>
      </c>
      <c r="H3203" s="2">
        <v>5000000</v>
      </c>
      <c r="I3203" s="2">
        <v>6.4</v>
      </c>
      <c r="J3203" s="2">
        <f t="shared" si="24"/>
        <v>308707</v>
      </c>
      <c r="K3203" s="2">
        <f t="shared" si="25"/>
        <v>-1.718312312634241E-2</v>
      </c>
      <c r="L3203" s="2" t="str">
        <f>IF(ISNUMBER(SEARCH("|",IMDB_Movies!$D3203)),LEFT(IMDB_Movies!$D3203,SEARCH("|",IMDB_Movies!$D3203)-1),IMDB_Movies!$D3203)</f>
        <v>Comedy</v>
      </c>
      <c r="V3203" s="2"/>
      <c r="W3203" s="2"/>
    </row>
    <row r="3204" spans="1:23" ht="12.5" x14ac:dyDescent="0.25">
      <c r="A3204" s="2" t="s">
        <v>275</v>
      </c>
      <c r="B3204" s="2">
        <v>97</v>
      </c>
      <c r="C3204" s="2">
        <v>5009677</v>
      </c>
      <c r="D3204" s="2" t="s">
        <v>1878</v>
      </c>
      <c r="E3204" s="2" t="s">
        <v>5409</v>
      </c>
      <c r="F3204" s="2" t="s">
        <v>14</v>
      </c>
      <c r="G3204" s="2" t="s">
        <v>22</v>
      </c>
      <c r="H3204" s="2">
        <v>5000000</v>
      </c>
      <c r="I3204" s="2">
        <v>7.9</v>
      </c>
      <c r="J3204" s="2">
        <f t="shared" si="24"/>
        <v>9677</v>
      </c>
      <c r="K3204" s="2">
        <f t="shared" si="25"/>
        <v>-1.7196875629453833E-2</v>
      </c>
      <c r="L3204" s="2" t="str">
        <f>IF(ISNUMBER(SEARCH("|",IMDB_Movies!$D3204)),LEFT(IMDB_Movies!$D3204,SEARCH("|",IMDB_Movies!$D3204)-1),IMDB_Movies!$D3204)</f>
        <v>Drama</v>
      </c>
      <c r="V3204" s="2"/>
      <c r="W3204" s="2"/>
    </row>
    <row r="3205" spans="1:23" ht="12.5" x14ac:dyDescent="0.25">
      <c r="A3205" s="2" t="s">
        <v>5410</v>
      </c>
      <c r="B3205" s="2">
        <v>41</v>
      </c>
      <c r="C3205" s="2">
        <v>4074023</v>
      </c>
      <c r="D3205" s="2" t="s">
        <v>2943</v>
      </c>
      <c r="E3205" s="2" t="s">
        <v>5411</v>
      </c>
      <c r="F3205" s="2" t="s">
        <v>14</v>
      </c>
      <c r="G3205" s="2" t="s">
        <v>22</v>
      </c>
      <c r="H3205" s="2">
        <v>5000000</v>
      </c>
      <c r="I3205" s="2">
        <v>6.9</v>
      </c>
      <c r="J3205" s="2">
        <f t="shared" si="24"/>
        <v>-925977</v>
      </c>
      <c r="K3205" s="2">
        <f t="shared" si="25"/>
        <v>-1.7211785960054644E-2</v>
      </c>
      <c r="L3205" s="2" t="str">
        <f>IF(ISNUMBER(SEARCH("|",IMDB_Movies!$D3205)),LEFT(IMDB_Movies!$D3205,SEARCH("|",IMDB_Movies!$D3205)-1),IMDB_Movies!$D3205)</f>
        <v>Documentary</v>
      </c>
      <c r="V3205" s="2"/>
      <c r="W3205" s="2"/>
    </row>
    <row r="3206" spans="1:23" ht="12.5" x14ac:dyDescent="0.25">
      <c r="A3206" s="2" t="s">
        <v>3244</v>
      </c>
      <c r="B3206" s="2">
        <v>112</v>
      </c>
      <c r="C3206" s="2">
        <v>4306697</v>
      </c>
      <c r="D3206" s="2" t="s">
        <v>1180</v>
      </c>
      <c r="E3206" s="2" t="s">
        <v>5412</v>
      </c>
      <c r="F3206" s="2" t="s">
        <v>14</v>
      </c>
      <c r="G3206" s="2" t="s">
        <v>104</v>
      </c>
      <c r="H3206" s="2">
        <v>5000000</v>
      </c>
      <c r="I3206" s="2">
        <v>7.7</v>
      </c>
      <c r="J3206" s="2">
        <f t="shared" si="24"/>
        <v>-693303</v>
      </c>
      <c r="K3206" s="2">
        <f t="shared" si="25"/>
        <v>-1.7230263743719845E-2</v>
      </c>
      <c r="L3206" s="2" t="str">
        <f>IF(ISNUMBER(SEARCH("|",IMDB_Movies!$D3206)),LEFT(IMDB_Movies!$D3206,SEARCH("|",IMDB_Movies!$D3206)-1),IMDB_Movies!$D3206)</f>
        <v>Drama</v>
      </c>
      <c r="V3206" s="2"/>
      <c r="W3206" s="2"/>
    </row>
    <row r="3207" spans="1:23" ht="12.5" x14ac:dyDescent="0.25">
      <c r="A3207" s="2" t="s">
        <v>5413</v>
      </c>
      <c r="B3207" s="2">
        <v>122</v>
      </c>
      <c r="C3207" s="2">
        <v>3950029</v>
      </c>
      <c r="D3207" s="2" t="s">
        <v>1180</v>
      </c>
      <c r="E3207" s="2" t="s">
        <v>5414</v>
      </c>
      <c r="F3207" s="2" t="s">
        <v>1006</v>
      </c>
      <c r="G3207" s="2" t="s">
        <v>686</v>
      </c>
      <c r="H3207" s="2">
        <v>4000000</v>
      </c>
      <c r="I3207" s="2">
        <v>7.2</v>
      </c>
      <c r="J3207" s="2">
        <f t="shared" si="24"/>
        <v>-49971</v>
      </c>
      <c r="K3207" s="2">
        <f t="shared" si="25"/>
        <v>-1.7247926060122831E-2</v>
      </c>
      <c r="L3207" s="2" t="str">
        <f>IF(ISNUMBER(SEARCH("|",IMDB_Movies!$D3207)),LEFT(IMDB_Movies!$D3207,SEARCH("|",IMDB_Movies!$D3207)-1),IMDB_Movies!$D3207)</f>
        <v>Drama</v>
      </c>
      <c r="V3207" s="2"/>
      <c r="W3207" s="2"/>
    </row>
    <row r="3208" spans="1:23" ht="12.5" x14ac:dyDescent="0.25">
      <c r="A3208" s="2" t="s">
        <v>5415</v>
      </c>
      <c r="B3208" s="2">
        <v>110</v>
      </c>
      <c r="C3208" s="2">
        <v>4040588</v>
      </c>
      <c r="D3208" s="2" t="s">
        <v>891</v>
      </c>
      <c r="E3208" s="2" t="s">
        <v>5416</v>
      </c>
      <c r="F3208" s="2" t="s">
        <v>14</v>
      </c>
      <c r="G3208" s="2" t="s">
        <v>15</v>
      </c>
      <c r="H3208" s="2">
        <v>5000000</v>
      </c>
      <c r="I3208" s="2">
        <v>6.8</v>
      </c>
      <c r="J3208" s="2">
        <f t="shared" si="24"/>
        <v>-959412</v>
      </c>
      <c r="K3208" s="2">
        <f t="shared" si="25"/>
        <v>-1.7269296653079511E-2</v>
      </c>
      <c r="L3208" s="2" t="str">
        <f>IF(ISNUMBER(SEARCH("|",IMDB_Movies!$D3208)),LEFT(IMDB_Movies!$D3208,SEARCH("|",IMDB_Movies!$D3208)-1),IMDB_Movies!$D3208)</f>
        <v>Comedy</v>
      </c>
      <c r="V3208" s="2"/>
      <c r="W3208" s="2"/>
    </row>
    <row r="3209" spans="1:23" ht="12.5" x14ac:dyDescent="0.25">
      <c r="A3209" s="2" t="s">
        <v>70</v>
      </c>
      <c r="B3209" s="2">
        <v>108</v>
      </c>
      <c r="C3209" s="2">
        <v>3049135</v>
      </c>
      <c r="D3209" s="2" t="s">
        <v>5417</v>
      </c>
      <c r="E3209" s="2" t="s">
        <v>5418</v>
      </c>
      <c r="F3209" s="2" t="s">
        <v>14</v>
      </c>
      <c r="G3209" s="2" t="s">
        <v>73</v>
      </c>
      <c r="H3209" s="2">
        <v>5000000</v>
      </c>
      <c r="I3209" s="2">
        <v>7.4</v>
      </c>
      <c r="J3209" s="2">
        <f t="shared" si="24"/>
        <v>-1950865</v>
      </c>
      <c r="K3209" s="2">
        <f t="shared" si="25"/>
        <v>-1.7288102414841192E-2</v>
      </c>
      <c r="L3209" s="2" t="str">
        <f>IF(ISNUMBER(SEARCH("|",IMDB_Movies!$D3209)),LEFT(IMDB_Movies!$D3209,SEARCH("|",IMDB_Movies!$D3209)-1),IMDB_Movies!$D3209)</f>
        <v>Biography</v>
      </c>
      <c r="V3209" s="2"/>
      <c r="W3209" s="2"/>
    </row>
    <row r="3210" spans="1:23" ht="12.5" x14ac:dyDescent="0.25">
      <c r="A3210" s="2" t="s">
        <v>4358</v>
      </c>
      <c r="B3210" s="2">
        <v>121</v>
      </c>
      <c r="C3210" s="2">
        <v>4700361</v>
      </c>
      <c r="D3210" s="2" t="s">
        <v>1180</v>
      </c>
      <c r="E3210" s="2" t="s">
        <v>5419</v>
      </c>
      <c r="F3210" s="2" t="s">
        <v>14</v>
      </c>
      <c r="G3210" s="2" t="s">
        <v>15</v>
      </c>
      <c r="H3210" s="2">
        <v>5000000</v>
      </c>
      <c r="I3210" s="2">
        <v>4.5999999999999996</v>
      </c>
      <c r="J3210" s="2">
        <f t="shared" si="24"/>
        <v>-299639</v>
      </c>
      <c r="K3210" s="2">
        <f t="shared" si="25"/>
        <v>-1.7310791123745482E-2</v>
      </c>
      <c r="L3210" s="2" t="str">
        <f>IF(ISNUMBER(SEARCH("|",IMDB_Movies!$D3210)),LEFT(IMDB_Movies!$D3210,SEARCH("|",IMDB_Movies!$D3210)-1),IMDB_Movies!$D3210)</f>
        <v>Drama</v>
      </c>
      <c r="V3210" s="2"/>
      <c r="W3210" s="2"/>
    </row>
    <row r="3211" spans="1:23" ht="12.5" x14ac:dyDescent="0.25">
      <c r="A3211" s="2" t="s">
        <v>5420</v>
      </c>
      <c r="B3211" s="2">
        <v>97</v>
      </c>
      <c r="C3211" s="2">
        <v>2711210</v>
      </c>
      <c r="D3211" s="2" t="s">
        <v>891</v>
      </c>
      <c r="E3211" s="2" t="s">
        <v>5421</v>
      </c>
      <c r="F3211" s="2" t="s">
        <v>14</v>
      </c>
      <c r="G3211" s="2" t="s">
        <v>15</v>
      </c>
      <c r="H3211" s="2">
        <v>5000000</v>
      </c>
      <c r="I3211" s="2">
        <v>6.4</v>
      </c>
      <c r="J3211" s="2">
        <f t="shared" si="24"/>
        <v>-2288790</v>
      </c>
      <c r="K3211" s="2">
        <f t="shared" si="25"/>
        <v>-1.7327228468114811E-2</v>
      </c>
      <c r="L3211" s="2" t="str">
        <f>IF(ISNUMBER(SEARCH("|",IMDB_Movies!$D3211)),LEFT(IMDB_Movies!$D3211,SEARCH("|",IMDB_Movies!$D3211)-1),IMDB_Movies!$D3211)</f>
        <v>Comedy</v>
      </c>
      <c r="V3211" s="2"/>
      <c r="W3211" s="2"/>
    </row>
    <row r="3212" spans="1:23" ht="12.5" x14ac:dyDescent="0.25">
      <c r="A3212" s="2" t="s">
        <v>2196</v>
      </c>
      <c r="B3212" s="2">
        <v>116</v>
      </c>
      <c r="C3212" s="2">
        <v>1980338</v>
      </c>
      <c r="D3212" s="2" t="s">
        <v>5422</v>
      </c>
      <c r="E3212" s="2" t="s">
        <v>5423</v>
      </c>
      <c r="F3212" s="2" t="s">
        <v>14</v>
      </c>
      <c r="G3212" s="2" t="s">
        <v>15</v>
      </c>
      <c r="H3212" s="2">
        <v>5000000</v>
      </c>
      <c r="I3212" s="2">
        <v>7</v>
      </c>
      <c r="J3212" s="2">
        <f t="shared" si="24"/>
        <v>-3019662</v>
      </c>
      <c r="K3212" s="2">
        <f t="shared" si="25"/>
        <v>-1.735138886682645E-2</v>
      </c>
      <c r="L3212" s="2" t="str">
        <f>IF(ISNUMBER(SEARCH("|",IMDB_Movies!$D3212)),LEFT(IMDB_Movies!$D3212,SEARCH("|",IMDB_Movies!$D3212)-1),IMDB_Movies!$D3212)</f>
        <v>Comedy</v>
      </c>
      <c r="V3212" s="2"/>
      <c r="W3212" s="2"/>
    </row>
    <row r="3213" spans="1:23" ht="12.5" x14ac:dyDescent="0.25">
      <c r="A3213" s="2" t="s">
        <v>4202</v>
      </c>
      <c r="B3213" s="2">
        <v>94</v>
      </c>
      <c r="C3213" s="2">
        <v>1082044</v>
      </c>
      <c r="D3213" s="2" t="s">
        <v>1400</v>
      </c>
      <c r="E3213" s="2" t="s">
        <v>5424</v>
      </c>
      <c r="F3213" s="2" t="s">
        <v>14</v>
      </c>
      <c r="G3213" s="2" t="s">
        <v>1239</v>
      </c>
      <c r="H3213" s="2">
        <v>5000000</v>
      </c>
      <c r="I3213" s="2">
        <v>7.7</v>
      </c>
      <c r="J3213" s="2">
        <f t="shared" si="24"/>
        <v>-3917956</v>
      </c>
      <c r="K3213" s="2">
        <f t="shared" si="25"/>
        <v>-1.7378521984587291E-2</v>
      </c>
      <c r="L3213" s="2" t="str">
        <f>IF(ISNUMBER(SEARCH("|",IMDB_Movies!$D3213)),LEFT(IMDB_Movies!$D3213,SEARCH("|",IMDB_Movies!$D3213)-1),IMDB_Movies!$D3213)</f>
        <v>Drama</v>
      </c>
      <c r="V3213" s="2"/>
      <c r="W3213" s="2"/>
    </row>
    <row r="3214" spans="1:23" ht="12.5" x14ac:dyDescent="0.25">
      <c r="A3214" s="2" t="s">
        <v>5112</v>
      </c>
      <c r="B3214" s="2">
        <v>103</v>
      </c>
      <c r="C3214" s="2">
        <v>1100000</v>
      </c>
      <c r="D3214" s="2" t="s">
        <v>694</v>
      </c>
      <c r="E3214" s="2" t="s">
        <v>5425</v>
      </c>
      <c r="F3214" s="2" t="s">
        <v>14</v>
      </c>
      <c r="G3214" s="2" t="s">
        <v>15</v>
      </c>
      <c r="H3214" s="2">
        <v>5000000</v>
      </c>
      <c r="I3214" s="2">
        <v>6.8</v>
      </c>
      <c r="J3214" s="2">
        <f t="shared" si="24"/>
        <v>-3900000</v>
      </c>
      <c r="K3214" s="2">
        <f t="shared" si="25"/>
        <v>-1.7409354371745372E-2</v>
      </c>
      <c r="L3214" s="2" t="str">
        <f>IF(ISNUMBER(SEARCH("|",IMDB_Movies!$D3214)),LEFT(IMDB_Movies!$D3214,SEARCH("|",IMDB_Movies!$D3214)-1),IMDB_Movies!$D3214)</f>
        <v>Crime</v>
      </c>
      <c r="V3214" s="2"/>
      <c r="W3214" s="2"/>
    </row>
    <row r="3215" spans="1:23" ht="12.5" x14ac:dyDescent="0.25">
      <c r="A3215" s="2" t="s">
        <v>5426</v>
      </c>
      <c r="B3215" s="2">
        <v>112</v>
      </c>
      <c r="C3215" s="2">
        <v>2445646</v>
      </c>
      <c r="D3215" s="2" t="s">
        <v>5427</v>
      </c>
      <c r="E3215" s="2" t="s">
        <v>5428</v>
      </c>
      <c r="F3215" s="2" t="s">
        <v>14</v>
      </c>
      <c r="G3215" s="2" t="s">
        <v>15</v>
      </c>
      <c r="H3215" s="2">
        <v>5000000</v>
      </c>
      <c r="I3215" s="2">
        <v>7</v>
      </c>
      <c r="J3215" s="2">
        <f t="shared" si="24"/>
        <v>-2554354</v>
      </c>
      <c r="K3215" s="2">
        <f t="shared" si="25"/>
        <v>-1.7440229628503268E-2</v>
      </c>
      <c r="L3215" s="2" t="str">
        <f>IF(ISNUMBER(SEARCH("|",IMDB_Movies!$D3215)),LEFT(IMDB_Movies!$D3215,SEARCH("|",IMDB_Movies!$D3215)-1),IMDB_Movies!$D3215)</f>
        <v>Biography</v>
      </c>
      <c r="V3215" s="2"/>
      <c r="W3215" s="2"/>
    </row>
    <row r="3216" spans="1:23" ht="12.5" x14ac:dyDescent="0.25">
      <c r="A3216" s="2" t="s">
        <v>5253</v>
      </c>
      <c r="B3216" s="2">
        <v>91</v>
      </c>
      <c r="C3216" s="2">
        <v>2221809</v>
      </c>
      <c r="D3216" s="2" t="s">
        <v>1180</v>
      </c>
      <c r="E3216" s="2" t="s">
        <v>5429</v>
      </c>
      <c r="F3216" s="2" t="s">
        <v>14</v>
      </c>
      <c r="G3216" s="2" t="s">
        <v>15</v>
      </c>
      <c r="H3216" s="2">
        <v>5000000</v>
      </c>
      <c r="I3216" s="2">
        <v>7</v>
      </c>
      <c r="J3216" s="2">
        <f t="shared" si="24"/>
        <v>-2778191</v>
      </c>
      <c r="K3216" s="2">
        <f t="shared" si="25"/>
        <v>-1.7465826899052777E-2</v>
      </c>
      <c r="L3216" s="2" t="str">
        <f>IF(ISNUMBER(SEARCH("|",IMDB_Movies!$D3216)),LEFT(IMDB_Movies!$D3216,SEARCH("|",IMDB_Movies!$D3216)-1),IMDB_Movies!$D3216)</f>
        <v>Drama</v>
      </c>
      <c r="V3216" s="2"/>
      <c r="W3216" s="2"/>
    </row>
    <row r="3217" spans="1:23" ht="12.5" x14ac:dyDescent="0.25">
      <c r="A3217" s="2" t="s">
        <v>5430</v>
      </c>
      <c r="B3217" s="2">
        <v>98</v>
      </c>
      <c r="C3217" s="2">
        <v>296665</v>
      </c>
      <c r="D3217" s="2" t="s">
        <v>1914</v>
      </c>
      <c r="E3217" s="2" t="s">
        <v>5431</v>
      </c>
      <c r="F3217" s="2" t="s">
        <v>14</v>
      </c>
      <c r="G3217" s="2" t="s">
        <v>15</v>
      </c>
      <c r="H3217" s="2">
        <v>5000000</v>
      </c>
      <c r="I3217" s="2">
        <v>6.3</v>
      </c>
      <c r="J3217" s="2">
        <f t="shared" si="24"/>
        <v>-4703335</v>
      </c>
      <c r="K3217" s="2">
        <f t="shared" si="25"/>
        <v>-1.74924093836708E-2</v>
      </c>
      <c r="L3217" s="2" t="str">
        <f>IF(ISNUMBER(SEARCH("|",IMDB_Movies!$D3217)),LEFT(IMDB_Movies!$D3217,SEARCH("|",IMDB_Movies!$D3217)-1),IMDB_Movies!$D3217)</f>
        <v>Biography</v>
      </c>
      <c r="V3217" s="2"/>
      <c r="W3217" s="2"/>
    </row>
    <row r="3218" spans="1:23" ht="12.5" x14ac:dyDescent="0.25">
      <c r="A3218" s="2" t="s">
        <v>5432</v>
      </c>
      <c r="B3218" s="2">
        <v>95</v>
      </c>
      <c r="C3218" s="2">
        <v>3219029</v>
      </c>
      <c r="D3218" s="2" t="s">
        <v>5433</v>
      </c>
      <c r="E3218" s="2" t="s">
        <v>5434</v>
      </c>
      <c r="F3218" s="2" t="s">
        <v>14</v>
      </c>
      <c r="G3218" s="2" t="s">
        <v>15</v>
      </c>
      <c r="H3218" s="2">
        <v>5000000</v>
      </c>
      <c r="I3218" s="2">
        <v>7.1</v>
      </c>
      <c r="J3218" s="2">
        <f t="shared" si="24"/>
        <v>-1780971</v>
      </c>
      <c r="K3218" s="2">
        <f t="shared" si="25"/>
        <v>-1.7526901284182928E-2</v>
      </c>
      <c r="L3218" s="2" t="str">
        <f>IF(ISNUMBER(SEARCH("|",IMDB_Movies!$D3218)),LEFT(IMDB_Movies!$D3218,SEARCH("|",IMDB_Movies!$D3218)-1),IMDB_Movies!$D3218)</f>
        <v>Crime</v>
      </c>
      <c r="V3218" s="2"/>
      <c r="W3218" s="2"/>
    </row>
    <row r="3219" spans="1:23" ht="12.5" x14ac:dyDescent="0.25">
      <c r="A3219" s="2" t="s">
        <v>5435</v>
      </c>
      <c r="B3219" s="2">
        <v>99</v>
      </c>
      <c r="C3219" s="2">
        <v>830210</v>
      </c>
      <c r="D3219" s="2" t="s">
        <v>1878</v>
      </c>
      <c r="E3219" s="2" t="s">
        <v>5436</v>
      </c>
      <c r="F3219" s="2" t="s">
        <v>14</v>
      </c>
      <c r="G3219" s="2" t="s">
        <v>15</v>
      </c>
      <c r="H3219" s="2">
        <v>5000000</v>
      </c>
      <c r="I3219" s="2">
        <v>4.4000000000000004</v>
      </c>
      <c r="J3219" s="2">
        <f t="shared" si="24"/>
        <v>-4169790</v>
      </c>
      <c r="K3219" s="2">
        <f t="shared" si="25"/>
        <v>-1.754973529087403E-2</v>
      </c>
      <c r="L3219" s="2" t="str">
        <f>IF(ISNUMBER(SEARCH("|",IMDB_Movies!$D3219)),LEFT(IMDB_Movies!$D3219,SEARCH("|",IMDB_Movies!$D3219)-1),IMDB_Movies!$D3219)</f>
        <v>Drama</v>
      </c>
      <c r="V3219" s="2"/>
      <c r="W3219" s="2"/>
    </row>
    <row r="3220" spans="1:23" ht="12.5" x14ac:dyDescent="0.25">
      <c r="A3220" s="2" t="s">
        <v>1821</v>
      </c>
      <c r="B3220" s="2">
        <v>91</v>
      </c>
      <c r="C3220" s="2">
        <v>1040879</v>
      </c>
      <c r="D3220" s="2" t="s">
        <v>3003</v>
      </c>
      <c r="E3220" s="2" t="s">
        <v>5437</v>
      </c>
      <c r="F3220" s="2" t="s">
        <v>14</v>
      </c>
      <c r="G3220" s="2" t="s">
        <v>15</v>
      </c>
      <c r="H3220" s="2">
        <v>7000000</v>
      </c>
      <c r="I3220" s="2">
        <v>7.1</v>
      </c>
      <c r="J3220" s="2">
        <f t="shared" si="24"/>
        <v>-5959121</v>
      </c>
      <c r="K3220" s="2">
        <f t="shared" si="25"/>
        <v>-1.7582268158682794E-2</v>
      </c>
      <c r="L3220" s="2" t="str">
        <f>IF(ISNUMBER(SEARCH("|",IMDB_Movies!$D3220)),LEFT(IMDB_Movies!$D3220,SEARCH("|",IMDB_Movies!$D3220)-1),IMDB_Movies!$D3220)</f>
        <v>Comedy</v>
      </c>
      <c r="V3220" s="2"/>
      <c r="W3220" s="2"/>
    </row>
    <row r="3221" spans="1:23" ht="12.5" x14ac:dyDescent="0.25">
      <c r="A3221" s="2" t="s">
        <v>3296</v>
      </c>
      <c r="B3221" s="2">
        <v>97</v>
      </c>
      <c r="C3221" s="2">
        <v>326308</v>
      </c>
      <c r="D3221" s="2" t="s">
        <v>763</v>
      </c>
      <c r="E3221" s="2" t="s">
        <v>5438</v>
      </c>
      <c r="F3221" s="2" t="s">
        <v>14</v>
      </c>
      <c r="G3221" s="2" t="s">
        <v>15</v>
      </c>
      <c r="H3221" s="2">
        <v>5000000</v>
      </c>
      <c r="I3221" s="2">
        <v>6.1</v>
      </c>
      <c r="J3221" s="2">
        <f t="shared" si="24"/>
        <v>-4673692</v>
      </c>
      <c r="K3221" s="2">
        <f t="shared" si="25"/>
        <v>-1.7606793447783365E-2</v>
      </c>
      <c r="L3221" s="2" t="str">
        <f>IF(ISNUMBER(SEARCH("|",IMDB_Movies!$D3221)),LEFT(IMDB_Movies!$D3221,SEARCH("|",IMDB_Movies!$D3221)-1),IMDB_Movies!$D3221)</f>
        <v>Crime</v>
      </c>
      <c r="V3221" s="2"/>
      <c r="W3221" s="2"/>
    </row>
    <row r="3222" spans="1:23" ht="12.5" x14ac:dyDescent="0.25">
      <c r="A3222" s="2" t="s">
        <v>5439</v>
      </c>
      <c r="B3222" s="2">
        <v>90</v>
      </c>
      <c r="C3222" s="2">
        <v>124720</v>
      </c>
      <c r="D3222" s="2" t="s">
        <v>85</v>
      </c>
      <c r="E3222" s="2" t="s">
        <v>5440</v>
      </c>
      <c r="F3222" s="2" t="s">
        <v>14</v>
      </c>
      <c r="G3222" s="2" t="s">
        <v>15</v>
      </c>
      <c r="H3222" s="2">
        <v>5000000</v>
      </c>
      <c r="I3222" s="2">
        <v>7.3</v>
      </c>
      <c r="J3222" s="2">
        <f t="shared" si="24"/>
        <v>-4875280</v>
      </c>
      <c r="K3222" s="2">
        <f t="shared" si="25"/>
        <v>-1.7641641609644671E-2</v>
      </c>
      <c r="L3222" s="2" t="str">
        <f>IF(ISNUMBER(SEARCH("|",IMDB_Movies!$D3222)),LEFT(IMDB_Movies!$D3222,SEARCH("|",IMDB_Movies!$D3222)-1),IMDB_Movies!$D3222)</f>
        <v>Drama</v>
      </c>
      <c r="V3222" s="2"/>
      <c r="W3222" s="2"/>
    </row>
    <row r="3223" spans="1:23" ht="12.5" x14ac:dyDescent="0.25">
      <c r="A3223" s="2" t="s">
        <v>5441</v>
      </c>
      <c r="B3223" s="2">
        <v>90</v>
      </c>
      <c r="C3223" s="2">
        <v>99147</v>
      </c>
      <c r="D3223" s="2" t="s">
        <v>1180</v>
      </c>
      <c r="E3223" s="2" t="s">
        <v>5442</v>
      </c>
      <c r="F3223" s="2" t="s">
        <v>14</v>
      </c>
      <c r="G3223" s="2" t="s">
        <v>15</v>
      </c>
      <c r="H3223" s="2">
        <v>2000000</v>
      </c>
      <c r="I3223" s="2">
        <v>6.2</v>
      </c>
      <c r="J3223" s="2">
        <f t="shared" si="24"/>
        <v>-1900853</v>
      </c>
      <c r="K3223" s="2">
        <f t="shared" si="25"/>
        <v>-1.7677463835683142E-2</v>
      </c>
      <c r="L3223" s="2" t="str">
        <f>IF(ISNUMBER(SEARCH("|",IMDB_Movies!$D3223)),LEFT(IMDB_Movies!$D3223,SEARCH("|",IMDB_Movies!$D3223)-1),IMDB_Movies!$D3223)</f>
        <v>Drama</v>
      </c>
      <c r="V3223" s="2"/>
      <c r="W3223" s="2"/>
    </row>
    <row r="3224" spans="1:23" ht="12.5" x14ac:dyDescent="0.25">
      <c r="A3224" s="2" t="s">
        <v>339</v>
      </c>
      <c r="B3224" s="2">
        <v>94</v>
      </c>
      <c r="C3224" s="2">
        <v>65069140</v>
      </c>
      <c r="D3224" s="2" t="s">
        <v>2228</v>
      </c>
      <c r="E3224" s="2" t="s">
        <v>5443</v>
      </c>
      <c r="F3224" s="2" t="s">
        <v>14</v>
      </c>
      <c r="G3224" s="2" t="s">
        <v>15</v>
      </c>
      <c r="H3224" s="2">
        <v>5000000</v>
      </c>
      <c r="I3224" s="2">
        <v>6.2</v>
      </c>
      <c r="J3224" s="2">
        <f t="shared" si="24"/>
        <v>60069140</v>
      </c>
      <c r="K3224" s="2">
        <f t="shared" si="25"/>
        <v>-1.7725742289001915E-2</v>
      </c>
      <c r="L3224" s="2" t="str">
        <f>IF(ISNUMBER(SEARCH("|",IMDB_Movies!$D3224)),LEFT(IMDB_Movies!$D3224,SEARCH("|",IMDB_Movies!$D3224)-1),IMDB_Movies!$D3224)</f>
        <v>Horror</v>
      </c>
      <c r="V3224" s="2"/>
      <c r="W3224" s="2"/>
    </row>
    <row r="3225" spans="1:23" ht="12.5" x14ac:dyDescent="0.25">
      <c r="A3225" s="2" t="s">
        <v>803</v>
      </c>
      <c r="B3225" s="2">
        <v>90</v>
      </c>
      <c r="C3225" s="2">
        <v>65087</v>
      </c>
      <c r="D3225" s="2" t="s">
        <v>5444</v>
      </c>
      <c r="E3225" s="2" t="s">
        <v>5445</v>
      </c>
      <c r="F3225" s="2" t="s">
        <v>14</v>
      </c>
      <c r="G3225" s="2" t="s">
        <v>15</v>
      </c>
      <c r="H3225" s="2">
        <v>5000000</v>
      </c>
      <c r="I3225" s="2">
        <v>6.2</v>
      </c>
      <c r="J3225" s="2">
        <f t="shared" si="24"/>
        <v>-4934913</v>
      </c>
      <c r="K3225" s="2">
        <f t="shared" si="25"/>
        <v>-1.7625610103803299E-2</v>
      </c>
      <c r="L3225" s="2" t="str">
        <f>IF(ISNUMBER(SEARCH("|",IMDB_Movies!$D3225)),LEFT(IMDB_Movies!$D3225,SEARCH("|",IMDB_Movies!$D3225)-1),IMDB_Movies!$D3225)</f>
        <v>Crime</v>
      </c>
      <c r="V3225" s="2"/>
      <c r="W3225" s="2"/>
    </row>
    <row r="3226" spans="1:23" ht="12.5" x14ac:dyDescent="0.25">
      <c r="A3226" s="2" t="s">
        <v>5446</v>
      </c>
      <c r="B3226" s="2">
        <v>103</v>
      </c>
      <c r="C3226" s="2">
        <v>16066</v>
      </c>
      <c r="D3226" s="2" t="s">
        <v>5162</v>
      </c>
      <c r="E3226" s="2" t="s">
        <v>5447</v>
      </c>
      <c r="F3226" s="2" t="s">
        <v>14</v>
      </c>
      <c r="G3226" s="2" t="s">
        <v>287</v>
      </c>
      <c r="H3226" s="2">
        <v>5000000</v>
      </c>
      <c r="I3226" s="2">
        <v>3.3</v>
      </c>
      <c r="J3226" s="2">
        <f t="shared" si="24"/>
        <v>-4983934</v>
      </c>
      <c r="K3226" s="2">
        <f t="shared" si="25"/>
        <v>-1.7661834183500619E-2</v>
      </c>
      <c r="L3226" s="2" t="str">
        <f>IF(ISNUMBER(SEARCH("|",IMDB_Movies!$D3226)),LEFT(IMDB_Movies!$D3226,SEARCH("|",IMDB_Movies!$D3226)-1),IMDB_Movies!$D3226)</f>
        <v>Mystery</v>
      </c>
      <c r="V3226" s="2"/>
      <c r="W3226" s="2"/>
    </row>
    <row r="3227" spans="1:23" ht="12.5" x14ac:dyDescent="0.25">
      <c r="A3227" s="2" t="s">
        <v>5448</v>
      </c>
      <c r="B3227" s="2">
        <v>105</v>
      </c>
      <c r="C3227" s="2">
        <v>37440</v>
      </c>
      <c r="D3227" s="2" t="s">
        <v>2912</v>
      </c>
      <c r="E3227" s="2" t="s">
        <v>5449</v>
      </c>
      <c r="F3227" s="2" t="s">
        <v>14</v>
      </c>
      <c r="G3227" s="2" t="s">
        <v>15</v>
      </c>
      <c r="H3227" s="2">
        <v>5000000</v>
      </c>
      <c r="I3227" s="2">
        <v>7.5</v>
      </c>
      <c r="J3227" s="2">
        <f t="shared" si="24"/>
        <v>-4962560</v>
      </c>
      <c r="K3227" s="2">
        <f t="shared" si="25"/>
        <v>-1.7698406918675559E-2</v>
      </c>
      <c r="L3227" s="2" t="str">
        <f>IF(ISNUMBER(SEARCH("|",IMDB_Movies!$D3227)),LEFT(IMDB_Movies!$D3227,SEARCH("|",IMDB_Movies!$D3227)-1),IMDB_Movies!$D3227)</f>
        <v>Comedy</v>
      </c>
      <c r="V3227" s="2"/>
      <c r="W3227" s="2"/>
    </row>
    <row r="3228" spans="1:23" ht="12.5" x14ac:dyDescent="0.25">
      <c r="A3228" s="2" t="s">
        <v>5450</v>
      </c>
      <c r="B3228" s="2">
        <v>113</v>
      </c>
      <c r="C3228" s="2">
        <v>617228</v>
      </c>
      <c r="D3228" s="2" t="s">
        <v>5451</v>
      </c>
      <c r="E3228" s="2" t="s">
        <v>5452</v>
      </c>
      <c r="F3228" s="2" t="s">
        <v>5453</v>
      </c>
      <c r="G3228" s="2" t="s">
        <v>1876</v>
      </c>
      <c r="H3228" s="2">
        <v>84450000</v>
      </c>
      <c r="I3228" s="2">
        <v>7.4</v>
      </c>
      <c r="J3228" s="2">
        <f t="shared" si="24"/>
        <v>-83832772</v>
      </c>
      <c r="K3228" s="2">
        <f t="shared" si="25"/>
        <v>-1.7735031872101747E-2</v>
      </c>
      <c r="L3228" s="2" t="str">
        <f>IF(ISNUMBER(SEARCH("|",IMDB_Movies!$D3228)),LEFT(IMDB_Movies!$D3228,SEARCH("|",IMDB_Movies!$D3228)-1),IMDB_Movies!$D3228)</f>
        <v>Comedy</v>
      </c>
      <c r="V3228" s="2"/>
      <c r="W3228" s="2"/>
    </row>
    <row r="3229" spans="1:23" ht="12.5" x14ac:dyDescent="0.25">
      <c r="A3229" s="2" t="s">
        <v>5454</v>
      </c>
      <c r="B3229" s="2">
        <v>99</v>
      </c>
      <c r="C3229" s="2">
        <v>274385</v>
      </c>
      <c r="D3229" s="2" t="s">
        <v>891</v>
      </c>
      <c r="E3229" s="2" t="s">
        <v>5455</v>
      </c>
      <c r="F3229" s="2" t="s">
        <v>3713</v>
      </c>
      <c r="G3229" s="2" t="s">
        <v>287</v>
      </c>
      <c r="H3229" s="2">
        <v>4000000</v>
      </c>
      <c r="I3229" s="2">
        <v>7.3</v>
      </c>
      <c r="J3229" s="2">
        <f t="shared" si="24"/>
        <v>-3725615</v>
      </c>
      <c r="K3229" s="2">
        <f t="shared" si="25"/>
        <v>-1.7466210854705604E-2</v>
      </c>
      <c r="L3229" s="2" t="str">
        <f>IF(ISNUMBER(SEARCH("|",IMDB_Movies!$D3229)),LEFT(IMDB_Movies!$D3229,SEARCH("|",IMDB_Movies!$D3229)-1),IMDB_Movies!$D3229)</f>
        <v>Comedy</v>
      </c>
      <c r="V3229" s="2"/>
      <c r="W3229" s="2"/>
    </row>
    <row r="3230" spans="1:23" ht="12.5" x14ac:dyDescent="0.25">
      <c r="A3230" s="2" t="s">
        <v>1998</v>
      </c>
      <c r="B3230" s="2">
        <v>148</v>
      </c>
      <c r="C3230" s="2">
        <v>24475416</v>
      </c>
      <c r="D3230" s="2" t="s">
        <v>1180</v>
      </c>
      <c r="E3230" s="2" t="s">
        <v>5456</v>
      </c>
      <c r="F3230" s="2" t="s">
        <v>14</v>
      </c>
      <c r="G3230" s="2" t="s">
        <v>15</v>
      </c>
      <c r="H3230" s="2">
        <v>890000</v>
      </c>
      <c r="I3230" s="2">
        <v>8</v>
      </c>
      <c r="J3230" s="2">
        <f t="shared" si="24"/>
        <v>23585416</v>
      </c>
      <c r="K3230" s="2">
        <f t="shared" si="25"/>
        <v>-1.7505508573093461E-2</v>
      </c>
      <c r="L3230" s="2" t="str">
        <f>IF(ISNUMBER(SEARCH("|",IMDB_Movies!$D3230)),LEFT(IMDB_Movies!$D3230,SEARCH("|",IMDB_Movies!$D3230)-1),IMDB_Movies!$D3230)</f>
        <v>Drama</v>
      </c>
      <c r="V3230" s="2"/>
      <c r="W3230" s="2"/>
    </row>
    <row r="3231" spans="1:23" ht="12.5" x14ac:dyDescent="0.25">
      <c r="A3231" s="2" t="s">
        <v>5031</v>
      </c>
      <c r="B3231" s="2">
        <v>93</v>
      </c>
      <c r="C3231" s="2">
        <v>47277326</v>
      </c>
      <c r="D3231" s="2" t="s">
        <v>2148</v>
      </c>
      <c r="E3231" s="2" t="s">
        <v>5457</v>
      </c>
      <c r="F3231" s="2" t="s">
        <v>14</v>
      </c>
      <c r="G3231" s="2" t="s">
        <v>15</v>
      </c>
      <c r="H3231" s="2">
        <v>4800000</v>
      </c>
      <c r="I3231" s="2">
        <v>5.9</v>
      </c>
      <c r="J3231" s="2">
        <f t="shared" si="24"/>
        <v>42477326</v>
      </c>
      <c r="K3231" s="2">
        <f t="shared" si="25"/>
        <v>-1.7431325564779394E-2</v>
      </c>
      <c r="L3231" s="2" t="str">
        <f>IF(ISNUMBER(SEARCH("|",IMDB_Movies!$D3231)),LEFT(IMDB_Movies!$D3231,SEARCH("|",IMDB_Movies!$D3231)-1),IMDB_Movies!$D3231)</f>
        <v>Horror</v>
      </c>
      <c r="V3231" s="2"/>
      <c r="W3231" s="2"/>
    </row>
    <row r="3232" spans="1:23" ht="12.5" x14ac:dyDescent="0.25">
      <c r="A3232" s="2" t="s">
        <v>4169</v>
      </c>
      <c r="B3232" s="2">
        <v>94</v>
      </c>
      <c r="C3232" s="2">
        <v>1247453</v>
      </c>
      <c r="D3232" s="2" t="s">
        <v>891</v>
      </c>
      <c r="E3232" s="2" t="s">
        <v>5458</v>
      </c>
      <c r="F3232" s="2" t="s">
        <v>14</v>
      </c>
      <c r="G3232" s="2" t="s">
        <v>22</v>
      </c>
      <c r="H3232" s="2">
        <v>2800000</v>
      </c>
      <c r="I3232" s="2">
        <v>6.8</v>
      </c>
      <c r="J3232" s="2">
        <f t="shared" si="24"/>
        <v>-1552547</v>
      </c>
      <c r="K3232" s="2">
        <f t="shared" si="25"/>
        <v>-1.7337441528956138E-2</v>
      </c>
      <c r="L3232" s="2" t="str">
        <f>IF(ISNUMBER(SEARCH("|",IMDB_Movies!$D3232)),LEFT(IMDB_Movies!$D3232,SEARCH("|",IMDB_Movies!$D3232)-1),IMDB_Movies!$D3232)</f>
        <v>Comedy</v>
      </c>
      <c r="V3232" s="2"/>
      <c r="W3232" s="2"/>
    </row>
    <row r="3233" spans="1:23" ht="12.5" x14ac:dyDescent="0.25">
      <c r="A3233" s="2" t="s">
        <v>3838</v>
      </c>
      <c r="B3233" s="2">
        <v>121</v>
      </c>
      <c r="C3233" s="2">
        <v>1729969</v>
      </c>
      <c r="D3233" s="2" t="s">
        <v>1400</v>
      </c>
      <c r="E3233" s="2" t="s">
        <v>5459</v>
      </c>
      <c r="F3233" s="2" t="s">
        <v>14</v>
      </c>
      <c r="G3233" s="2" t="s">
        <v>15</v>
      </c>
      <c r="H3233" s="2">
        <v>5000000</v>
      </c>
      <c r="I3233" s="2">
        <v>7.4</v>
      </c>
      <c r="J3233" s="2">
        <f t="shared" si="24"/>
        <v>-3270031</v>
      </c>
      <c r="K3233" s="2">
        <f t="shared" si="25"/>
        <v>-1.7376486225370868E-2</v>
      </c>
      <c r="L3233" s="2" t="str">
        <f>IF(ISNUMBER(SEARCH("|",IMDB_Movies!$D3233)),LEFT(IMDB_Movies!$D3233,SEARCH("|",IMDB_Movies!$D3233)-1),IMDB_Movies!$D3233)</f>
        <v>Drama</v>
      </c>
      <c r="V3233" s="2"/>
      <c r="W3233" s="2"/>
    </row>
    <row r="3234" spans="1:23" ht="12.5" x14ac:dyDescent="0.25">
      <c r="A3234" s="2" t="s">
        <v>5460</v>
      </c>
      <c r="B3234" s="2">
        <v>118</v>
      </c>
      <c r="C3234" s="2">
        <v>1705139</v>
      </c>
      <c r="D3234" s="2" t="s">
        <v>934</v>
      </c>
      <c r="E3234" s="2" t="s">
        <v>5461</v>
      </c>
      <c r="F3234" s="2" t="s">
        <v>14</v>
      </c>
      <c r="G3234" s="2" t="s">
        <v>15</v>
      </c>
      <c r="H3234" s="2">
        <v>4700000</v>
      </c>
      <c r="I3234" s="2">
        <v>6.7</v>
      </c>
      <c r="J3234" s="2">
        <f t="shared" si="24"/>
        <v>-2994861</v>
      </c>
      <c r="K3234" s="2">
        <f t="shared" si="25"/>
        <v>-1.7405839594335927E-2</v>
      </c>
      <c r="L3234" s="2" t="str">
        <f>IF(ISNUMBER(SEARCH("|",IMDB_Movies!$D3234)),LEFT(IMDB_Movies!$D3234,SEARCH("|",IMDB_Movies!$D3234)-1),IMDB_Movies!$D3234)</f>
        <v>Fantasy</v>
      </c>
      <c r="V3234" s="2"/>
      <c r="W3234" s="2"/>
    </row>
    <row r="3235" spans="1:23" ht="12.5" x14ac:dyDescent="0.25">
      <c r="A3235" s="2" t="s">
        <v>2464</v>
      </c>
      <c r="B3235" s="2">
        <v>101</v>
      </c>
      <c r="C3235" s="2">
        <v>8025872</v>
      </c>
      <c r="D3235" s="2" t="s">
        <v>2514</v>
      </c>
      <c r="E3235" s="2" t="s">
        <v>5462</v>
      </c>
      <c r="F3235" s="2" t="s">
        <v>14</v>
      </c>
      <c r="G3235" s="2" t="s">
        <v>15</v>
      </c>
      <c r="H3235" s="2">
        <v>4700000</v>
      </c>
      <c r="I3235" s="2">
        <v>5.5</v>
      </c>
      <c r="J3235" s="2">
        <f t="shared" si="24"/>
        <v>3325872</v>
      </c>
      <c r="K3235" s="2">
        <f t="shared" si="25"/>
        <v>-1.7436419200352767E-2</v>
      </c>
      <c r="L3235" s="2" t="str">
        <f>IF(ISNUMBER(SEARCH("|",IMDB_Movies!$D3235)),LEFT(IMDB_Movies!$D3235,SEARCH("|",IMDB_Movies!$D3235)-1),IMDB_Movies!$D3235)</f>
        <v>Comedy</v>
      </c>
      <c r="V3235" s="2"/>
      <c r="W3235" s="2"/>
    </row>
    <row r="3236" spans="1:23" ht="12.5" x14ac:dyDescent="0.25">
      <c r="A3236" s="2" t="s">
        <v>4086</v>
      </c>
      <c r="B3236" s="2">
        <v>90</v>
      </c>
      <c r="C3236" s="2">
        <v>778565</v>
      </c>
      <c r="D3236" s="2" t="s">
        <v>694</v>
      </c>
      <c r="E3236" s="2" t="s">
        <v>5463</v>
      </c>
      <c r="F3236" s="2" t="s">
        <v>14</v>
      </c>
      <c r="G3236" s="2" t="s">
        <v>2553</v>
      </c>
      <c r="H3236" s="2">
        <v>4800000</v>
      </c>
      <c r="I3236" s="2">
        <v>5.7</v>
      </c>
      <c r="J3236" s="2">
        <f t="shared" si="24"/>
        <v>-4021435</v>
      </c>
      <c r="K3236" s="2">
        <f t="shared" si="25"/>
        <v>-1.7441413197080046E-2</v>
      </c>
      <c r="L3236" s="2" t="str">
        <f>IF(ISNUMBER(SEARCH("|",IMDB_Movies!$D3236)),LEFT(IMDB_Movies!$D3236,SEARCH("|",IMDB_Movies!$D3236)-1),IMDB_Movies!$D3236)</f>
        <v>Crime</v>
      </c>
      <c r="V3236" s="2"/>
      <c r="W3236" s="2"/>
    </row>
    <row r="3237" spans="1:23" ht="12.5" x14ac:dyDescent="0.25">
      <c r="A3237" s="2" t="s">
        <v>5464</v>
      </c>
      <c r="B3237" s="2">
        <v>100</v>
      </c>
      <c r="C3237" s="2">
        <v>513836</v>
      </c>
      <c r="D3237" s="2" t="s">
        <v>514</v>
      </c>
      <c r="E3237" s="2" t="s">
        <v>5465</v>
      </c>
      <c r="F3237" s="2" t="s">
        <v>1006</v>
      </c>
      <c r="G3237" s="2" t="s">
        <v>686</v>
      </c>
      <c r="H3237" s="2">
        <v>4600000</v>
      </c>
      <c r="I3237" s="2">
        <v>7.2</v>
      </c>
      <c r="J3237" s="2">
        <f t="shared" si="24"/>
        <v>-4086164</v>
      </c>
      <c r="K3237" s="2">
        <f t="shared" si="25"/>
        <v>-1.7475788179573765E-2</v>
      </c>
      <c r="L3237" s="2" t="str">
        <f>IF(ISNUMBER(SEARCH("|",IMDB_Movies!$D3237)),LEFT(IMDB_Movies!$D3237,SEARCH("|",IMDB_Movies!$D3237)-1),IMDB_Movies!$D3237)</f>
        <v>Comedy</v>
      </c>
      <c r="V3237" s="2"/>
      <c r="W3237" s="2"/>
    </row>
    <row r="3238" spans="1:23" ht="12.5" x14ac:dyDescent="0.25">
      <c r="A3238" s="2" t="s">
        <v>5466</v>
      </c>
      <c r="B3238" s="2">
        <v>97</v>
      </c>
      <c r="C3238" s="2">
        <v>434417</v>
      </c>
      <c r="D3238" s="2" t="s">
        <v>1180</v>
      </c>
      <c r="E3238" s="2" t="s">
        <v>5467</v>
      </c>
      <c r="F3238" s="2" t="s">
        <v>14</v>
      </c>
      <c r="G3238" s="2" t="s">
        <v>1239</v>
      </c>
      <c r="H3238" s="2">
        <v>4600000</v>
      </c>
      <c r="I3238" s="2">
        <v>5.9</v>
      </c>
      <c r="J3238" s="2">
        <f t="shared" si="24"/>
        <v>-4165583</v>
      </c>
      <c r="K3238" s="2">
        <f t="shared" si="25"/>
        <v>-1.7512222396035865E-2</v>
      </c>
      <c r="L3238" s="2" t="str">
        <f>IF(ISNUMBER(SEARCH("|",IMDB_Movies!$D3238)),LEFT(IMDB_Movies!$D3238,SEARCH("|",IMDB_Movies!$D3238)-1),IMDB_Movies!$D3238)</f>
        <v>Drama</v>
      </c>
      <c r="V3238" s="2"/>
      <c r="W3238" s="2"/>
    </row>
    <row r="3239" spans="1:23" ht="12.5" x14ac:dyDescent="0.25">
      <c r="A3239" s="2" t="s">
        <v>2489</v>
      </c>
      <c r="B3239" s="2">
        <v>96</v>
      </c>
      <c r="C3239" s="2">
        <v>81200000</v>
      </c>
      <c r="D3239" s="2" t="s">
        <v>709</v>
      </c>
      <c r="E3239" s="2" t="s">
        <v>5468</v>
      </c>
      <c r="F3239" s="2" t="s">
        <v>14</v>
      </c>
      <c r="G3239" s="2" t="s">
        <v>15</v>
      </c>
      <c r="H3239" s="2">
        <v>4500000</v>
      </c>
      <c r="I3239" s="2">
        <v>6.7</v>
      </c>
      <c r="J3239" s="2">
        <f t="shared" si="24"/>
        <v>76700000</v>
      </c>
      <c r="K3239" s="2">
        <f t="shared" si="25"/>
        <v>-1.7549151795221377E-2</v>
      </c>
      <c r="L3239" s="2" t="str">
        <f>IF(ISNUMBER(SEARCH("|",IMDB_Movies!$D3239)),LEFT(IMDB_Movies!$D3239,SEARCH("|",IMDB_Movies!$D3239)-1),IMDB_Movies!$D3239)</f>
        <v>Comedy</v>
      </c>
      <c r="V3239" s="2"/>
      <c r="W3239" s="2"/>
    </row>
    <row r="3240" spans="1:23" ht="12.5" x14ac:dyDescent="0.25">
      <c r="A3240" s="2" t="s">
        <v>136</v>
      </c>
      <c r="B3240" s="2">
        <v>117</v>
      </c>
      <c r="C3240" s="2">
        <v>52700832</v>
      </c>
      <c r="D3240" s="2" t="s">
        <v>514</v>
      </c>
      <c r="E3240" s="2" t="s">
        <v>5469</v>
      </c>
      <c r="F3240" s="2" t="s">
        <v>14</v>
      </c>
      <c r="G3240" s="2" t="s">
        <v>22</v>
      </c>
      <c r="H3240" s="2">
        <v>4500000</v>
      </c>
      <c r="I3240" s="2">
        <v>7.1</v>
      </c>
      <c r="J3240" s="2">
        <f t="shared" si="24"/>
        <v>48200832</v>
      </c>
      <c r="K3240" s="2">
        <f t="shared" si="25"/>
        <v>-1.7437673772362435E-2</v>
      </c>
      <c r="L3240" s="2" t="str">
        <f>IF(ISNUMBER(SEARCH("|",IMDB_Movies!$D3240)),LEFT(IMDB_Movies!$D3240,SEARCH("|",IMDB_Movies!$D3240)-1),IMDB_Movies!$D3240)</f>
        <v>Comedy</v>
      </c>
      <c r="V3240" s="2"/>
      <c r="W3240" s="2"/>
    </row>
    <row r="3241" spans="1:23" ht="12.5" x14ac:dyDescent="0.25">
      <c r="A3241" s="2" t="s">
        <v>1725</v>
      </c>
      <c r="B3241" s="2">
        <v>108</v>
      </c>
      <c r="C3241" s="2">
        <v>13060843</v>
      </c>
      <c r="D3241" s="2" t="s">
        <v>1180</v>
      </c>
      <c r="E3241" s="2" t="s">
        <v>5470</v>
      </c>
      <c r="F3241" s="2" t="s">
        <v>14</v>
      </c>
      <c r="G3241" s="2" t="s">
        <v>15</v>
      </c>
      <c r="H3241" s="2">
        <v>15000000</v>
      </c>
      <c r="I3241" s="2">
        <v>7.7</v>
      </c>
      <c r="J3241" s="2">
        <f t="shared" si="24"/>
        <v>-1939157</v>
      </c>
      <c r="K3241" s="2">
        <f t="shared" si="25"/>
        <v>-1.7328703725109081E-2</v>
      </c>
      <c r="L3241" s="2" t="str">
        <f>IF(ISNUMBER(SEARCH("|",IMDB_Movies!$D3241)),LEFT(IMDB_Movies!$D3241,SEARCH("|",IMDB_Movies!$D3241)-1),IMDB_Movies!$D3241)</f>
        <v>Drama</v>
      </c>
      <c r="V3241" s="2"/>
      <c r="W3241" s="2"/>
    </row>
    <row r="3242" spans="1:23" ht="12.5" x14ac:dyDescent="0.25">
      <c r="A3242" s="2" t="s">
        <v>165</v>
      </c>
      <c r="B3242" s="2">
        <v>109</v>
      </c>
      <c r="C3242" s="2">
        <v>3798532</v>
      </c>
      <c r="D3242" s="2" t="s">
        <v>1791</v>
      </c>
      <c r="E3242" s="2" t="s">
        <v>5471</v>
      </c>
      <c r="F3242" s="2" t="s">
        <v>14</v>
      </c>
      <c r="G3242" s="2" t="s">
        <v>15</v>
      </c>
      <c r="H3242" s="2">
        <v>4500000</v>
      </c>
      <c r="I3242" s="2">
        <v>7.4</v>
      </c>
      <c r="J3242" s="2">
        <f t="shared" si="24"/>
        <v>-701468</v>
      </c>
      <c r="K3242" s="2">
        <f t="shared" si="25"/>
        <v>-1.733210916519904E-2</v>
      </c>
      <c r="L3242" s="2" t="str">
        <f>IF(ISNUMBER(SEARCH("|",IMDB_Movies!$D3242)),LEFT(IMDB_Movies!$D3242,SEARCH("|",IMDB_Movies!$D3242)-1),IMDB_Movies!$D3242)</f>
        <v>Crime</v>
      </c>
      <c r="V3242" s="2"/>
      <c r="W3242" s="2"/>
    </row>
    <row r="3243" spans="1:23" ht="12.5" x14ac:dyDescent="0.25">
      <c r="A3243" s="2" t="s">
        <v>442</v>
      </c>
      <c r="B3243" s="2">
        <v>102</v>
      </c>
      <c r="C3243" s="2">
        <v>3609278</v>
      </c>
      <c r="D3243" s="2" t="s">
        <v>1180</v>
      </c>
      <c r="E3243" s="2" t="s">
        <v>5472</v>
      </c>
      <c r="F3243" s="2" t="s">
        <v>14</v>
      </c>
      <c r="G3243" s="2" t="s">
        <v>15</v>
      </c>
      <c r="H3243" s="2">
        <v>4500000</v>
      </c>
      <c r="I3243" s="2">
        <v>8.4</v>
      </c>
      <c r="J3243" s="2">
        <f t="shared" si="24"/>
        <v>-890722</v>
      </c>
      <c r="K3243" s="2">
        <f t="shared" si="25"/>
        <v>-1.7354317766883624E-2</v>
      </c>
      <c r="L3243" s="2" t="str">
        <f>IF(ISNUMBER(SEARCH("|",IMDB_Movies!$D3243)),LEFT(IMDB_Movies!$D3243,SEARCH("|",IMDB_Movies!$D3243)-1),IMDB_Movies!$D3243)</f>
        <v>Drama</v>
      </c>
      <c r="V3243" s="2"/>
      <c r="W3243" s="2"/>
    </row>
    <row r="3244" spans="1:23" ht="12.5" x14ac:dyDescent="0.25">
      <c r="A3244" s="2" t="s">
        <v>5473</v>
      </c>
      <c r="B3244" s="2">
        <v>115</v>
      </c>
      <c r="C3244" s="2">
        <v>1687311</v>
      </c>
      <c r="D3244" s="2" t="s">
        <v>5474</v>
      </c>
      <c r="E3244" s="2" t="s">
        <v>5475</v>
      </c>
      <c r="F3244" s="2" t="s">
        <v>971</v>
      </c>
      <c r="G3244" s="2" t="s">
        <v>1239</v>
      </c>
      <c r="H3244" s="2">
        <v>700000000</v>
      </c>
      <c r="I3244" s="2">
        <v>7.2</v>
      </c>
      <c r="J3244" s="2">
        <f t="shared" si="24"/>
        <v>-698312689</v>
      </c>
      <c r="K3244" s="2">
        <f t="shared" si="25"/>
        <v>-1.7377430201350304E-2</v>
      </c>
      <c r="L3244" s="2" t="str">
        <f>IF(ISNUMBER(SEARCH("|",IMDB_Movies!$D3244)),LEFT(IMDB_Movies!$D3244,SEARCH("|",IMDB_Movies!$D3244)-1),IMDB_Movies!$D3244)</f>
        <v>Drama</v>
      </c>
      <c r="V3244" s="2"/>
      <c r="W3244" s="2"/>
    </row>
    <row r="3245" spans="1:23" ht="12.5" x14ac:dyDescent="0.25">
      <c r="A3245" s="2" t="s">
        <v>5476</v>
      </c>
      <c r="B3245" s="2">
        <v>98</v>
      </c>
      <c r="C3245" s="2">
        <v>10429707</v>
      </c>
      <c r="D3245" s="2" t="s">
        <v>709</v>
      </c>
      <c r="E3245" s="2" t="s">
        <v>5477</v>
      </c>
      <c r="F3245" s="2" t="s">
        <v>14</v>
      </c>
      <c r="G3245" s="2" t="s">
        <v>15</v>
      </c>
      <c r="H3245" s="2">
        <v>5000000</v>
      </c>
      <c r="I3245" s="2">
        <v>5.4</v>
      </c>
      <c r="J3245" s="2">
        <f t="shared" si="24"/>
        <v>5429707</v>
      </c>
      <c r="K3245" s="2">
        <f t="shared" si="25"/>
        <v>-1.5264057318241963E-2</v>
      </c>
      <c r="L3245" s="2" t="str">
        <f>IF(ISNUMBER(SEARCH("|",IMDB_Movies!$D3245)),LEFT(IMDB_Movies!$D3245,SEARCH("|",IMDB_Movies!$D3245)-1),IMDB_Movies!$D3245)</f>
        <v>Comedy</v>
      </c>
      <c r="V3245" s="2"/>
      <c r="W3245" s="2"/>
    </row>
    <row r="3246" spans="1:23" ht="12.5" x14ac:dyDescent="0.25">
      <c r="A3246" s="2" t="s">
        <v>3190</v>
      </c>
      <c r="B3246" s="2">
        <v>133</v>
      </c>
      <c r="C3246" s="2">
        <v>727883</v>
      </c>
      <c r="D3246" s="2" t="s">
        <v>942</v>
      </c>
      <c r="E3246" s="2" t="s">
        <v>5478</v>
      </c>
      <c r="F3246" s="2" t="s">
        <v>14</v>
      </c>
      <c r="G3246" s="2" t="s">
        <v>15</v>
      </c>
      <c r="H3246" s="2">
        <v>4500000</v>
      </c>
      <c r="I3246" s="2">
        <v>8.1</v>
      </c>
      <c r="J3246" s="2">
        <f t="shared" si="24"/>
        <v>-3772117</v>
      </c>
      <c r="K3246" s="2">
        <f t="shared" si="25"/>
        <v>-1.5260129009511268E-2</v>
      </c>
      <c r="L3246" s="2" t="str">
        <f>IF(ISNUMBER(SEARCH("|",IMDB_Movies!$D3246)),LEFT(IMDB_Movies!$D3246,SEARCH("|",IMDB_Movies!$D3246)-1),IMDB_Movies!$D3246)</f>
        <v>Drama</v>
      </c>
      <c r="V3246" s="2"/>
      <c r="W3246" s="2"/>
    </row>
    <row r="3247" spans="1:23" ht="12.5" x14ac:dyDescent="0.25">
      <c r="A3247" s="2" t="s">
        <v>5479</v>
      </c>
      <c r="B3247" s="2">
        <v>122</v>
      </c>
      <c r="C3247" s="2">
        <v>713413</v>
      </c>
      <c r="D3247" s="2" t="s">
        <v>3708</v>
      </c>
      <c r="E3247" s="2" t="s">
        <v>5480</v>
      </c>
      <c r="F3247" s="2" t="s">
        <v>3392</v>
      </c>
      <c r="G3247" s="2" t="s">
        <v>3393</v>
      </c>
      <c r="H3247" s="2">
        <v>4500000</v>
      </c>
      <c r="I3247" s="2">
        <v>7.8</v>
      </c>
      <c r="J3247" s="2">
        <f t="shared" si="24"/>
        <v>-3786587</v>
      </c>
      <c r="K3247" s="2">
        <f t="shared" si="25"/>
        <v>-1.529150069344009E-2</v>
      </c>
      <c r="L3247" s="2" t="str">
        <f>IF(ISNUMBER(SEARCH("|",IMDB_Movies!$D3247)),LEFT(IMDB_Movies!$D3247,SEARCH("|",IMDB_Movies!$D3247)-1),IMDB_Movies!$D3247)</f>
        <v>Crime</v>
      </c>
      <c r="V3247" s="2"/>
      <c r="W3247" s="2"/>
    </row>
    <row r="3248" spans="1:23" ht="12.5" x14ac:dyDescent="0.25">
      <c r="A3248" s="2" t="s">
        <v>5481</v>
      </c>
      <c r="B3248" s="2">
        <v>106</v>
      </c>
      <c r="C3248" s="2">
        <v>410241</v>
      </c>
      <c r="D3248" s="2" t="s">
        <v>3003</v>
      </c>
      <c r="E3248" s="2" t="s">
        <v>5482</v>
      </c>
      <c r="F3248" s="2" t="s">
        <v>14</v>
      </c>
      <c r="G3248" s="2" t="s">
        <v>15</v>
      </c>
      <c r="H3248" s="2">
        <v>2000000</v>
      </c>
      <c r="I3248" s="2">
        <v>6.8</v>
      </c>
      <c r="J3248" s="2">
        <f t="shared" si="24"/>
        <v>-1589759</v>
      </c>
      <c r="K3248" s="2">
        <f t="shared" si="25"/>
        <v>-1.5323054924054955E-2</v>
      </c>
      <c r="L3248" s="2" t="str">
        <f>IF(ISNUMBER(SEARCH("|",IMDB_Movies!$D3248)),LEFT(IMDB_Movies!$D3248,SEARCH("|",IMDB_Movies!$D3248)-1),IMDB_Movies!$D3248)</f>
        <v>Comedy</v>
      </c>
      <c r="V3248" s="2"/>
      <c r="W3248" s="2"/>
    </row>
    <row r="3249" spans="1:23" ht="12.5" x14ac:dyDescent="0.25">
      <c r="A3249" s="2" t="s">
        <v>4538</v>
      </c>
      <c r="B3249" s="2">
        <v>112</v>
      </c>
      <c r="C3249" s="2">
        <v>211667</v>
      </c>
      <c r="D3249" s="2" t="s">
        <v>694</v>
      </c>
      <c r="E3249" s="2" t="s">
        <v>5483</v>
      </c>
      <c r="F3249" s="2" t="s">
        <v>4432</v>
      </c>
      <c r="G3249" s="2" t="s">
        <v>2305</v>
      </c>
      <c r="H3249" s="2">
        <v>4200000000</v>
      </c>
      <c r="I3249" s="2">
        <v>7.7</v>
      </c>
      <c r="J3249" s="2">
        <f t="shared" si="24"/>
        <v>-4199788333</v>
      </c>
      <c r="K3249" s="2">
        <f t="shared" si="25"/>
        <v>-1.5365963323227667E-2</v>
      </c>
      <c r="L3249" s="2" t="str">
        <f>IF(ISNUMBER(SEARCH("|",IMDB_Movies!$D3249)),LEFT(IMDB_Movies!$D3249,SEARCH("|",IMDB_Movies!$D3249)-1),IMDB_Movies!$D3249)</f>
        <v>Crime</v>
      </c>
      <c r="V3249" s="2"/>
      <c r="W3249" s="2"/>
    </row>
    <row r="3250" spans="1:23" ht="12.5" x14ac:dyDescent="0.25">
      <c r="A3250" s="2" t="s">
        <v>5484</v>
      </c>
      <c r="B3250" s="2">
        <v>99</v>
      </c>
      <c r="C3250" s="2">
        <v>92191</v>
      </c>
      <c r="D3250" s="2" t="s">
        <v>2108</v>
      </c>
      <c r="E3250" s="2" t="s">
        <v>5485</v>
      </c>
      <c r="F3250" s="2" t="s">
        <v>14</v>
      </c>
      <c r="G3250" s="2" t="s">
        <v>22</v>
      </c>
      <c r="H3250" s="2">
        <v>2500000</v>
      </c>
      <c r="I3250" s="2">
        <v>6.5</v>
      </c>
      <c r="J3250" s="2">
        <f t="shared" si="24"/>
        <v>-2407809</v>
      </c>
      <c r="K3250" s="2">
        <f t="shared" si="25"/>
        <v>7.6781603865803605E-3</v>
      </c>
      <c r="L3250" s="2" t="str">
        <f>IF(ISNUMBER(SEARCH("|",IMDB_Movies!$D3250)),LEFT(IMDB_Movies!$D3250,SEARCH("|",IMDB_Movies!$D3250)-1),IMDB_Movies!$D3250)</f>
        <v>Comedy</v>
      </c>
      <c r="V3250" s="2"/>
      <c r="W3250" s="2"/>
    </row>
    <row r="3251" spans="1:23" ht="12.5" x14ac:dyDescent="0.25">
      <c r="A3251" s="2" t="s">
        <v>5486</v>
      </c>
      <c r="B3251" s="2">
        <v>110</v>
      </c>
      <c r="C3251" s="2">
        <v>49413</v>
      </c>
      <c r="D3251" s="2" t="s">
        <v>125</v>
      </c>
      <c r="E3251" s="2" t="s">
        <v>5487</v>
      </c>
      <c r="F3251" s="2" t="s">
        <v>2413</v>
      </c>
      <c r="G3251" s="2" t="s">
        <v>1329</v>
      </c>
      <c r="H3251" s="2">
        <v>35000000</v>
      </c>
      <c r="I3251" s="2">
        <v>7.3</v>
      </c>
      <c r="J3251" s="2">
        <f t="shared" si="24"/>
        <v>-34950587</v>
      </c>
      <c r="K3251" s="2">
        <f t="shared" si="25"/>
        <v>7.6460213516860954E-3</v>
      </c>
      <c r="L3251" s="2" t="str">
        <f>IF(ISNUMBER(SEARCH("|",IMDB_Movies!$D3251)),LEFT(IMDB_Movies!$D3251,SEARCH("|",IMDB_Movies!$D3251)-1),IMDB_Movies!$D3251)</f>
        <v>Action</v>
      </c>
      <c r="V3251" s="2"/>
      <c r="W3251" s="2"/>
    </row>
    <row r="3252" spans="1:23" ht="12.5" x14ac:dyDescent="0.25">
      <c r="A3252" s="2" t="s">
        <v>5488</v>
      </c>
      <c r="B3252" s="2">
        <v>104</v>
      </c>
      <c r="C3252" s="2">
        <v>108229</v>
      </c>
      <c r="D3252" s="2" t="s">
        <v>2061</v>
      </c>
      <c r="E3252" s="2" t="s">
        <v>5489</v>
      </c>
      <c r="F3252" s="2" t="s">
        <v>14</v>
      </c>
      <c r="G3252" s="2" t="s">
        <v>15</v>
      </c>
      <c r="H3252" s="2">
        <v>4500000</v>
      </c>
      <c r="I3252" s="2">
        <v>5.9</v>
      </c>
      <c r="J3252" s="2">
        <f t="shared" si="24"/>
        <v>-4391771</v>
      </c>
      <c r="K3252" s="2">
        <f t="shared" si="25"/>
        <v>8.1985370652083462E-3</v>
      </c>
      <c r="L3252" s="2" t="str">
        <f>IF(ISNUMBER(SEARCH("|",IMDB_Movies!$D3252)),LEFT(IMDB_Movies!$D3252,SEARCH("|",IMDB_Movies!$D3252)-1),IMDB_Movies!$D3252)</f>
        <v>Drama</v>
      </c>
      <c r="V3252" s="2"/>
      <c r="W3252" s="2"/>
    </row>
    <row r="3253" spans="1:23" ht="12.5" x14ac:dyDescent="0.25">
      <c r="A3253" s="2" t="s">
        <v>1687</v>
      </c>
      <c r="B3253" s="2">
        <v>133</v>
      </c>
      <c r="C3253" s="2">
        <v>112000000</v>
      </c>
      <c r="D3253" s="2" t="s">
        <v>1180</v>
      </c>
      <c r="E3253" s="2" t="s">
        <v>5490</v>
      </c>
      <c r="F3253" s="2" t="s">
        <v>14</v>
      </c>
      <c r="G3253" s="2" t="s">
        <v>15</v>
      </c>
      <c r="H3253" s="2">
        <v>4400000</v>
      </c>
      <c r="I3253" s="2">
        <v>8.6999999999999993</v>
      </c>
      <c r="J3253" s="2">
        <f t="shared" si="24"/>
        <v>107600000</v>
      </c>
      <c r="K3253" s="2">
        <f t="shared" si="25"/>
        <v>8.2029619741408686E-3</v>
      </c>
      <c r="L3253" s="2" t="str">
        <f>IF(ISNUMBER(SEARCH("|",IMDB_Movies!$D3253)),LEFT(IMDB_Movies!$D3253,SEARCH("|",IMDB_Movies!$D3253)-1),IMDB_Movies!$D3253)</f>
        <v>Drama</v>
      </c>
      <c r="V3253" s="2"/>
      <c r="W3253" s="2"/>
    </row>
    <row r="3254" spans="1:23" ht="12.5" x14ac:dyDescent="0.25">
      <c r="A3254" s="2" t="s">
        <v>5491</v>
      </c>
      <c r="B3254" s="2">
        <v>103</v>
      </c>
      <c r="C3254" s="2">
        <v>8691</v>
      </c>
      <c r="D3254" s="2" t="s">
        <v>55</v>
      </c>
      <c r="E3254" s="2" t="s">
        <v>5492</v>
      </c>
      <c r="F3254" s="2" t="s">
        <v>14</v>
      </c>
      <c r="G3254" s="2" t="s">
        <v>15</v>
      </c>
      <c r="H3254" s="2">
        <v>4500000</v>
      </c>
      <c r="I3254" s="2">
        <v>5.8</v>
      </c>
      <c r="J3254" s="2">
        <f t="shared" si="24"/>
        <v>-4491309</v>
      </c>
      <c r="K3254" s="2">
        <f t="shared" si="25"/>
        <v>8.3587930153291145E-3</v>
      </c>
      <c r="L3254" s="2" t="str">
        <f>IF(ISNUMBER(SEARCH("|",IMDB_Movies!$D3254)),LEFT(IMDB_Movies!$D3254,SEARCH("|",IMDB_Movies!$D3254)-1),IMDB_Movies!$D3254)</f>
        <v>Action</v>
      </c>
      <c r="V3254" s="2"/>
      <c r="W3254" s="2"/>
    </row>
    <row r="3255" spans="1:23" ht="12.5" x14ac:dyDescent="0.25">
      <c r="A3255" s="2" t="s">
        <v>5493</v>
      </c>
      <c r="B3255" s="2">
        <v>112</v>
      </c>
      <c r="C3255" s="2">
        <v>26345</v>
      </c>
      <c r="D3255" s="2" t="s">
        <v>4762</v>
      </c>
      <c r="E3255" s="2" t="s">
        <v>5494</v>
      </c>
      <c r="F3255" s="2" t="s">
        <v>14</v>
      </c>
      <c r="G3255" s="2" t="s">
        <v>22</v>
      </c>
      <c r="H3255" s="2">
        <v>3000000</v>
      </c>
      <c r="I3255" s="2">
        <v>6.1</v>
      </c>
      <c r="J3255" s="2">
        <f t="shared" si="24"/>
        <v>-2973655</v>
      </c>
      <c r="K3255" s="2">
        <f t="shared" si="25"/>
        <v>8.3633255137187668E-3</v>
      </c>
      <c r="L3255" s="2" t="str">
        <f>IF(ISNUMBER(SEARCH("|",IMDB_Movies!$D3255)),LEFT(IMDB_Movies!$D3255,SEARCH("|",IMDB_Movies!$D3255)-1),IMDB_Movies!$D3255)</f>
        <v>Action</v>
      </c>
      <c r="V3255" s="2"/>
      <c r="W3255" s="2"/>
    </row>
    <row r="3256" spans="1:23" ht="12.5" x14ac:dyDescent="0.25">
      <c r="A3256" s="2" t="s">
        <v>2825</v>
      </c>
      <c r="B3256" s="2">
        <v>101</v>
      </c>
      <c r="C3256" s="2">
        <v>20772796</v>
      </c>
      <c r="D3256" s="2" t="s">
        <v>2383</v>
      </c>
      <c r="E3256" s="2" t="s">
        <v>5495</v>
      </c>
      <c r="F3256" s="2" t="s">
        <v>14</v>
      </c>
      <c r="G3256" s="2" t="s">
        <v>73</v>
      </c>
      <c r="H3256" s="2">
        <v>6000000</v>
      </c>
      <c r="I3256" s="2">
        <v>7.6</v>
      </c>
      <c r="J3256" s="2">
        <f t="shared" si="24"/>
        <v>14772796</v>
      </c>
      <c r="K3256" s="2">
        <f t="shared" si="25"/>
        <v>8.3408137426083991E-3</v>
      </c>
      <c r="L3256" s="2" t="str">
        <f>IF(ISNUMBER(SEARCH("|",IMDB_Movies!$D3256)),LEFT(IMDB_Movies!$D3256,SEARCH("|",IMDB_Movies!$D3256)-1),IMDB_Movies!$D3256)</f>
        <v>Drama</v>
      </c>
      <c r="V3256" s="2"/>
      <c r="W3256" s="2"/>
    </row>
    <row r="3257" spans="1:23" ht="12.5" x14ac:dyDescent="0.25">
      <c r="A3257" s="2" t="s">
        <v>5496</v>
      </c>
      <c r="B3257" s="2">
        <v>133</v>
      </c>
      <c r="C3257" s="2">
        <v>199228</v>
      </c>
      <c r="D3257" s="2" t="s">
        <v>891</v>
      </c>
      <c r="E3257" s="2" t="s">
        <v>5497</v>
      </c>
      <c r="F3257" s="2" t="s">
        <v>4629</v>
      </c>
      <c r="G3257" s="2" t="s">
        <v>2312</v>
      </c>
      <c r="H3257" s="2">
        <v>150000000</v>
      </c>
      <c r="I3257" s="2">
        <v>7.2</v>
      </c>
      <c r="J3257" s="2">
        <f t="shared" si="24"/>
        <v>-149800772</v>
      </c>
      <c r="K3257" s="2">
        <f t="shared" si="25"/>
        <v>8.3045386357658013E-3</v>
      </c>
      <c r="L3257" s="2" t="str">
        <f>IF(ISNUMBER(SEARCH("|",IMDB_Movies!$D3257)),LEFT(IMDB_Movies!$D3257,SEARCH("|",IMDB_Movies!$D3257)-1),IMDB_Movies!$D3257)</f>
        <v>Comedy</v>
      </c>
      <c r="V3257" s="2"/>
      <c r="W3257" s="2"/>
    </row>
    <row r="3258" spans="1:23" ht="12.5" x14ac:dyDescent="0.25">
      <c r="A3258" s="2" t="s">
        <v>1042</v>
      </c>
      <c r="B3258" s="2">
        <v>104</v>
      </c>
      <c r="C3258" s="2">
        <v>1487477</v>
      </c>
      <c r="D3258" s="2" t="s">
        <v>5498</v>
      </c>
      <c r="E3258" s="2" t="s">
        <v>5499</v>
      </c>
      <c r="F3258" s="2" t="s">
        <v>5500</v>
      </c>
      <c r="G3258" s="2" t="s">
        <v>3648</v>
      </c>
      <c r="H3258" s="2">
        <v>4200000</v>
      </c>
      <c r="I3258" s="2">
        <v>6.5</v>
      </c>
      <c r="J3258" s="2">
        <f t="shared" si="24"/>
        <v>-2712523</v>
      </c>
      <c r="K3258" s="2">
        <f t="shared" si="25"/>
        <v>1.0998834372573169E-2</v>
      </c>
      <c r="L3258" s="2" t="str">
        <f>IF(ISNUMBER(SEARCH("|",IMDB_Movies!$D3258)),LEFT(IMDB_Movies!$D3258,SEARCH("|",IMDB_Movies!$D3258)-1),IMDB_Movies!$D3258)</f>
        <v>Fantasy</v>
      </c>
      <c r="V3258" s="2"/>
      <c r="W3258" s="2"/>
    </row>
    <row r="3259" spans="1:23" ht="12.5" x14ac:dyDescent="0.25">
      <c r="A3259" s="2" t="s">
        <v>1715</v>
      </c>
      <c r="B3259" s="2">
        <v>112</v>
      </c>
      <c r="C3259" s="2">
        <v>62549000</v>
      </c>
      <c r="D3259" s="2" t="s">
        <v>1791</v>
      </c>
      <c r="E3259" s="2" t="s">
        <v>5501</v>
      </c>
      <c r="F3259" s="2" t="s">
        <v>14</v>
      </c>
      <c r="G3259" s="2" t="s">
        <v>22</v>
      </c>
      <c r="H3259" s="2">
        <v>2300000</v>
      </c>
      <c r="I3259" s="2">
        <v>7.3</v>
      </c>
      <c r="J3259" s="2">
        <f t="shared" si="24"/>
        <v>60249000</v>
      </c>
      <c r="K3259" s="2">
        <f t="shared" si="25"/>
        <v>1.1002430260871818E-2</v>
      </c>
      <c r="L3259" s="2" t="str">
        <f>IF(ISNUMBER(SEARCH("|",IMDB_Movies!$D3259)),LEFT(IMDB_Movies!$D3259,SEARCH("|",IMDB_Movies!$D3259)-1),IMDB_Movies!$D3259)</f>
        <v>Crime</v>
      </c>
      <c r="V3259" s="2"/>
      <c r="W3259" s="2"/>
    </row>
    <row r="3260" spans="1:23" ht="12.5" x14ac:dyDescent="0.25">
      <c r="A3260" s="2" t="s">
        <v>3635</v>
      </c>
      <c r="B3260" s="2">
        <v>94</v>
      </c>
      <c r="C3260" s="2">
        <v>105500000</v>
      </c>
      <c r="D3260" s="2" t="s">
        <v>709</v>
      </c>
      <c r="E3260" s="2" t="s">
        <v>5502</v>
      </c>
      <c r="F3260" s="2" t="s">
        <v>14</v>
      </c>
      <c r="G3260" s="2" t="s">
        <v>104</v>
      </c>
      <c r="H3260" s="2">
        <v>4000000</v>
      </c>
      <c r="I3260" s="2">
        <v>6.2</v>
      </c>
      <c r="J3260" s="2">
        <f t="shared" si="24"/>
        <v>101500000</v>
      </c>
      <c r="K3260" s="2">
        <f t="shared" si="25"/>
        <v>1.125396133758492E-2</v>
      </c>
      <c r="L3260" s="2" t="str">
        <f>IF(ISNUMBER(SEARCH("|",IMDB_Movies!$D3260)),LEFT(IMDB_Movies!$D3260,SEARCH("|",IMDB_Movies!$D3260)-1),IMDB_Movies!$D3260)</f>
        <v>Comedy</v>
      </c>
      <c r="V3260" s="2"/>
      <c r="W3260" s="2"/>
    </row>
    <row r="3261" spans="1:23" ht="12.5" x14ac:dyDescent="0.25">
      <c r="A3261" s="2" t="s">
        <v>3749</v>
      </c>
      <c r="B3261" s="2">
        <v>90</v>
      </c>
      <c r="C3261" s="2">
        <v>101055</v>
      </c>
      <c r="D3261" s="2" t="s">
        <v>2148</v>
      </c>
      <c r="E3261" s="2" t="s">
        <v>5503</v>
      </c>
      <c r="F3261" s="2" t="s">
        <v>14</v>
      </c>
      <c r="G3261" s="2" t="s">
        <v>15</v>
      </c>
      <c r="H3261" s="2">
        <v>4000000</v>
      </c>
      <c r="I3261" s="2">
        <v>5</v>
      </c>
      <c r="J3261" s="2">
        <f t="shared" si="24"/>
        <v>-3898945</v>
      </c>
      <c r="K3261" s="2">
        <f t="shared" si="25"/>
        <v>1.1482385290986954E-2</v>
      </c>
      <c r="L3261" s="2" t="str">
        <f>IF(ISNUMBER(SEARCH("|",IMDB_Movies!$D3261)),LEFT(IMDB_Movies!$D3261,SEARCH("|",IMDB_Movies!$D3261)-1),IMDB_Movies!$D3261)</f>
        <v>Horror</v>
      </c>
      <c r="V3261" s="2"/>
      <c r="W3261" s="2"/>
    </row>
    <row r="3262" spans="1:23" ht="12.5" x14ac:dyDescent="0.25">
      <c r="A3262" s="2" t="s">
        <v>2243</v>
      </c>
      <c r="B3262" s="2">
        <v>101</v>
      </c>
      <c r="C3262" s="2">
        <v>44566004</v>
      </c>
      <c r="D3262" s="2" t="s">
        <v>1180</v>
      </c>
      <c r="E3262" s="2" t="s">
        <v>5504</v>
      </c>
      <c r="F3262" s="2" t="s">
        <v>14</v>
      </c>
      <c r="G3262" s="2" t="s">
        <v>15</v>
      </c>
      <c r="H3262" s="2">
        <v>4000000</v>
      </c>
      <c r="I3262" s="2">
        <v>7.8</v>
      </c>
      <c r="J3262" s="2">
        <f t="shared" si="24"/>
        <v>40566004</v>
      </c>
      <c r="K3262" s="2">
        <f t="shared" si="25"/>
        <v>1.1483293068462479E-2</v>
      </c>
      <c r="L3262" s="2" t="str">
        <f>IF(ISNUMBER(SEARCH("|",IMDB_Movies!$D3262)),LEFT(IMDB_Movies!$D3262,SEARCH("|",IMDB_Movies!$D3262)-1),IMDB_Movies!$D3262)</f>
        <v>Drama</v>
      </c>
      <c r="V3262" s="2"/>
      <c r="W3262" s="2"/>
    </row>
    <row r="3263" spans="1:23" ht="12.5" x14ac:dyDescent="0.25">
      <c r="A3263" s="2" t="s">
        <v>2732</v>
      </c>
      <c r="B3263" s="2">
        <v>93</v>
      </c>
      <c r="C3263" s="2">
        <v>39200000</v>
      </c>
      <c r="D3263" s="2" t="s">
        <v>600</v>
      </c>
      <c r="E3263" s="2" t="s">
        <v>5505</v>
      </c>
      <c r="F3263" s="2" t="s">
        <v>14</v>
      </c>
      <c r="G3263" s="2" t="s">
        <v>15</v>
      </c>
      <c r="H3263" s="2">
        <v>4000000</v>
      </c>
      <c r="I3263" s="2">
        <v>8.1</v>
      </c>
      <c r="J3263" s="2">
        <f t="shared" si="24"/>
        <v>35200000</v>
      </c>
      <c r="K3263" s="2">
        <f t="shared" si="25"/>
        <v>1.1518044127033828E-2</v>
      </c>
      <c r="L3263" s="2" t="str">
        <f>IF(ISNUMBER(SEARCH("|",IMDB_Movies!$D3263)),LEFT(IMDB_Movies!$D3263,SEARCH("|",IMDB_Movies!$D3263)-1),IMDB_Movies!$D3263)</f>
        <v>Comedy</v>
      </c>
      <c r="V3263" s="2"/>
      <c r="W3263" s="2"/>
    </row>
    <row r="3264" spans="1:23" ht="12.5" x14ac:dyDescent="0.25">
      <c r="A3264" s="2" t="s">
        <v>5506</v>
      </c>
      <c r="B3264" s="2">
        <v>152</v>
      </c>
      <c r="C3264" s="2">
        <v>36000000</v>
      </c>
      <c r="D3264" s="2" t="s">
        <v>4048</v>
      </c>
      <c r="E3264" s="2" t="s">
        <v>5507</v>
      </c>
      <c r="F3264" s="2" t="s">
        <v>14</v>
      </c>
      <c r="G3264" s="2" t="s">
        <v>15</v>
      </c>
      <c r="H3264" s="2">
        <v>4000000</v>
      </c>
      <c r="I3264" s="2">
        <v>6.7</v>
      </c>
      <c r="J3264" s="2">
        <f t="shared" si="24"/>
        <v>32000000</v>
      </c>
      <c r="K3264" s="2">
        <f t="shared" si="25"/>
        <v>1.1543908242723474E-2</v>
      </c>
      <c r="L3264" s="2" t="str">
        <f>IF(ISNUMBER(SEARCH("|",IMDB_Movies!$D3264)),LEFT(IMDB_Movies!$D3264,SEARCH("|",IMDB_Movies!$D3264)-1),IMDB_Movies!$D3264)</f>
        <v>Drama</v>
      </c>
      <c r="V3264" s="2"/>
      <c r="W3264" s="2"/>
    </row>
    <row r="3265" spans="1:23" ht="12.5" x14ac:dyDescent="0.25">
      <c r="A3265" s="2" t="s">
        <v>54</v>
      </c>
      <c r="B3265" s="2">
        <v>112</v>
      </c>
      <c r="C3265" s="2">
        <v>31252964</v>
      </c>
      <c r="D3265" s="2" t="s">
        <v>85</v>
      </c>
      <c r="E3265" s="2" t="s">
        <v>5508</v>
      </c>
      <c r="F3265" s="2" t="s">
        <v>14</v>
      </c>
      <c r="G3265" s="2" t="s">
        <v>15</v>
      </c>
      <c r="H3265" s="2">
        <v>4000000</v>
      </c>
      <c r="I3265" s="2">
        <v>7.1</v>
      </c>
      <c r="J3265" s="2">
        <f t="shared" si="24"/>
        <v>27252964</v>
      </c>
      <c r="K3265" s="2">
        <f t="shared" si="25"/>
        <v>1.1565118696923131E-2</v>
      </c>
      <c r="L3265" s="2" t="str">
        <f>IF(ISNUMBER(SEARCH("|",IMDB_Movies!$D3265)),LEFT(IMDB_Movies!$D3265,SEARCH("|",IMDB_Movies!$D3265)-1),IMDB_Movies!$D3265)</f>
        <v>Drama</v>
      </c>
      <c r="V3265" s="2"/>
      <c r="W3265" s="2"/>
    </row>
    <row r="3266" spans="1:23" ht="12.5" x14ac:dyDescent="0.25">
      <c r="A3266" s="2" t="s">
        <v>5509</v>
      </c>
      <c r="B3266" s="2">
        <v>95</v>
      </c>
      <c r="C3266" s="2">
        <v>131175</v>
      </c>
      <c r="D3266" s="2" t="s">
        <v>4975</v>
      </c>
      <c r="E3266" s="2" t="s">
        <v>5510</v>
      </c>
      <c r="F3266" s="2" t="s">
        <v>14</v>
      </c>
      <c r="G3266" s="2" t="s">
        <v>15</v>
      </c>
      <c r="H3266" s="2">
        <v>8500000</v>
      </c>
      <c r="I3266" s="2">
        <v>5.6</v>
      </c>
      <c r="J3266" s="2">
        <f t="shared" si="24"/>
        <v>-8368825</v>
      </c>
      <c r="K3266" s="2">
        <f t="shared" si="25"/>
        <v>1.1580133748369387E-2</v>
      </c>
      <c r="L3266" s="2" t="str">
        <f>IF(ISNUMBER(SEARCH("|",IMDB_Movies!$D3266)),LEFT(IMDB_Movies!$D3266,SEARCH("|",IMDB_Movies!$D3266)-1),IMDB_Movies!$D3266)</f>
        <v>Drama</v>
      </c>
      <c r="V3266" s="2"/>
      <c r="W3266" s="2"/>
    </row>
    <row r="3267" spans="1:23" ht="12.5" x14ac:dyDescent="0.25">
      <c r="A3267" s="2" t="s">
        <v>5511</v>
      </c>
      <c r="B3267" s="2">
        <v>111</v>
      </c>
      <c r="C3267" s="2">
        <v>31968347</v>
      </c>
      <c r="D3267" s="2" t="s">
        <v>85</v>
      </c>
      <c r="E3267" s="2" t="s">
        <v>5512</v>
      </c>
      <c r="F3267" s="2" t="s">
        <v>14</v>
      </c>
      <c r="G3267" s="2" t="s">
        <v>15</v>
      </c>
      <c r="H3267" s="2">
        <v>3600000</v>
      </c>
      <c r="I3267" s="2">
        <v>7.6</v>
      </c>
      <c r="J3267" s="2">
        <f t="shared" si="24"/>
        <v>28368347</v>
      </c>
      <c r="K3267" s="2">
        <f t="shared" si="25"/>
        <v>1.1660628007190766E-2</v>
      </c>
      <c r="L3267" s="2" t="str">
        <f>IF(ISNUMBER(SEARCH("|",IMDB_Movies!$D3267)),LEFT(IMDB_Movies!$D3267,SEARCH("|",IMDB_Movies!$D3267)-1),IMDB_Movies!$D3267)</f>
        <v>Drama</v>
      </c>
      <c r="V3267" s="2"/>
      <c r="W3267" s="2"/>
    </row>
    <row r="3268" spans="1:23" ht="12.5" x14ac:dyDescent="0.25">
      <c r="A3268" s="2" t="s">
        <v>197</v>
      </c>
      <c r="B3268" s="2">
        <v>91</v>
      </c>
      <c r="C3268" s="2">
        <v>35385560</v>
      </c>
      <c r="D3268" s="2" t="s">
        <v>315</v>
      </c>
      <c r="E3268" s="2" t="s">
        <v>5513</v>
      </c>
      <c r="F3268" s="2" t="s">
        <v>14</v>
      </c>
      <c r="G3268" s="2" t="s">
        <v>15</v>
      </c>
      <c r="H3268" s="2">
        <v>4000000</v>
      </c>
      <c r="I3268" s="2">
        <v>4.5999999999999996</v>
      </c>
      <c r="J3268" s="2">
        <f t="shared" si="24"/>
        <v>31385560</v>
      </c>
      <c r="K3268" s="2">
        <f t="shared" si="25"/>
        <v>1.1695609692670098E-2</v>
      </c>
      <c r="L3268" s="2" t="str">
        <f>IF(ISNUMBER(SEARCH("|",IMDB_Movies!$D3268)),LEFT(IMDB_Movies!$D3268,SEARCH("|",IMDB_Movies!$D3268)-1),IMDB_Movies!$D3268)</f>
        <v>Mystery</v>
      </c>
      <c r="V3268" s="2"/>
      <c r="W3268" s="2"/>
    </row>
    <row r="3269" spans="1:23" ht="12.5" x14ac:dyDescent="0.25">
      <c r="A3269" s="2" t="s">
        <v>5514</v>
      </c>
      <c r="B3269" s="2">
        <v>106</v>
      </c>
      <c r="C3269" s="2">
        <v>20803237</v>
      </c>
      <c r="D3269" s="2" t="s">
        <v>891</v>
      </c>
      <c r="E3269" s="2" t="s">
        <v>5515</v>
      </c>
      <c r="F3269" s="2" t="s">
        <v>14</v>
      </c>
      <c r="G3269" s="2" t="s">
        <v>15</v>
      </c>
      <c r="H3269" s="2">
        <v>3500000</v>
      </c>
      <c r="I3269" s="2">
        <v>7.1</v>
      </c>
      <c r="J3269" s="2">
        <f t="shared" si="24"/>
        <v>17303237</v>
      </c>
      <c r="K3269" s="2">
        <f t="shared" si="25"/>
        <v>1.1716084158896396E-2</v>
      </c>
      <c r="L3269" s="2" t="str">
        <f>IF(ISNUMBER(SEARCH("|",IMDB_Movies!$D3269)),LEFT(IMDB_Movies!$D3269,SEARCH("|",IMDB_Movies!$D3269)-1),IMDB_Movies!$D3269)</f>
        <v>Comedy</v>
      </c>
      <c r="V3269" s="2"/>
      <c r="W3269" s="2"/>
    </row>
    <row r="3270" spans="1:23" ht="12.5" x14ac:dyDescent="0.25">
      <c r="A3270" s="2" t="s">
        <v>1818</v>
      </c>
      <c r="B3270" s="2">
        <v>93</v>
      </c>
      <c r="C3270" s="2">
        <v>13008928</v>
      </c>
      <c r="D3270" s="2" t="s">
        <v>1486</v>
      </c>
      <c r="E3270" s="2" t="s">
        <v>5516</v>
      </c>
      <c r="F3270" s="2" t="s">
        <v>14</v>
      </c>
      <c r="G3270" s="2" t="s">
        <v>15</v>
      </c>
      <c r="H3270" s="2">
        <v>4000000</v>
      </c>
      <c r="I3270" s="2">
        <v>7.3</v>
      </c>
      <c r="J3270" s="2">
        <f t="shared" si="24"/>
        <v>9008928</v>
      </c>
      <c r="K3270" s="2">
        <f t="shared" si="25"/>
        <v>1.1733680102070413E-2</v>
      </c>
      <c r="L3270" s="2" t="str">
        <f>IF(ISNUMBER(SEARCH("|",IMDB_Movies!$D3270)),LEFT(IMDB_Movies!$D3270,SEARCH("|",IMDB_Movies!$D3270)-1),IMDB_Movies!$D3270)</f>
        <v>Horror</v>
      </c>
      <c r="V3270" s="2"/>
      <c r="W3270" s="2"/>
    </row>
    <row r="3271" spans="1:23" ht="12.5" x14ac:dyDescent="0.25">
      <c r="A3271" s="2" t="s">
        <v>5517</v>
      </c>
      <c r="B3271" s="2">
        <v>93</v>
      </c>
      <c r="C3271" s="2">
        <v>15152879</v>
      </c>
      <c r="D3271" s="2" t="s">
        <v>1507</v>
      </c>
      <c r="E3271" s="2" t="s">
        <v>5518</v>
      </c>
      <c r="F3271" s="2" t="s">
        <v>14</v>
      </c>
      <c r="G3271" s="2" t="s">
        <v>686</v>
      </c>
      <c r="H3271" s="2">
        <v>5000000</v>
      </c>
      <c r="I3271" s="2">
        <v>4</v>
      </c>
      <c r="J3271" s="2">
        <f t="shared" si="24"/>
        <v>10152879</v>
      </c>
      <c r="K3271" s="2">
        <f t="shared" si="25"/>
        <v>1.1734609011569018E-2</v>
      </c>
      <c r="L3271" s="2" t="str">
        <f>IF(ISNUMBER(SEARCH("|",IMDB_Movies!$D3271)),LEFT(IMDB_Movies!$D3271,SEARCH("|",IMDB_Movies!$D3271)-1),IMDB_Movies!$D3271)</f>
        <v>Drama</v>
      </c>
      <c r="V3271" s="2"/>
      <c r="W3271" s="2"/>
    </row>
    <row r="3272" spans="1:23" ht="12.5" x14ac:dyDescent="0.25">
      <c r="A3272" s="2" t="s">
        <v>2991</v>
      </c>
      <c r="B3272" s="2">
        <v>165</v>
      </c>
      <c r="C3272" s="2">
        <v>25359200</v>
      </c>
      <c r="D3272" s="2" t="s">
        <v>1180</v>
      </c>
      <c r="E3272" s="2" t="s">
        <v>5519</v>
      </c>
      <c r="F3272" s="2" t="s">
        <v>14</v>
      </c>
      <c r="G3272" s="2" t="s">
        <v>15</v>
      </c>
      <c r="H3272" s="2">
        <v>4000000</v>
      </c>
      <c r="I3272" s="2">
        <v>8</v>
      </c>
      <c r="J3272" s="2">
        <f t="shared" si="24"/>
        <v>21359200</v>
      </c>
      <c r="K3272" s="2">
        <f t="shared" si="25"/>
        <v>1.1722651778952429E-2</v>
      </c>
      <c r="L3272" s="2" t="str">
        <f>IF(ISNUMBER(SEARCH("|",IMDB_Movies!$D3272)),LEFT(IMDB_Movies!$D3272,SEARCH("|",IMDB_Movies!$D3272)-1),IMDB_Movies!$D3272)</f>
        <v>Drama</v>
      </c>
      <c r="V3272" s="2"/>
      <c r="W3272" s="2"/>
    </row>
    <row r="3273" spans="1:23" ht="12.5" x14ac:dyDescent="0.25">
      <c r="A3273" s="2" t="s">
        <v>2732</v>
      </c>
      <c r="B3273" s="2">
        <v>96</v>
      </c>
      <c r="C3273" s="2">
        <v>10515579</v>
      </c>
      <c r="D3273" s="2" t="s">
        <v>3980</v>
      </c>
      <c r="E3273" s="2" t="s">
        <v>5520</v>
      </c>
      <c r="F3273" s="2" t="s">
        <v>14</v>
      </c>
      <c r="G3273" s="2" t="s">
        <v>22</v>
      </c>
      <c r="H3273" s="2">
        <v>4000000</v>
      </c>
      <c r="I3273" s="2">
        <v>6.7</v>
      </c>
      <c r="J3273" s="2">
        <f t="shared" si="24"/>
        <v>6515579</v>
      </c>
      <c r="K3273" s="2">
        <f t="shared" si="25"/>
        <v>1.1731351046972703E-2</v>
      </c>
      <c r="L3273" s="2" t="str">
        <f>IF(ISNUMBER(SEARCH("|",IMDB_Movies!$D3273)),LEFT(IMDB_Movies!$D3273,SEARCH("|",IMDB_Movies!$D3273)-1),IMDB_Movies!$D3273)</f>
        <v>Comedy</v>
      </c>
      <c r="V3273" s="2"/>
      <c r="W3273" s="2"/>
    </row>
    <row r="3274" spans="1:23" ht="12.5" x14ac:dyDescent="0.25">
      <c r="A3274" s="2" t="s">
        <v>5521</v>
      </c>
      <c r="B3274" s="2">
        <v>93</v>
      </c>
      <c r="C3274" s="2">
        <v>10097096</v>
      </c>
      <c r="D3274" s="2" t="s">
        <v>709</v>
      </c>
      <c r="E3274" s="2" t="s">
        <v>5522</v>
      </c>
      <c r="F3274" s="2" t="s">
        <v>14</v>
      </c>
      <c r="G3274" s="2" t="s">
        <v>15</v>
      </c>
      <c r="H3274" s="2">
        <v>4000000</v>
      </c>
      <c r="I3274" s="2">
        <v>4.5999999999999996</v>
      </c>
      <c r="J3274" s="2">
        <f t="shared" si="24"/>
        <v>6097096</v>
      </c>
      <c r="K3274" s="2">
        <f t="shared" si="25"/>
        <v>1.1731640191987247E-2</v>
      </c>
      <c r="L3274" s="2" t="str">
        <f>IF(ISNUMBER(SEARCH("|",IMDB_Movies!$D3274)),LEFT(IMDB_Movies!$D3274,SEARCH("|",IMDB_Movies!$D3274)-1),IMDB_Movies!$D3274)</f>
        <v>Comedy</v>
      </c>
      <c r="V3274" s="2"/>
      <c r="W3274" s="2"/>
    </row>
    <row r="3275" spans="1:23" ht="12.5" x14ac:dyDescent="0.25">
      <c r="A3275" s="2" t="s">
        <v>5521</v>
      </c>
      <c r="B3275" s="2">
        <v>82</v>
      </c>
      <c r="C3275" s="2">
        <v>9821335</v>
      </c>
      <c r="D3275" s="2" t="s">
        <v>709</v>
      </c>
      <c r="E3275" s="2" t="s">
        <v>5523</v>
      </c>
      <c r="F3275" s="2" t="s">
        <v>14</v>
      </c>
      <c r="G3275" s="2" t="s">
        <v>15</v>
      </c>
      <c r="H3275" s="2">
        <v>6000000</v>
      </c>
      <c r="I3275" s="2">
        <v>4</v>
      </c>
      <c r="J3275" s="2">
        <f t="shared" si="24"/>
        <v>3821335</v>
      </c>
      <c r="K3275" s="2">
        <f t="shared" si="25"/>
        <v>1.1731853219150792E-2</v>
      </c>
      <c r="L3275" s="2" t="str">
        <f>IF(ISNUMBER(SEARCH("|",IMDB_Movies!$D3275)),LEFT(IMDB_Movies!$D3275,SEARCH("|",IMDB_Movies!$D3275)-1),IMDB_Movies!$D3275)</f>
        <v>Comedy</v>
      </c>
      <c r="V3275" s="2"/>
      <c r="W3275" s="2"/>
    </row>
    <row r="3276" spans="1:23" ht="12.5" x14ac:dyDescent="0.25">
      <c r="A3276" s="2" t="s">
        <v>3916</v>
      </c>
      <c r="B3276" s="2">
        <v>101</v>
      </c>
      <c r="C3276" s="2">
        <v>8243880</v>
      </c>
      <c r="D3276" s="2" t="s">
        <v>5524</v>
      </c>
      <c r="E3276" s="2" t="s">
        <v>5525</v>
      </c>
      <c r="F3276" s="2" t="s">
        <v>14</v>
      </c>
      <c r="G3276" s="2" t="s">
        <v>15</v>
      </c>
      <c r="H3276" s="2">
        <v>3200000</v>
      </c>
      <c r="I3276" s="2">
        <v>7</v>
      </c>
      <c r="J3276" s="2">
        <f t="shared" si="24"/>
        <v>5043880</v>
      </c>
      <c r="K3276" s="2">
        <f t="shared" si="25"/>
        <v>1.1726563925869411E-2</v>
      </c>
      <c r="L3276" s="2" t="str">
        <f>IF(ISNUMBER(SEARCH("|",IMDB_Movies!$D3276)),LEFT(IMDB_Movies!$D3276,SEARCH("|",IMDB_Movies!$D3276)-1),IMDB_Movies!$D3276)</f>
        <v>Crime</v>
      </c>
      <c r="V3276" s="2"/>
      <c r="W3276" s="2"/>
    </row>
    <row r="3277" spans="1:23" ht="12.5" x14ac:dyDescent="0.25">
      <c r="A3277" s="2" t="s">
        <v>5526</v>
      </c>
      <c r="B3277" s="2">
        <v>81</v>
      </c>
      <c r="C3277" s="2">
        <v>7825820</v>
      </c>
      <c r="D3277" s="2" t="s">
        <v>793</v>
      </c>
      <c r="E3277" s="2" t="s">
        <v>5527</v>
      </c>
      <c r="F3277" s="2" t="s">
        <v>14</v>
      </c>
      <c r="G3277" s="2" t="s">
        <v>15</v>
      </c>
      <c r="H3277" s="2">
        <v>4000000</v>
      </c>
      <c r="I3277" s="2">
        <v>5.9</v>
      </c>
      <c r="J3277" s="2">
        <f t="shared" si="24"/>
        <v>3825820</v>
      </c>
      <c r="K3277" s="2">
        <f t="shared" si="25"/>
        <v>1.1726121428315551E-2</v>
      </c>
      <c r="L3277" s="2" t="str">
        <f>IF(ISNUMBER(SEARCH("|",IMDB_Movies!$D3277)),LEFT(IMDB_Movies!$D3277,SEARCH("|",IMDB_Movies!$D3277)-1),IMDB_Movies!$D3277)</f>
        <v>Crime</v>
      </c>
      <c r="V3277" s="2"/>
      <c r="W3277" s="2"/>
    </row>
    <row r="3278" spans="1:23" ht="12.5" x14ac:dyDescent="0.25">
      <c r="A3278" s="2" t="s">
        <v>2248</v>
      </c>
      <c r="B3278" s="2">
        <v>105</v>
      </c>
      <c r="C3278" s="2">
        <v>7159147</v>
      </c>
      <c r="D3278" s="2" t="s">
        <v>690</v>
      </c>
      <c r="E3278" s="2" t="s">
        <v>5528</v>
      </c>
      <c r="F3278" s="2" t="s">
        <v>971</v>
      </c>
      <c r="G3278" s="2" t="s">
        <v>1239</v>
      </c>
      <c r="H3278" s="2">
        <v>3400000</v>
      </c>
      <c r="I3278" s="2">
        <v>7.5</v>
      </c>
      <c r="J3278" s="2">
        <f t="shared" si="24"/>
        <v>3759147</v>
      </c>
      <c r="K3278" s="2">
        <f t="shared" si="25"/>
        <v>1.1726072592748155E-2</v>
      </c>
      <c r="L3278" s="2" t="str">
        <f>IF(ISNUMBER(SEARCH("|",IMDB_Movies!$D3278)),LEFT(IMDB_Movies!$D3278,SEARCH("|",IMDB_Movies!$D3278)-1),IMDB_Movies!$D3278)</f>
        <v>Drama</v>
      </c>
      <c r="V3278" s="2"/>
      <c r="W3278" s="2"/>
    </row>
    <row r="3279" spans="1:23" ht="12.5" x14ac:dyDescent="0.25">
      <c r="A3279" s="2" t="s">
        <v>5391</v>
      </c>
      <c r="B3279" s="2">
        <v>86</v>
      </c>
      <c r="C3279" s="2">
        <v>17314483</v>
      </c>
      <c r="D3279" s="2" t="s">
        <v>975</v>
      </c>
      <c r="E3279" s="2" t="s">
        <v>5529</v>
      </c>
      <c r="F3279" s="2" t="s">
        <v>14</v>
      </c>
      <c r="G3279" s="2" t="s">
        <v>15</v>
      </c>
      <c r="H3279" s="2">
        <v>4000000</v>
      </c>
      <c r="I3279" s="2">
        <v>4.7</v>
      </c>
      <c r="J3279" s="2">
        <f t="shared" si="24"/>
        <v>13314483</v>
      </c>
      <c r="K3279" s="2">
        <f t="shared" si="25"/>
        <v>1.172432578670954E-2</v>
      </c>
      <c r="L3279" s="2" t="str">
        <f>IF(ISNUMBER(SEARCH("|",IMDB_Movies!$D3279)),LEFT(IMDB_Movies!$D3279,SEARCH("|",IMDB_Movies!$D3279)-1),IMDB_Movies!$D3279)</f>
        <v>Comedy</v>
      </c>
      <c r="V3279" s="2"/>
      <c r="W3279" s="2"/>
    </row>
    <row r="3280" spans="1:23" ht="12.5" x14ac:dyDescent="0.25">
      <c r="A3280" s="2" t="s">
        <v>5530</v>
      </c>
      <c r="B3280" s="2">
        <v>110</v>
      </c>
      <c r="C3280" s="2">
        <v>6525762</v>
      </c>
      <c r="D3280" s="2" t="s">
        <v>514</v>
      </c>
      <c r="E3280" s="2" t="s">
        <v>5531</v>
      </c>
      <c r="F3280" s="2" t="s">
        <v>14</v>
      </c>
      <c r="G3280" s="2" t="s">
        <v>15</v>
      </c>
      <c r="H3280" s="2">
        <v>4000000</v>
      </c>
      <c r="I3280" s="2">
        <v>6.7</v>
      </c>
      <c r="J3280" s="2">
        <f t="shared" si="24"/>
        <v>2525762</v>
      </c>
      <c r="K3280" s="2">
        <f t="shared" si="25"/>
        <v>1.1727096213120904E-2</v>
      </c>
      <c r="L3280" s="2" t="str">
        <f>IF(ISNUMBER(SEARCH("|",IMDB_Movies!$D3280)),LEFT(IMDB_Movies!$D3280,SEARCH("|",IMDB_Movies!$D3280)-1),IMDB_Movies!$D3280)</f>
        <v>Comedy</v>
      </c>
      <c r="V3280" s="2"/>
      <c r="W3280" s="2"/>
    </row>
    <row r="3281" spans="1:23" ht="12.5" x14ac:dyDescent="0.25">
      <c r="A3281" s="2" t="s">
        <v>5532</v>
      </c>
      <c r="B3281" s="2">
        <v>110</v>
      </c>
      <c r="C3281" s="2">
        <v>4301331</v>
      </c>
      <c r="D3281" s="2" t="s">
        <v>975</v>
      </c>
      <c r="E3281" s="2" t="s">
        <v>5533</v>
      </c>
      <c r="F3281" s="2" t="s">
        <v>14</v>
      </c>
      <c r="G3281" s="2" t="s">
        <v>15</v>
      </c>
      <c r="H3281" s="2">
        <v>4000000</v>
      </c>
      <c r="I3281" s="2">
        <v>6.7</v>
      </c>
      <c r="J3281" s="2">
        <f t="shared" si="24"/>
        <v>301331</v>
      </c>
      <c r="K3281" s="2">
        <f t="shared" si="25"/>
        <v>1.1727012096207154E-2</v>
      </c>
      <c r="L3281" s="2" t="str">
        <f>IF(ISNUMBER(SEARCH("|",IMDB_Movies!$D3281)),LEFT(IMDB_Movies!$D3281,SEARCH("|",IMDB_Movies!$D3281)-1),IMDB_Movies!$D3281)</f>
        <v>Comedy</v>
      </c>
      <c r="V3281" s="2"/>
      <c r="W3281" s="2"/>
    </row>
    <row r="3282" spans="1:23" ht="12.5" x14ac:dyDescent="0.25">
      <c r="A3282" s="2" t="s">
        <v>3933</v>
      </c>
      <c r="B3282" s="2">
        <v>104</v>
      </c>
      <c r="C3282" s="2">
        <v>4046737</v>
      </c>
      <c r="D3282" s="2" t="s">
        <v>514</v>
      </c>
      <c r="E3282" s="2" t="s">
        <v>5534</v>
      </c>
      <c r="F3282" s="2" t="s">
        <v>14</v>
      </c>
      <c r="G3282" s="2" t="s">
        <v>15</v>
      </c>
      <c r="H3282" s="2">
        <v>4000000</v>
      </c>
      <c r="I3282" s="2">
        <v>7.1</v>
      </c>
      <c r="J3282" s="2">
        <f t="shared" si="24"/>
        <v>46737</v>
      </c>
      <c r="K3282" s="2">
        <f t="shared" si="25"/>
        <v>1.17270672920987E-2</v>
      </c>
      <c r="L3282" s="2" t="str">
        <f>IF(ISNUMBER(SEARCH("|",IMDB_Movies!$D3282)),LEFT(IMDB_Movies!$D3282,SEARCH("|",IMDB_Movies!$D3282)-1),IMDB_Movies!$D3282)</f>
        <v>Comedy</v>
      </c>
      <c r="V3282" s="2"/>
      <c r="W3282" s="2"/>
    </row>
    <row r="3283" spans="1:23" ht="12.5" x14ac:dyDescent="0.25">
      <c r="A3283" s="2" t="s">
        <v>5535</v>
      </c>
      <c r="B3283" s="2">
        <v>96</v>
      </c>
      <c r="C3283" s="2">
        <v>3713002</v>
      </c>
      <c r="D3283" s="2" t="s">
        <v>2943</v>
      </c>
      <c r="E3283" s="2" t="s">
        <v>5536</v>
      </c>
      <c r="F3283" s="2" t="s">
        <v>14</v>
      </c>
      <c r="G3283" s="2" t="s">
        <v>15</v>
      </c>
      <c r="H3283" s="2">
        <v>8000000</v>
      </c>
      <c r="I3283" s="2">
        <v>2.7</v>
      </c>
      <c r="J3283" s="2">
        <f t="shared" si="24"/>
        <v>-4286998</v>
      </c>
      <c r="K3283" s="2">
        <f t="shared" si="25"/>
        <v>1.172715470534396E-2</v>
      </c>
      <c r="L3283" s="2" t="str">
        <f>IF(ISNUMBER(SEARCH("|",IMDB_Movies!$D3283)),LEFT(IMDB_Movies!$D3283,SEARCH("|",IMDB_Movies!$D3283)-1),IMDB_Movies!$D3283)</f>
        <v>Documentary</v>
      </c>
      <c r="V3283" s="2"/>
      <c r="W3283" s="2"/>
    </row>
    <row r="3284" spans="1:23" ht="12.5" x14ac:dyDescent="0.25">
      <c r="A3284" s="2" t="s">
        <v>284</v>
      </c>
      <c r="B3284" s="2">
        <v>110</v>
      </c>
      <c r="C3284" s="2">
        <v>3468572</v>
      </c>
      <c r="D3284" s="2" t="s">
        <v>1180</v>
      </c>
      <c r="E3284" s="2" t="s">
        <v>5537</v>
      </c>
      <c r="F3284" s="2" t="s">
        <v>14</v>
      </c>
      <c r="G3284" s="2" t="s">
        <v>15</v>
      </c>
      <c r="H3284" s="2">
        <v>4000000</v>
      </c>
      <c r="I3284" s="2">
        <v>7.3</v>
      </c>
      <c r="J3284" s="2">
        <f t="shared" si="24"/>
        <v>-531428</v>
      </c>
      <c r="K3284" s="2">
        <f t="shared" si="25"/>
        <v>1.1767254484630138E-2</v>
      </c>
      <c r="L3284" s="2" t="str">
        <f>IF(ISNUMBER(SEARCH("|",IMDB_Movies!$D3284)),LEFT(IMDB_Movies!$D3284,SEARCH("|",IMDB_Movies!$D3284)-1),IMDB_Movies!$D3284)</f>
        <v>Drama</v>
      </c>
      <c r="V3284" s="2"/>
      <c r="W3284" s="2"/>
    </row>
    <row r="3285" spans="1:23" ht="12.5" x14ac:dyDescent="0.25">
      <c r="A3285" s="2" t="s">
        <v>4518</v>
      </c>
      <c r="B3285" s="2">
        <v>84</v>
      </c>
      <c r="C3285" s="2">
        <v>2892582</v>
      </c>
      <c r="D3285" s="2" t="s">
        <v>709</v>
      </c>
      <c r="E3285" s="2" t="s">
        <v>5538</v>
      </c>
      <c r="F3285" s="2" t="s">
        <v>14</v>
      </c>
      <c r="G3285" s="2" t="s">
        <v>15</v>
      </c>
      <c r="H3285" s="2">
        <v>4000000</v>
      </c>
      <c r="I3285" s="2">
        <v>7.6</v>
      </c>
      <c r="J3285" s="2">
        <f t="shared" si="24"/>
        <v>-1107418</v>
      </c>
      <c r="K3285" s="2">
        <f t="shared" si="25"/>
        <v>1.1767513360665999E-2</v>
      </c>
      <c r="L3285" s="2" t="str">
        <f>IF(ISNUMBER(SEARCH("|",IMDB_Movies!$D3285)),LEFT(IMDB_Movies!$D3285,SEARCH("|",IMDB_Movies!$D3285)-1),IMDB_Movies!$D3285)</f>
        <v>Comedy</v>
      </c>
      <c r="V3285" s="2"/>
      <c r="W3285" s="2"/>
    </row>
    <row r="3286" spans="1:23" ht="12.5" x14ac:dyDescent="0.25">
      <c r="A3286" s="2" t="s">
        <v>5539</v>
      </c>
      <c r="B3286" s="2">
        <v>94</v>
      </c>
      <c r="C3286" s="2">
        <v>2800000</v>
      </c>
      <c r="D3286" s="2" t="s">
        <v>709</v>
      </c>
      <c r="E3286" s="2" t="s">
        <v>5540</v>
      </c>
      <c r="F3286" s="2" t="s">
        <v>14</v>
      </c>
      <c r="G3286" s="2" t="s">
        <v>15</v>
      </c>
      <c r="H3286" s="2">
        <v>4000000</v>
      </c>
      <c r="I3286" s="2">
        <v>5.8</v>
      </c>
      <c r="J3286" s="2">
        <f t="shared" si="24"/>
        <v>-1200000</v>
      </c>
      <c r="K3286" s="2">
        <f t="shared" si="25"/>
        <v>1.1767885178953563E-2</v>
      </c>
      <c r="L3286" s="2" t="str">
        <f>IF(ISNUMBER(SEARCH("|",IMDB_Movies!$D3286)),LEFT(IMDB_Movies!$D3286,SEARCH("|",IMDB_Movies!$D3286)-1),IMDB_Movies!$D3286)</f>
        <v>Comedy</v>
      </c>
      <c r="V3286" s="2"/>
      <c r="W3286" s="2"/>
    </row>
    <row r="3287" spans="1:23" ht="12.5" x14ac:dyDescent="0.25">
      <c r="A3287" s="2" t="s">
        <v>1519</v>
      </c>
      <c r="B3287" s="2">
        <v>93</v>
      </c>
      <c r="C3287" s="2">
        <v>2426851</v>
      </c>
      <c r="D3287" s="2" t="s">
        <v>1454</v>
      </c>
      <c r="E3287" s="2" t="s">
        <v>5541</v>
      </c>
      <c r="F3287" s="2" t="s">
        <v>14</v>
      </c>
      <c r="G3287" s="2" t="s">
        <v>15</v>
      </c>
      <c r="H3287" s="2">
        <v>4000000</v>
      </c>
      <c r="I3287" s="2">
        <v>6.5</v>
      </c>
      <c r="J3287" s="2">
        <f t="shared" si="24"/>
        <v>-1573149</v>
      </c>
      <c r="K3287" s="2">
        <f t="shared" si="25"/>
        <v>1.1768278177278843E-2</v>
      </c>
      <c r="L3287" s="2" t="str">
        <f>IF(ISNUMBER(SEARCH("|",IMDB_Movies!$D3287)),LEFT(IMDB_Movies!$D3287,SEARCH("|",IMDB_Movies!$D3287)-1),IMDB_Movies!$D3287)</f>
        <v>Comedy</v>
      </c>
      <c r="V3287" s="2"/>
      <c r="W3287" s="2"/>
    </row>
    <row r="3288" spans="1:23" ht="12.5" x14ac:dyDescent="0.25">
      <c r="A3288" s="2" t="s">
        <v>5542</v>
      </c>
      <c r="B3288" s="2">
        <v>96</v>
      </c>
      <c r="C3288" s="2">
        <v>1325073</v>
      </c>
      <c r="D3288" s="2" t="s">
        <v>891</v>
      </c>
      <c r="E3288" s="2" t="s">
        <v>5543</v>
      </c>
      <c r="F3288" s="2" t="s">
        <v>14</v>
      </c>
      <c r="G3288" s="2" t="s">
        <v>15</v>
      </c>
      <c r="H3288" s="2">
        <v>4000000</v>
      </c>
      <c r="I3288" s="2">
        <v>6.6</v>
      </c>
      <c r="J3288" s="2">
        <f t="shared" si="24"/>
        <v>-2674927</v>
      </c>
      <c r="K3288" s="2">
        <f t="shared" si="25"/>
        <v>1.1768756400382744E-2</v>
      </c>
      <c r="L3288" s="2" t="str">
        <f>IF(ISNUMBER(SEARCH("|",IMDB_Movies!$D3288)),LEFT(IMDB_Movies!$D3288,SEARCH("|",IMDB_Movies!$D3288)-1),IMDB_Movies!$D3288)</f>
        <v>Comedy</v>
      </c>
      <c r="V3288" s="2"/>
      <c r="W3288" s="2"/>
    </row>
    <row r="3289" spans="1:23" ht="12.5" x14ac:dyDescent="0.25">
      <c r="A3289" s="2" t="s">
        <v>5544</v>
      </c>
      <c r="B3289" s="2">
        <v>101</v>
      </c>
      <c r="C3289" s="2">
        <v>864959</v>
      </c>
      <c r="D3289" s="2" t="s">
        <v>71</v>
      </c>
      <c r="E3289" s="2" t="s">
        <v>5545</v>
      </c>
      <c r="F3289" s="2" t="s">
        <v>14</v>
      </c>
      <c r="G3289" s="2" t="s">
        <v>22</v>
      </c>
      <c r="H3289" s="2">
        <v>4000000</v>
      </c>
      <c r="I3289" s="2">
        <v>6.9</v>
      </c>
      <c r="J3289" s="2">
        <f t="shared" si="24"/>
        <v>-3135041</v>
      </c>
      <c r="K3289" s="2">
        <f t="shared" si="25"/>
        <v>1.1769525146741778E-2</v>
      </c>
      <c r="L3289" s="2" t="str">
        <f>IF(ISNUMBER(SEARCH("|",IMDB_Movies!$D3289)),LEFT(IMDB_Movies!$D3289,SEARCH("|",IMDB_Movies!$D3289)-1),IMDB_Movies!$D3289)</f>
        <v>Adventure</v>
      </c>
      <c r="V3289" s="2"/>
      <c r="W3289" s="2"/>
    </row>
    <row r="3290" spans="1:23" ht="12.5" x14ac:dyDescent="0.25">
      <c r="A3290" s="2" t="s">
        <v>5546</v>
      </c>
      <c r="B3290" s="2">
        <v>102</v>
      </c>
      <c r="C3290" s="2">
        <v>2601847</v>
      </c>
      <c r="D3290" s="2" t="s">
        <v>1398</v>
      </c>
      <c r="E3290" s="2" t="s">
        <v>5547</v>
      </c>
      <c r="F3290" s="2" t="s">
        <v>5548</v>
      </c>
      <c r="G3290" s="2" t="s">
        <v>15</v>
      </c>
      <c r="H3290" s="2">
        <v>4000000</v>
      </c>
      <c r="I3290" s="2">
        <v>8.5</v>
      </c>
      <c r="J3290" s="2">
        <f t="shared" si="24"/>
        <v>-1398153</v>
      </c>
      <c r="K3290" s="2">
        <f t="shared" si="25"/>
        <v>1.1770436312703735E-2</v>
      </c>
      <c r="L3290" s="2" t="str">
        <f>IF(ISNUMBER(SEARCH("|",IMDB_Movies!$D3290)),LEFT(IMDB_Movies!$D3290,SEARCH("|",IMDB_Movies!$D3290)-1),IMDB_Movies!$D3290)</f>
        <v>Documentary</v>
      </c>
      <c r="V3290" s="2"/>
      <c r="W3290" s="2"/>
    </row>
    <row r="3291" spans="1:23" ht="12.5" x14ac:dyDescent="0.25">
      <c r="A3291" s="2" t="s">
        <v>5549</v>
      </c>
      <c r="B3291" s="2">
        <v>87</v>
      </c>
      <c r="C3291" s="2">
        <v>800000</v>
      </c>
      <c r="D3291" s="2" t="s">
        <v>71</v>
      </c>
      <c r="E3291" s="2" t="s">
        <v>5550</v>
      </c>
      <c r="F3291" s="2" t="s">
        <v>14</v>
      </c>
      <c r="G3291" s="2" t="s">
        <v>15</v>
      </c>
      <c r="H3291" s="2">
        <v>4000000</v>
      </c>
      <c r="I3291" s="2">
        <v>4.8</v>
      </c>
      <c r="J3291" s="2">
        <f t="shared" si="24"/>
        <v>-3200000</v>
      </c>
      <c r="K3291" s="2">
        <f t="shared" si="25"/>
        <v>1.1770881831174569E-2</v>
      </c>
      <c r="L3291" s="2" t="str">
        <f>IF(ISNUMBER(SEARCH("|",IMDB_Movies!$D3291)),LEFT(IMDB_Movies!$D3291,SEARCH("|",IMDB_Movies!$D3291)-1),IMDB_Movies!$D3291)</f>
        <v>Adventure</v>
      </c>
      <c r="V3291" s="2"/>
      <c r="W3291" s="2"/>
    </row>
    <row r="3292" spans="1:23" ht="12.5" x14ac:dyDescent="0.25">
      <c r="A3292" s="2" t="s">
        <v>5551</v>
      </c>
      <c r="B3292" s="2">
        <v>99</v>
      </c>
      <c r="C3292" s="2">
        <v>562059</v>
      </c>
      <c r="D3292" s="2" t="s">
        <v>1400</v>
      </c>
      <c r="E3292" s="2" t="s">
        <v>5552</v>
      </c>
      <c r="F3292" s="2" t="s">
        <v>14</v>
      </c>
      <c r="G3292" s="2" t="s">
        <v>15</v>
      </c>
      <c r="H3292" s="2">
        <v>4000000</v>
      </c>
      <c r="I3292" s="2">
        <v>7</v>
      </c>
      <c r="J3292" s="2">
        <f t="shared" si="24"/>
        <v>-3437941</v>
      </c>
      <c r="K3292" s="2">
        <f t="shared" si="25"/>
        <v>1.1771820503724276E-2</v>
      </c>
      <c r="L3292" s="2" t="str">
        <f>IF(ISNUMBER(SEARCH("|",IMDB_Movies!$D3292)),LEFT(IMDB_Movies!$D3292,SEARCH("|",IMDB_Movies!$D3292)-1),IMDB_Movies!$D3292)</f>
        <v>Drama</v>
      </c>
      <c r="V3292" s="2"/>
      <c r="W3292" s="2"/>
    </row>
    <row r="3293" spans="1:23" ht="12.5" x14ac:dyDescent="0.25">
      <c r="A3293" s="2" t="s">
        <v>5511</v>
      </c>
      <c r="B3293" s="2">
        <v>106</v>
      </c>
      <c r="C3293" s="2">
        <v>399793</v>
      </c>
      <c r="D3293" s="2" t="s">
        <v>1180</v>
      </c>
      <c r="E3293" s="2" t="s">
        <v>5553</v>
      </c>
      <c r="F3293" s="2" t="s">
        <v>14</v>
      </c>
      <c r="G3293" s="2" t="s">
        <v>15</v>
      </c>
      <c r="H3293" s="2">
        <v>4000000</v>
      </c>
      <c r="I3293" s="2">
        <v>5.4</v>
      </c>
      <c r="J3293" s="2">
        <f t="shared" si="24"/>
        <v>-3600207</v>
      </c>
      <c r="K3293" s="2">
        <f t="shared" si="25"/>
        <v>1.1772840796142457E-2</v>
      </c>
      <c r="L3293" s="2" t="str">
        <f>IF(ISNUMBER(SEARCH("|",IMDB_Movies!$D3293)),LEFT(IMDB_Movies!$D3293,SEARCH("|",IMDB_Movies!$D3293)-1),IMDB_Movies!$D3293)</f>
        <v>Drama</v>
      </c>
      <c r="V3293" s="2"/>
      <c r="W3293" s="2"/>
    </row>
    <row r="3294" spans="1:23" ht="12.5" x14ac:dyDescent="0.25">
      <c r="A3294" s="2" t="s">
        <v>1834</v>
      </c>
      <c r="B3294" s="2">
        <v>117</v>
      </c>
      <c r="C3294" s="2">
        <v>371897</v>
      </c>
      <c r="D3294" s="2" t="s">
        <v>1180</v>
      </c>
      <c r="E3294" s="2" t="s">
        <v>5554</v>
      </c>
      <c r="F3294" s="2" t="s">
        <v>14</v>
      </c>
      <c r="G3294" s="2" t="s">
        <v>15</v>
      </c>
      <c r="H3294" s="2">
        <v>4000000</v>
      </c>
      <c r="I3294" s="2">
        <v>6.9</v>
      </c>
      <c r="J3294" s="2">
        <f t="shared" si="24"/>
        <v>-3628103</v>
      </c>
      <c r="K3294" s="2">
        <f t="shared" si="25"/>
        <v>1.1773920287332665E-2</v>
      </c>
      <c r="L3294" s="2" t="str">
        <f>IF(ISNUMBER(SEARCH("|",IMDB_Movies!$D3294)),LEFT(IMDB_Movies!$D3294,SEARCH("|",IMDB_Movies!$D3294)-1),IMDB_Movies!$D3294)</f>
        <v>Drama</v>
      </c>
      <c r="V3294" s="2"/>
      <c r="W3294" s="2"/>
    </row>
    <row r="3295" spans="1:23" ht="12.5" x14ac:dyDescent="0.25">
      <c r="A3295" s="2" t="s">
        <v>5555</v>
      </c>
      <c r="B3295" s="2">
        <v>99</v>
      </c>
      <c r="C3295" s="2">
        <v>302204</v>
      </c>
      <c r="D3295" s="2" t="s">
        <v>1464</v>
      </c>
      <c r="E3295" s="2" t="s">
        <v>5556</v>
      </c>
      <c r="F3295" s="2" t="s">
        <v>14</v>
      </c>
      <c r="G3295" s="2" t="s">
        <v>22</v>
      </c>
      <c r="H3295" s="2">
        <v>3000000</v>
      </c>
      <c r="I3295" s="2">
        <v>6.6</v>
      </c>
      <c r="J3295" s="2">
        <f t="shared" si="24"/>
        <v>-2697796</v>
      </c>
      <c r="K3295" s="2">
        <f t="shared" si="25"/>
        <v>1.1775014265498776E-2</v>
      </c>
      <c r="L3295" s="2" t="str">
        <f>IF(ISNUMBER(SEARCH("|",IMDB_Movies!$D3295)),LEFT(IMDB_Movies!$D3295,SEARCH("|",IMDB_Movies!$D3295)-1),IMDB_Movies!$D3295)</f>
        <v>Comedy</v>
      </c>
      <c r="V3295" s="2"/>
      <c r="W3295" s="2"/>
    </row>
    <row r="3296" spans="1:23" ht="12.5" x14ac:dyDescent="0.25">
      <c r="A3296" s="2" t="s">
        <v>744</v>
      </c>
      <c r="B3296" s="2">
        <v>102</v>
      </c>
      <c r="C3296" s="2">
        <v>354704</v>
      </c>
      <c r="D3296" s="2" t="s">
        <v>2219</v>
      </c>
      <c r="E3296" s="2" t="s">
        <v>5557</v>
      </c>
      <c r="F3296" s="2" t="s">
        <v>14</v>
      </c>
      <c r="G3296" s="2" t="s">
        <v>15</v>
      </c>
      <c r="H3296" s="2">
        <v>1300000</v>
      </c>
      <c r="I3296" s="2">
        <v>5.9</v>
      </c>
      <c r="J3296" s="2">
        <f t="shared" si="24"/>
        <v>-945296</v>
      </c>
      <c r="K3296" s="2">
        <f t="shared" si="25"/>
        <v>1.1758724933678549E-2</v>
      </c>
      <c r="L3296" s="2" t="str">
        <f>IF(ISNUMBER(SEARCH("|",IMDB_Movies!$D3296)),LEFT(IMDB_Movies!$D3296,SEARCH("|",IMDB_Movies!$D3296)-1),IMDB_Movies!$D3296)</f>
        <v>Crime</v>
      </c>
      <c r="V3296" s="2"/>
      <c r="W3296" s="2"/>
    </row>
    <row r="3297" spans="1:23" ht="12.5" x14ac:dyDescent="0.25">
      <c r="A3297" s="2" t="s">
        <v>5558</v>
      </c>
      <c r="B3297" s="2">
        <v>85</v>
      </c>
      <c r="C3297" s="2">
        <v>265107</v>
      </c>
      <c r="D3297" s="2" t="s">
        <v>5559</v>
      </c>
      <c r="E3297" s="2" t="s">
        <v>5560</v>
      </c>
      <c r="F3297" s="2" t="s">
        <v>14</v>
      </c>
      <c r="G3297" s="2" t="s">
        <v>135</v>
      </c>
      <c r="H3297" s="2">
        <v>1500000</v>
      </c>
      <c r="I3297" s="2">
        <v>6.3</v>
      </c>
      <c r="J3297" s="2">
        <f t="shared" si="24"/>
        <v>-1234893</v>
      </c>
      <c r="K3297" s="2">
        <f t="shared" si="25"/>
        <v>1.1713002862895309E-2</v>
      </c>
      <c r="L3297" s="2" t="str">
        <f>IF(ISNUMBER(SEARCH("|",IMDB_Movies!$D3297)),LEFT(IMDB_Movies!$D3297,SEARCH("|",IMDB_Movies!$D3297)-1),IMDB_Movies!$D3297)</f>
        <v>Comedy</v>
      </c>
      <c r="V3297" s="2"/>
      <c r="W3297" s="2"/>
    </row>
    <row r="3298" spans="1:23" ht="12.5" x14ac:dyDescent="0.25">
      <c r="A3298" s="2" t="s">
        <v>3033</v>
      </c>
      <c r="B3298" s="2">
        <v>86</v>
      </c>
      <c r="C3298" s="2">
        <v>185577</v>
      </c>
      <c r="D3298" s="2" t="s">
        <v>709</v>
      </c>
      <c r="E3298" s="2" t="s">
        <v>5561</v>
      </c>
      <c r="F3298" s="2" t="s">
        <v>14</v>
      </c>
      <c r="G3298" s="2" t="s">
        <v>22</v>
      </c>
      <c r="H3298" s="2">
        <v>4000000</v>
      </c>
      <c r="I3298" s="2">
        <v>6.3</v>
      </c>
      <c r="J3298" s="2">
        <f t="shared" si="24"/>
        <v>-3814423</v>
      </c>
      <c r="K3298" s="2">
        <f t="shared" si="25"/>
        <v>1.1670114274421288E-2</v>
      </c>
      <c r="L3298" s="2" t="str">
        <f>IF(ISNUMBER(SEARCH("|",IMDB_Movies!$D3298)),LEFT(IMDB_Movies!$D3298,SEARCH("|",IMDB_Movies!$D3298)-1),IMDB_Movies!$D3298)</f>
        <v>Comedy</v>
      </c>
      <c r="V3298" s="2"/>
      <c r="W3298" s="2"/>
    </row>
    <row r="3299" spans="1:23" ht="12.5" x14ac:dyDescent="0.25">
      <c r="A3299" s="2" t="s">
        <v>5562</v>
      </c>
      <c r="B3299" s="2">
        <v>120</v>
      </c>
      <c r="C3299" s="2">
        <v>100412</v>
      </c>
      <c r="D3299" s="2" t="s">
        <v>1180</v>
      </c>
      <c r="E3299" s="2" t="s">
        <v>5563</v>
      </c>
      <c r="F3299" s="2" t="s">
        <v>3713</v>
      </c>
      <c r="G3299" s="2" t="s">
        <v>3657</v>
      </c>
      <c r="H3299" s="2">
        <v>4000000</v>
      </c>
      <c r="I3299" s="2">
        <v>7.7</v>
      </c>
      <c r="J3299" s="2">
        <f t="shared" si="24"/>
        <v>-3899588</v>
      </c>
      <c r="K3299" s="2">
        <f t="shared" si="25"/>
        <v>1.1671052138750962E-2</v>
      </c>
      <c r="L3299" s="2" t="str">
        <f>IF(ISNUMBER(SEARCH("|",IMDB_Movies!$D3299)),LEFT(IMDB_Movies!$D3299,SEARCH("|",IMDB_Movies!$D3299)-1),IMDB_Movies!$D3299)</f>
        <v>Drama</v>
      </c>
      <c r="V3299" s="2"/>
      <c r="W3299" s="2"/>
    </row>
    <row r="3300" spans="1:23" ht="12.5" x14ac:dyDescent="0.25">
      <c r="A3300" s="2" t="s">
        <v>5564</v>
      </c>
      <c r="B3300" s="2">
        <v>106</v>
      </c>
      <c r="C3300" s="2">
        <v>58214</v>
      </c>
      <c r="D3300" s="2" t="s">
        <v>763</v>
      </c>
      <c r="E3300" s="2" t="s">
        <v>5565</v>
      </c>
      <c r="F3300" s="2" t="s">
        <v>14</v>
      </c>
      <c r="G3300" s="2" t="s">
        <v>15</v>
      </c>
      <c r="H3300" s="2">
        <v>9500000</v>
      </c>
      <c r="I3300" s="2">
        <v>7</v>
      </c>
      <c r="J3300" s="2">
        <f t="shared" si="24"/>
        <v>-9441786</v>
      </c>
      <c r="K3300" s="2">
        <f t="shared" si="25"/>
        <v>1.1672022378205079E-2</v>
      </c>
      <c r="L3300" s="2" t="str">
        <f>IF(ISNUMBER(SEARCH("|",IMDB_Movies!$D3300)),LEFT(IMDB_Movies!$D3300,SEARCH("|",IMDB_Movies!$D3300)-1),IMDB_Movies!$D3300)</f>
        <v>Crime</v>
      </c>
      <c r="V3300" s="2"/>
      <c r="W3300" s="2"/>
    </row>
    <row r="3301" spans="1:23" ht="12.5" x14ac:dyDescent="0.25">
      <c r="A3301" s="2" t="s">
        <v>1081</v>
      </c>
      <c r="B3301" s="2">
        <v>103</v>
      </c>
      <c r="C3301" s="2">
        <v>75078</v>
      </c>
      <c r="D3301" s="2" t="s">
        <v>709</v>
      </c>
      <c r="E3301" s="2" t="s">
        <v>5566</v>
      </c>
      <c r="F3301" s="2" t="s">
        <v>14</v>
      </c>
      <c r="G3301" s="2" t="s">
        <v>15</v>
      </c>
      <c r="H3301" s="2">
        <v>14000000</v>
      </c>
      <c r="I3301" s="2">
        <v>6.3</v>
      </c>
      <c r="J3301" s="2">
        <f t="shared" si="24"/>
        <v>-13924922</v>
      </c>
      <c r="K3301" s="2">
        <f t="shared" si="25"/>
        <v>1.177285289421893E-2</v>
      </c>
      <c r="L3301" s="2" t="str">
        <f>IF(ISNUMBER(SEARCH("|",IMDB_Movies!$D3301)),LEFT(IMDB_Movies!$D3301,SEARCH("|",IMDB_Movies!$D3301)-1),IMDB_Movies!$D3301)</f>
        <v>Comedy</v>
      </c>
      <c r="V3301" s="2"/>
      <c r="W3301" s="2"/>
    </row>
    <row r="3302" spans="1:23" ht="12.5" x14ac:dyDescent="0.25">
      <c r="A3302" s="2" t="s">
        <v>4346</v>
      </c>
      <c r="B3302" s="2">
        <v>93</v>
      </c>
      <c r="C3302" s="2">
        <v>64359</v>
      </c>
      <c r="D3302" s="2" t="s">
        <v>600</v>
      </c>
      <c r="E3302" s="2" t="s">
        <v>5567</v>
      </c>
      <c r="F3302" s="2" t="s">
        <v>14</v>
      </c>
      <c r="G3302" s="2" t="s">
        <v>22</v>
      </c>
      <c r="H3302" s="2">
        <v>2500000</v>
      </c>
      <c r="I3302" s="2">
        <v>5.9</v>
      </c>
      <c r="J3302" s="2">
        <f t="shared" si="24"/>
        <v>-2435641</v>
      </c>
      <c r="K3302" s="2">
        <f t="shared" si="25"/>
        <v>1.1955922407553351E-2</v>
      </c>
      <c r="L3302" s="2" t="str">
        <f>IF(ISNUMBER(SEARCH("|",IMDB_Movies!$D3302)),LEFT(IMDB_Movies!$D3302,SEARCH("|",IMDB_Movies!$D3302)-1),IMDB_Movies!$D3302)</f>
        <v>Comedy</v>
      </c>
      <c r="V3302" s="2"/>
      <c r="W3302" s="2"/>
    </row>
    <row r="3303" spans="1:23" ht="12.5" x14ac:dyDescent="0.25">
      <c r="A3303" s="2" t="s">
        <v>3337</v>
      </c>
      <c r="B3303" s="2">
        <v>112</v>
      </c>
      <c r="C3303" s="2">
        <v>317125</v>
      </c>
      <c r="D3303" s="2" t="s">
        <v>85</v>
      </c>
      <c r="E3303" s="2" t="s">
        <v>5568</v>
      </c>
      <c r="F3303" s="2" t="s">
        <v>14</v>
      </c>
      <c r="G3303" s="2" t="s">
        <v>135</v>
      </c>
      <c r="H3303" s="2">
        <v>16000000</v>
      </c>
      <c r="I3303" s="2">
        <v>6.2</v>
      </c>
      <c r="J3303" s="2">
        <f t="shared" si="24"/>
        <v>-15682875</v>
      </c>
      <c r="K3303" s="2">
        <f t="shared" si="25"/>
        <v>1.1930273788132289E-2</v>
      </c>
      <c r="L3303" s="2" t="str">
        <f>IF(ISNUMBER(SEARCH("|",IMDB_Movies!$D3303)),LEFT(IMDB_Movies!$D3303,SEARCH("|",IMDB_Movies!$D3303)-1),IMDB_Movies!$D3303)</f>
        <v>Drama</v>
      </c>
      <c r="V3303" s="2"/>
      <c r="W3303" s="2"/>
    </row>
    <row r="3304" spans="1:23" ht="12.5" x14ac:dyDescent="0.25">
      <c r="A3304" s="2" t="s">
        <v>5569</v>
      </c>
      <c r="B3304" s="2">
        <v>113</v>
      </c>
      <c r="C3304" s="2">
        <v>146402</v>
      </c>
      <c r="D3304" s="2" t="s">
        <v>891</v>
      </c>
      <c r="E3304" s="2" t="s">
        <v>5570</v>
      </c>
      <c r="F3304" s="2" t="s">
        <v>971</v>
      </c>
      <c r="G3304" s="2" t="s">
        <v>1239</v>
      </c>
      <c r="H3304" s="2">
        <v>4000000</v>
      </c>
      <c r="I3304" s="2">
        <v>7.7</v>
      </c>
      <c r="J3304" s="2">
        <f t="shared" si="24"/>
        <v>-3853598</v>
      </c>
      <c r="K3304" s="2">
        <f t="shared" si="25"/>
        <v>1.21450616248821E-2</v>
      </c>
      <c r="L3304" s="2" t="str">
        <f>IF(ISNUMBER(SEARCH("|",IMDB_Movies!$D3304)),LEFT(IMDB_Movies!$D3304,SEARCH("|",IMDB_Movies!$D3304)-1),IMDB_Movies!$D3304)</f>
        <v>Comedy</v>
      </c>
      <c r="V3304" s="2"/>
      <c r="W3304" s="2"/>
    </row>
    <row r="3305" spans="1:23" ht="12.5" x14ac:dyDescent="0.25">
      <c r="A3305" s="2" t="s">
        <v>5571</v>
      </c>
      <c r="B3305" s="2">
        <v>98</v>
      </c>
      <c r="C3305" s="2">
        <v>18469</v>
      </c>
      <c r="D3305" s="2" t="s">
        <v>292</v>
      </c>
      <c r="E3305" s="2" t="s">
        <v>5572</v>
      </c>
      <c r="F3305" s="2" t="s">
        <v>14</v>
      </c>
      <c r="G3305" s="2" t="s">
        <v>15</v>
      </c>
      <c r="H3305" s="2">
        <v>650000</v>
      </c>
      <c r="I3305" s="2">
        <v>6.5</v>
      </c>
      <c r="J3305" s="2">
        <f t="shared" si="24"/>
        <v>-631531</v>
      </c>
      <c r="K3305" s="2">
        <f t="shared" si="25"/>
        <v>1.2147088530279637E-2</v>
      </c>
      <c r="L3305" s="2" t="str">
        <f>IF(ISNUMBER(SEARCH("|",IMDB_Movies!$D3305)),LEFT(IMDB_Movies!$D3305,SEARCH("|",IMDB_Movies!$D3305)-1),IMDB_Movies!$D3305)</f>
        <v>Drama</v>
      </c>
      <c r="V3305" s="2"/>
      <c r="W3305" s="2"/>
    </row>
    <row r="3306" spans="1:23" ht="12.5" x14ac:dyDescent="0.25">
      <c r="A3306" s="2" t="s">
        <v>2246</v>
      </c>
      <c r="B3306" s="2">
        <v>92</v>
      </c>
      <c r="C3306" s="2">
        <v>12836</v>
      </c>
      <c r="D3306" s="2" t="s">
        <v>555</v>
      </c>
      <c r="E3306" s="2" t="s">
        <v>5573</v>
      </c>
      <c r="F3306" s="2" t="s">
        <v>14</v>
      </c>
      <c r="G3306" s="2" t="s">
        <v>15</v>
      </c>
      <c r="H3306" s="2">
        <v>4000000</v>
      </c>
      <c r="I3306" s="2">
        <v>5.8</v>
      </c>
      <c r="J3306" s="2">
        <f t="shared" si="24"/>
        <v>-3987164</v>
      </c>
      <c r="K3306" s="2">
        <f t="shared" si="25"/>
        <v>1.2087586131588123E-2</v>
      </c>
      <c r="L3306" s="2" t="str">
        <f>IF(ISNUMBER(SEARCH("|",IMDB_Movies!$D3306)),LEFT(IMDB_Movies!$D3306,SEARCH("|",IMDB_Movies!$D3306)-1),IMDB_Movies!$D3306)</f>
        <v>Biography</v>
      </c>
      <c r="V3306" s="2"/>
      <c r="W3306" s="2"/>
    </row>
    <row r="3307" spans="1:23" ht="12.5" x14ac:dyDescent="0.25">
      <c r="A3307" s="2" t="s">
        <v>5574</v>
      </c>
      <c r="B3307" s="2">
        <v>106</v>
      </c>
      <c r="C3307" s="2">
        <v>20262</v>
      </c>
      <c r="D3307" s="2" t="s">
        <v>1180</v>
      </c>
      <c r="E3307" s="2" t="s">
        <v>5575</v>
      </c>
      <c r="F3307" s="2" t="s">
        <v>5153</v>
      </c>
      <c r="G3307" s="2" t="s">
        <v>5154</v>
      </c>
      <c r="H3307" s="2">
        <v>4000000</v>
      </c>
      <c r="I3307" s="2">
        <v>6.1</v>
      </c>
      <c r="J3307" s="2">
        <f t="shared" si="24"/>
        <v>-3979738</v>
      </c>
      <c r="K3307" s="2">
        <f t="shared" si="25"/>
        <v>1.2089555768706151E-2</v>
      </c>
      <c r="L3307" s="2" t="str">
        <f>IF(ISNUMBER(SEARCH("|",IMDB_Movies!$D3307)),LEFT(IMDB_Movies!$D3307,SEARCH("|",IMDB_Movies!$D3307)-1),IMDB_Movies!$D3307)</f>
        <v>Drama</v>
      </c>
      <c r="V3307" s="2"/>
      <c r="W3307" s="2"/>
    </row>
    <row r="3308" spans="1:23" ht="12.5" x14ac:dyDescent="0.25">
      <c r="A3308" s="2" t="s">
        <v>5576</v>
      </c>
      <c r="B3308" s="2">
        <v>93</v>
      </c>
      <c r="C3308" s="2">
        <v>4063</v>
      </c>
      <c r="D3308" s="2" t="s">
        <v>1137</v>
      </c>
      <c r="E3308" s="2" t="s">
        <v>5577</v>
      </c>
      <c r="F3308" s="2" t="s">
        <v>14</v>
      </c>
      <c r="G3308" s="2" t="s">
        <v>104</v>
      </c>
      <c r="H3308" s="2">
        <v>4000000</v>
      </c>
      <c r="I3308" s="2">
        <v>5.2</v>
      </c>
      <c r="J3308" s="2">
        <f t="shared" si="24"/>
        <v>-3995937</v>
      </c>
      <c r="K3308" s="2">
        <f t="shared" si="25"/>
        <v>1.209153125443551E-2</v>
      </c>
      <c r="L3308" s="2" t="str">
        <f>IF(ISNUMBER(SEARCH("|",IMDB_Movies!$D3308)),LEFT(IMDB_Movies!$D3308,SEARCH("|",IMDB_Movies!$D3308)-1),IMDB_Movies!$D3308)</f>
        <v>Drama</v>
      </c>
      <c r="V3308" s="2"/>
      <c r="W3308" s="2"/>
    </row>
    <row r="3309" spans="1:23" ht="12.5" x14ac:dyDescent="0.25">
      <c r="A3309" s="2" t="s">
        <v>5578</v>
      </c>
      <c r="B3309" s="2">
        <v>226</v>
      </c>
      <c r="C3309" s="2">
        <v>198655278</v>
      </c>
      <c r="D3309" s="2" t="s">
        <v>697</v>
      </c>
      <c r="E3309" s="2" t="s">
        <v>5579</v>
      </c>
      <c r="F3309" s="2" t="s">
        <v>14</v>
      </c>
      <c r="G3309" s="2" t="s">
        <v>15</v>
      </c>
      <c r="H3309" s="2">
        <v>3977000</v>
      </c>
      <c r="I3309" s="2">
        <v>8.1999999999999993</v>
      </c>
      <c r="J3309" s="2">
        <f t="shared" si="24"/>
        <v>194678278</v>
      </c>
      <c r="K3309" s="2">
        <f t="shared" si="25"/>
        <v>1.209352341725591E-2</v>
      </c>
      <c r="L3309" s="2" t="str">
        <f>IF(ISNUMBER(SEARCH("|",IMDB_Movies!$D3309)),LEFT(IMDB_Movies!$D3309,SEARCH("|",IMDB_Movies!$D3309)-1),IMDB_Movies!$D3309)</f>
        <v>Drama</v>
      </c>
      <c r="V3309" s="2"/>
      <c r="W3309" s="2"/>
    </row>
    <row r="3310" spans="1:23" ht="12.5" x14ac:dyDescent="0.25">
      <c r="A3310" s="2" t="s">
        <v>5580</v>
      </c>
      <c r="B3310" s="2">
        <v>104</v>
      </c>
      <c r="C3310" s="2">
        <v>143653</v>
      </c>
      <c r="D3310" s="2" t="s">
        <v>555</v>
      </c>
      <c r="E3310" s="2" t="s">
        <v>5581</v>
      </c>
      <c r="F3310" s="2" t="s">
        <v>14</v>
      </c>
      <c r="G3310" s="2" t="s">
        <v>22</v>
      </c>
      <c r="H3310" s="2">
        <v>4000000</v>
      </c>
      <c r="I3310" s="2">
        <v>6</v>
      </c>
      <c r="J3310" s="2">
        <f t="shared" si="24"/>
        <v>-3856347</v>
      </c>
      <c r="K3310" s="2">
        <f t="shared" si="25"/>
        <v>1.3176201423767532E-2</v>
      </c>
      <c r="L3310" s="2" t="str">
        <f>IF(ISNUMBER(SEARCH("|",IMDB_Movies!$D3310)),LEFT(IMDB_Movies!$D3310,SEARCH("|",IMDB_Movies!$D3310)-1),IMDB_Movies!$D3310)</f>
        <v>Biography</v>
      </c>
      <c r="V3310" s="2"/>
      <c r="W3310" s="2"/>
    </row>
    <row r="3311" spans="1:23" ht="12.5" x14ac:dyDescent="0.25">
      <c r="A3311" s="2" t="s">
        <v>5582</v>
      </c>
      <c r="B3311" s="2">
        <v>152</v>
      </c>
      <c r="C3311" s="2">
        <v>14873</v>
      </c>
      <c r="D3311" s="2" t="s">
        <v>5583</v>
      </c>
      <c r="E3311" s="2" t="s">
        <v>5584</v>
      </c>
      <c r="F3311" s="2" t="s">
        <v>14</v>
      </c>
      <c r="G3311" s="2" t="s">
        <v>15</v>
      </c>
      <c r="H3311" s="2">
        <v>3800000</v>
      </c>
      <c r="I3311" s="2">
        <v>6.8</v>
      </c>
      <c r="J3311" s="2">
        <f t="shared" si="24"/>
        <v>-3785127</v>
      </c>
      <c r="K3311" s="2">
        <f t="shared" si="25"/>
        <v>1.3178492468919055E-2</v>
      </c>
      <c r="L3311" s="2" t="str">
        <f>IF(ISNUMBER(SEARCH("|",IMDB_Movies!$D3311)),LEFT(IMDB_Movies!$D3311,SEARCH("|",IMDB_Movies!$D3311)-1),IMDB_Movies!$D3311)</f>
        <v>Adventure</v>
      </c>
      <c r="V3311" s="2"/>
      <c r="W3311" s="2"/>
    </row>
    <row r="3312" spans="1:23" ht="12.5" x14ac:dyDescent="0.25">
      <c r="A3312" s="2" t="s">
        <v>5585</v>
      </c>
      <c r="B3312" s="2">
        <v>107</v>
      </c>
      <c r="C3312" s="2">
        <v>8000000</v>
      </c>
      <c r="D3312" s="2" t="s">
        <v>5586</v>
      </c>
      <c r="E3312" s="2" t="s">
        <v>5587</v>
      </c>
      <c r="F3312" s="2" t="s">
        <v>14</v>
      </c>
      <c r="G3312" s="2" t="s">
        <v>15</v>
      </c>
      <c r="H3312" s="2">
        <v>3768785</v>
      </c>
      <c r="I3312" s="2">
        <v>7</v>
      </c>
      <c r="J3312" s="2">
        <f t="shared" si="24"/>
        <v>4231215</v>
      </c>
      <c r="K3312" s="2">
        <f t="shared" si="25"/>
        <v>1.317699321250318E-2</v>
      </c>
      <c r="L3312" s="2" t="str">
        <f>IF(ISNUMBER(SEARCH("|",IMDB_Movies!$D3312)),LEFT(IMDB_Movies!$D3312,SEARCH("|",IMDB_Movies!$D3312)-1),IMDB_Movies!$D3312)</f>
        <v>Biography</v>
      </c>
      <c r="V3312" s="2"/>
      <c r="W3312" s="2"/>
    </row>
    <row r="3313" spans="1:23" ht="12.5" x14ac:dyDescent="0.25">
      <c r="A3313" s="2" t="s">
        <v>5588</v>
      </c>
      <c r="B3313" s="2">
        <v>95</v>
      </c>
      <c r="C3313" s="2">
        <v>37606</v>
      </c>
      <c r="D3313" s="2" t="s">
        <v>3003</v>
      </c>
      <c r="E3313" s="2" t="s">
        <v>5589</v>
      </c>
      <c r="F3313" s="2" t="s">
        <v>14</v>
      </c>
      <c r="G3313" s="2" t="s">
        <v>104</v>
      </c>
      <c r="H3313" s="2">
        <v>3500000</v>
      </c>
      <c r="I3313" s="2">
        <v>6.8</v>
      </c>
      <c r="J3313" s="2">
        <f t="shared" si="24"/>
        <v>-3462394</v>
      </c>
      <c r="K3313" s="2">
        <f t="shared" si="25"/>
        <v>1.3176704553064451E-2</v>
      </c>
      <c r="L3313" s="2" t="str">
        <f>IF(ISNUMBER(SEARCH("|",IMDB_Movies!$D3313)),LEFT(IMDB_Movies!$D3313,SEARCH("|",IMDB_Movies!$D3313)-1),IMDB_Movies!$D3313)</f>
        <v>Comedy</v>
      </c>
      <c r="V3313" s="2"/>
      <c r="W3313" s="2"/>
    </row>
    <row r="3314" spans="1:23" ht="12.5" x14ac:dyDescent="0.25">
      <c r="A3314" s="2" t="s">
        <v>5590</v>
      </c>
      <c r="B3314" s="2">
        <v>102</v>
      </c>
      <c r="C3314" s="2">
        <v>2956000</v>
      </c>
      <c r="D3314" s="2" t="s">
        <v>5591</v>
      </c>
      <c r="E3314" s="2" t="s">
        <v>5592</v>
      </c>
      <c r="F3314" s="2" t="s">
        <v>14</v>
      </c>
      <c r="G3314" s="2" t="s">
        <v>15</v>
      </c>
      <c r="H3314" s="2">
        <v>3700000</v>
      </c>
      <c r="I3314" s="2">
        <v>7.1</v>
      </c>
      <c r="J3314" s="2">
        <f t="shared" si="24"/>
        <v>-744000</v>
      </c>
      <c r="K3314" s="2">
        <f t="shared" si="25"/>
        <v>1.3169378554762544E-2</v>
      </c>
      <c r="L3314" s="2" t="str">
        <f>IF(ISNUMBER(SEARCH("|",IMDB_Movies!$D3314)),LEFT(IMDB_Movies!$D3314,SEARCH("|",IMDB_Movies!$D3314)-1),IMDB_Movies!$D3314)</f>
        <v>Adventure</v>
      </c>
      <c r="V3314" s="2"/>
      <c r="W3314" s="2"/>
    </row>
    <row r="3315" spans="1:23" ht="12.5" x14ac:dyDescent="0.25">
      <c r="A3315" s="2" t="s">
        <v>5593</v>
      </c>
      <c r="B3315" s="2">
        <v>99</v>
      </c>
      <c r="C3315" s="2">
        <v>19959</v>
      </c>
      <c r="D3315" s="2" t="s">
        <v>1180</v>
      </c>
      <c r="E3315" s="2" t="s">
        <v>5594</v>
      </c>
      <c r="F3315" s="2" t="s">
        <v>14</v>
      </c>
      <c r="G3315" s="2" t="s">
        <v>4851</v>
      </c>
      <c r="H3315" s="2">
        <v>3800000</v>
      </c>
      <c r="I3315" s="2">
        <v>6.9</v>
      </c>
      <c r="J3315" s="2">
        <f t="shared" si="24"/>
        <v>-3780041</v>
      </c>
      <c r="K3315" s="2">
        <f t="shared" si="25"/>
        <v>1.3166533612691645E-2</v>
      </c>
      <c r="L3315" s="2" t="str">
        <f>IF(ISNUMBER(SEARCH("|",IMDB_Movies!$D3315)),LEFT(IMDB_Movies!$D3315,SEARCH("|",IMDB_Movies!$D3315)-1),IMDB_Movies!$D3315)</f>
        <v>Drama</v>
      </c>
      <c r="V3315" s="2"/>
      <c r="W3315" s="2"/>
    </row>
    <row r="3316" spans="1:23" ht="12.5" x14ac:dyDescent="0.25">
      <c r="A3316" s="2" t="s">
        <v>3805</v>
      </c>
      <c r="B3316" s="2">
        <v>109</v>
      </c>
      <c r="C3316" s="2">
        <v>2706659</v>
      </c>
      <c r="D3316" s="2" t="s">
        <v>891</v>
      </c>
      <c r="E3316" s="2" t="s">
        <v>5595</v>
      </c>
      <c r="F3316" s="2" t="s">
        <v>14</v>
      </c>
      <c r="G3316" s="2" t="s">
        <v>22</v>
      </c>
      <c r="H3316" s="2">
        <v>2000000</v>
      </c>
      <c r="I3316" s="2">
        <v>6.9</v>
      </c>
      <c r="J3316" s="2">
        <f t="shared" si="24"/>
        <v>706659</v>
      </c>
      <c r="K3316" s="2">
        <f t="shared" si="25"/>
        <v>1.31649860982084E-2</v>
      </c>
      <c r="L3316" s="2" t="str">
        <f>IF(ISNUMBER(SEARCH("|",IMDB_Movies!$D3316)),LEFT(IMDB_Movies!$D3316,SEARCH("|",IMDB_Movies!$D3316)-1),IMDB_Movies!$D3316)</f>
        <v>Comedy</v>
      </c>
      <c r="V3316" s="2"/>
      <c r="W3316" s="2"/>
    </row>
    <row r="3317" spans="1:23" ht="12.5" x14ac:dyDescent="0.25">
      <c r="A3317" s="2" t="s">
        <v>4183</v>
      </c>
      <c r="B3317" s="2">
        <v>91</v>
      </c>
      <c r="C3317" s="2">
        <v>45857453</v>
      </c>
      <c r="D3317" s="2" t="s">
        <v>2912</v>
      </c>
      <c r="E3317" s="2" t="s">
        <v>5596</v>
      </c>
      <c r="F3317" s="2" t="s">
        <v>14</v>
      </c>
      <c r="G3317" s="2" t="s">
        <v>22</v>
      </c>
      <c r="H3317" s="2">
        <v>3500000</v>
      </c>
      <c r="I3317" s="2">
        <v>7.2</v>
      </c>
      <c r="J3317" s="2">
        <f t="shared" ref="J3317:J3571" si="26">(C3317-H3317)</f>
        <v>42357453</v>
      </c>
      <c r="K3317" s="2">
        <f t="shared" si="25"/>
        <v>1.313926169148062E-2</v>
      </c>
      <c r="L3317" s="2" t="str">
        <f>IF(ISNUMBER(SEARCH("|",IMDB_Movies!$D3317)),LEFT(IMDB_Movies!$D3317,SEARCH("|",IMDB_Movies!$D3317)-1),IMDB_Movies!$D3317)</f>
        <v>Comedy</v>
      </c>
      <c r="V3317" s="2"/>
      <c r="W3317" s="2"/>
    </row>
    <row r="3318" spans="1:23" ht="12.5" x14ac:dyDescent="0.25">
      <c r="A3318" s="2" t="s">
        <v>5597</v>
      </c>
      <c r="B3318" s="2">
        <v>88</v>
      </c>
      <c r="C3318" s="2">
        <v>83400000</v>
      </c>
      <c r="D3318" s="2" t="s">
        <v>709</v>
      </c>
      <c r="E3318" s="2" t="s">
        <v>5598</v>
      </c>
      <c r="F3318" s="2" t="s">
        <v>14</v>
      </c>
      <c r="G3318" s="2" t="s">
        <v>15</v>
      </c>
      <c r="H3318" s="2">
        <v>3500000</v>
      </c>
      <c r="I3318" s="2">
        <v>7.8</v>
      </c>
      <c r="J3318" s="2">
        <f t="shared" si="26"/>
        <v>79900000</v>
      </c>
      <c r="K3318" s="2">
        <f t="shared" ref="K3318:K3572" si="27">CORREL(H3318:H7103,C3318:C7103)</f>
        <v>1.3229885866577471E-2</v>
      </c>
      <c r="L3318" s="2" t="str">
        <f>IF(ISNUMBER(SEARCH("|",IMDB_Movies!$D3318)),LEFT(IMDB_Movies!$D3318,SEARCH("|",IMDB_Movies!$D3318)-1),IMDB_Movies!$D3318)</f>
        <v>Comedy</v>
      </c>
      <c r="V3318" s="2"/>
      <c r="W3318" s="2"/>
    </row>
    <row r="3319" spans="1:23" ht="12.5" x14ac:dyDescent="0.25">
      <c r="A3319" s="2" t="s">
        <v>1067</v>
      </c>
      <c r="B3319" s="2">
        <v>97</v>
      </c>
      <c r="C3319" s="2">
        <v>27900000</v>
      </c>
      <c r="D3319" s="2" t="s">
        <v>891</v>
      </c>
      <c r="E3319" s="2" t="s">
        <v>5599</v>
      </c>
      <c r="F3319" s="2" t="s">
        <v>14</v>
      </c>
      <c r="G3319" s="2" t="s">
        <v>15</v>
      </c>
      <c r="H3319" s="2">
        <v>3500000</v>
      </c>
      <c r="I3319" s="2">
        <v>7.3</v>
      </c>
      <c r="J3319" s="2">
        <f t="shared" si="26"/>
        <v>24400000</v>
      </c>
      <c r="K3319" s="2">
        <f t="shared" si="27"/>
        <v>1.3515243768693312E-2</v>
      </c>
      <c r="L3319" s="2" t="str">
        <f>IF(ISNUMBER(SEARCH("|",IMDB_Movies!$D3319)),LEFT(IMDB_Movies!$D3319,SEARCH("|",IMDB_Movies!$D3319)-1),IMDB_Movies!$D3319)</f>
        <v>Comedy</v>
      </c>
      <c r="V3319" s="2"/>
      <c r="W3319" s="2"/>
    </row>
    <row r="3320" spans="1:23" ht="12.5" x14ac:dyDescent="0.25">
      <c r="A3320" s="2" t="s">
        <v>929</v>
      </c>
      <c r="B3320" s="2">
        <v>97</v>
      </c>
      <c r="C3320" s="2">
        <v>27900000</v>
      </c>
      <c r="D3320" s="2" t="s">
        <v>763</v>
      </c>
      <c r="E3320" s="2" t="s">
        <v>5600</v>
      </c>
      <c r="F3320" s="2" t="s">
        <v>14</v>
      </c>
      <c r="G3320" s="2" t="s">
        <v>15</v>
      </c>
      <c r="H3320" s="2">
        <v>3500000</v>
      </c>
      <c r="I3320" s="2">
        <v>7.5</v>
      </c>
      <c r="J3320" s="2">
        <f t="shared" si="26"/>
        <v>24400000</v>
      </c>
      <c r="K3320" s="2">
        <f t="shared" si="27"/>
        <v>1.3552266400282391E-2</v>
      </c>
      <c r="L3320" s="2" t="str">
        <f>IF(ISNUMBER(SEARCH("|",IMDB_Movies!$D3320)),LEFT(IMDB_Movies!$D3320,SEARCH("|",IMDB_Movies!$D3320)-1),IMDB_Movies!$D3320)</f>
        <v>Crime</v>
      </c>
      <c r="V3320" s="2"/>
      <c r="W3320" s="2"/>
    </row>
    <row r="3321" spans="1:23" ht="12.5" x14ac:dyDescent="0.25">
      <c r="A3321" s="2" t="s">
        <v>5601</v>
      </c>
      <c r="B3321" s="2">
        <v>85</v>
      </c>
      <c r="C3321" s="2">
        <v>14000000</v>
      </c>
      <c r="D3321" s="2" t="s">
        <v>2667</v>
      </c>
      <c r="E3321" s="2" t="s">
        <v>5602</v>
      </c>
      <c r="F3321" s="2" t="s">
        <v>14</v>
      </c>
      <c r="G3321" s="2" t="s">
        <v>15</v>
      </c>
      <c r="H3321" s="2">
        <v>3500000</v>
      </c>
      <c r="I3321" s="2">
        <v>6</v>
      </c>
      <c r="J3321" s="2">
        <f t="shared" si="26"/>
        <v>10500000</v>
      </c>
      <c r="K3321" s="2">
        <f t="shared" si="27"/>
        <v>1.3589537794362883E-2</v>
      </c>
      <c r="L3321" s="2" t="str">
        <f>IF(ISNUMBER(SEARCH("|",IMDB_Movies!$D3321)),LEFT(IMDB_Movies!$D3321,SEARCH("|",IMDB_Movies!$D3321)-1),IMDB_Movies!$D3321)</f>
        <v>Comedy</v>
      </c>
      <c r="V3321" s="2"/>
      <c r="W3321" s="2"/>
    </row>
    <row r="3322" spans="1:23" ht="12.5" x14ac:dyDescent="0.25">
      <c r="A3322" s="2" t="s">
        <v>5603</v>
      </c>
      <c r="B3322" s="2">
        <v>92</v>
      </c>
      <c r="C3322" s="2">
        <v>25138292</v>
      </c>
      <c r="D3322" s="2" t="s">
        <v>2116</v>
      </c>
      <c r="E3322" s="2" t="s">
        <v>5604</v>
      </c>
      <c r="F3322" s="2" t="s">
        <v>14</v>
      </c>
      <c r="G3322" s="2" t="s">
        <v>15</v>
      </c>
      <c r="H3322" s="2">
        <v>3500000</v>
      </c>
      <c r="I3322" s="2">
        <v>6.8</v>
      </c>
      <c r="J3322" s="2">
        <f t="shared" si="26"/>
        <v>21638292</v>
      </c>
      <c r="K3322" s="2">
        <f t="shared" si="27"/>
        <v>1.3597554769451544E-2</v>
      </c>
      <c r="L3322" s="2" t="str">
        <f>IF(ISNUMBER(SEARCH("|",IMDB_Movies!$D3322)),LEFT(IMDB_Movies!$D3322,SEARCH("|",IMDB_Movies!$D3322)-1),IMDB_Movies!$D3322)</f>
        <v>Horror</v>
      </c>
      <c r="V3322" s="2"/>
      <c r="W3322" s="2"/>
    </row>
    <row r="3323" spans="1:23" ht="12.5" x14ac:dyDescent="0.25">
      <c r="A3323" s="2" t="s">
        <v>5605</v>
      </c>
      <c r="B3323" s="2">
        <v>93</v>
      </c>
      <c r="C3323" s="2">
        <v>10305534</v>
      </c>
      <c r="D3323" s="2" t="s">
        <v>709</v>
      </c>
      <c r="E3323" s="2" t="s">
        <v>5606</v>
      </c>
      <c r="F3323" s="2" t="s">
        <v>14</v>
      </c>
      <c r="G3323" s="2" t="s">
        <v>15</v>
      </c>
      <c r="H3323" s="2">
        <v>3500000</v>
      </c>
      <c r="I3323" s="2">
        <v>3.9</v>
      </c>
      <c r="J3323" s="2">
        <f t="shared" si="26"/>
        <v>6805534</v>
      </c>
      <c r="K3323" s="2">
        <f t="shared" si="27"/>
        <v>1.3628167917098307E-2</v>
      </c>
      <c r="L3323" s="2" t="str">
        <f>IF(ISNUMBER(SEARCH("|",IMDB_Movies!$D3323)),LEFT(IMDB_Movies!$D3323,SEARCH("|",IMDB_Movies!$D3323)-1),IMDB_Movies!$D3323)</f>
        <v>Comedy</v>
      </c>
      <c r="V3323" s="2"/>
      <c r="W3323" s="2"/>
    </row>
    <row r="3324" spans="1:23" ht="12.5" x14ac:dyDescent="0.25">
      <c r="A3324" s="2" t="s">
        <v>5607</v>
      </c>
      <c r="B3324" s="2">
        <v>96</v>
      </c>
      <c r="C3324" s="2">
        <v>9449219</v>
      </c>
      <c r="D3324" s="2" t="s">
        <v>514</v>
      </c>
      <c r="E3324" s="2" t="s">
        <v>5608</v>
      </c>
      <c r="F3324" s="2" t="s">
        <v>14</v>
      </c>
      <c r="G3324" s="2" t="s">
        <v>15</v>
      </c>
      <c r="H3324" s="2">
        <v>3500000</v>
      </c>
      <c r="I3324" s="2">
        <v>6.1</v>
      </c>
      <c r="J3324" s="2">
        <f t="shared" si="26"/>
        <v>5949219</v>
      </c>
      <c r="K3324" s="2">
        <f t="shared" si="27"/>
        <v>1.3630800252893994E-2</v>
      </c>
      <c r="L3324" s="2" t="str">
        <f>IF(ISNUMBER(SEARCH("|",IMDB_Movies!$D3324)),LEFT(IMDB_Movies!$D3324,SEARCH("|",IMDB_Movies!$D3324)-1),IMDB_Movies!$D3324)</f>
        <v>Comedy</v>
      </c>
      <c r="V3324" s="2"/>
      <c r="W3324" s="2"/>
    </row>
    <row r="3325" spans="1:23" ht="12.5" x14ac:dyDescent="0.25">
      <c r="A3325" s="2" t="s">
        <v>408</v>
      </c>
      <c r="B3325" s="2">
        <v>105</v>
      </c>
      <c r="C3325" s="2">
        <v>6390032</v>
      </c>
      <c r="D3325" s="2" t="s">
        <v>555</v>
      </c>
      <c r="E3325" s="2" t="s">
        <v>5609</v>
      </c>
      <c r="F3325" s="2" t="s">
        <v>14</v>
      </c>
      <c r="G3325" s="2" t="s">
        <v>15</v>
      </c>
      <c r="H3325" s="2">
        <v>3500000</v>
      </c>
      <c r="I3325" s="2">
        <v>7.5</v>
      </c>
      <c r="J3325" s="2">
        <f t="shared" si="26"/>
        <v>2890032</v>
      </c>
      <c r="K3325" s="2">
        <f t="shared" si="27"/>
        <v>1.3632308480698019E-2</v>
      </c>
      <c r="L3325" s="2" t="str">
        <f>IF(ISNUMBER(SEARCH("|",IMDB_Movies!$D3325)),LEFT(IMDB_Movies!$D3325,SEARCH("|",IMDB_Movies!$D3325)-1),IMDB_Movies!$D3325)</f>
        <v>Biography</v>
      </c>
      <c r="V3325" s="2"/>
      <c r="W3325" s="2"/>
    </row>
    <row r="3326" spans="1:23" ht="12.5" x14ac:dyDescent="0.25">
      <c r="A3326" s="2" t="s">
        <v>5610</v>
      </c>
      <c r="B3326" s="2">
        <v>129</v>
      </c>
      <c r="C3326" s="2">
        <v>20167424</v>
      </c>
      <c r="D3326" s="2" t="s">
        <v>690</v>
      </c>
      <c r="E3326" s="2" t="s">
        <v>5611</v>
      </c>
      <c r="F3326" s="2" t="s">
        <v>971</v>
      </c>
      <c r="G3326" s="2" t="s">
        <v>5612</v>
      </c>
      <c r="H3326" s="2">
        <v>2000000</v>
      </c>
      <c r="I3326" s="2">
        <v>8.1999999999999993</v>
      </c>
      <c r="J3326" s="2">
        <f t="shared" si="26"/>
        <v>18167424</v>
      </c>
      <c r="K3326" s="2">
        <f t="shared" si="27"/>
        <v>1.3630196408139511E-2</v>
      </c>
      <c r="L3326" s="2" t="str">
        <f>IF(ISNUMBER(SEARCH("|",IMDB_Movies!$D3326)),LEFT(IMDB_Movies!$D3326,SEARCH("|",IMDB_Movies!$D3326)-1),IMDB_Movies!$D3326)</f>
        <v>Drama</v>
      </c>
      <c r="V3326" s="2"/>
      <c r="W3326" s="2"/>
    </row>
    <row r="3327" spans="1:23" ht="12.5" x14ac:dyDescent="0.25">
      <c r="A3327" s="2" t="s">
        <v>39</v>
      </c>
      <c r="B3327" s="2">
        <v>37</v>
      </c>
      <c r="C3327" s="2">
        <v>5923044</v>
      </c>
      <c r="D3327" s="2" t="s">
        <v>2667</v>
      </c>
      <c r="E3327" s="2" t="s">
        <v>5613</v>
      </c>
      <c r="F3327" s="2" t="s">
        <v>14</v>
      </c>
      <c r="G3327" s="2" t="s">
        <v>15</v>
      </c>
      <c r="H3327" s="2">
        <v>3600000</v>
      </c>
      <c r="I3327" s="2">
        <v>7.8</v>
      </c>
      <c r="J3327" s="2">
        <f t="shared" si="26"/>
        <v>2323044</v>
      </c>
      <c r="K3327" s="2">
        <f t="shared" si="27"/>
        <v>1.3691421469314886E-2</v>
      </c>
      <c r="L3327" s="2" t="str">
        <f>IF(ISNUMBER(SEARCH("|",IMDB_Movies!$D3327)),LEFT(IMDB_Movies!$D3327,SEARCH("|",IMDB_Movies!$D3327)-1),IMDB_Movies!$D3327)</f>
        <v>Comedy</v>
      </c>
      <c r="V3327" s="2"/>
      <c r="W3327" s="2"/>
    </row>
    <row r="3328" spans="1:23" ht="12.5" x14ac:dyDescent="0.25">
      <c r="A3328" s="2" t="s">
        <v>5614</v>
      </c>
      <c r="B3328" s="2">
        <v>81</v>
      </c>
      <c r="C3328" s="2">
        <v>3293258</v>
      </c>
      <c r="D3328" s="2" t="s">
        <v>5615</v>
      </c>
      <c r="E3328" s="2" t="s">
        <v>5616</v>
      </c>
      <c r="F3328" s="2" t="s">
        <v>14</v>
      </c>
      <c r="G3328" s="2" t="s">
        <v>15</v>
      </c>
      <c r="H3328" s="2">
        <v>3000000</v>
      </c>
      <c r="I3328" s="2">
        <v>5.2</v>
      </c>
      <c r="J3328" s="2">
        <f t="shared" si="26"/>
        <v>293258</v>
      </c>
      <c r="K3328" s="2">
        <f t="shared" si="27"/>
        <v>1.3689342264998891E-2</v>
      </c>
      <c r="L3328" s="2" t="str">
        <f>IF(ISNUMBER(SEARCH("|",IMDB_Movies!$D3328)),LEFT(IMDB_Movies!$D3328,SEARCH("|",IMDB_Movies!$D3328)-1),IMDB_Movies!$D3328)</f>
        <v>Action</v>
      </c>
      <c r="V3328" s="2"/>
      <c r="W3328" s="2"/>
    </row>
    <row r="3329" spans="1:23" ht="12.5" x14ac:dyDescent="0.25">
      <c r="A3329" s="2" t="s">
        <v>5617</v>
      </c>
      <c r="B3329" s="2">
        <v>106</v>
      </c>
      <c r="C3329" s="2">
        <v>886410</v>
      </c>
      <c r="D3329" s="2" t="s">
        <v>2182</v>
      </c>
      <c r="E3329" s="2" t="s">
        <v>5618</v>
      </c>
      <c r="F3329" s="2" t="s">
        <v>971</v>
      </c>
      <c r="G3329" s="2" t="s">
        <v>3657</v>
      </c>
      <c r="H3329" s="2">
        <v>3500000</v>
      </c>
      <c r="I3329" s="2">
        <v>6.8</v>
      </c>
      <c r="J3329" s="2">
        <f t="shared" si="26"/>
        <v>-2613590</v>
      </c>
      <c r="K3329" s="2">
        <f t="shared" si="27"/>
        <v>1.367847495168065E-2</v>
      </c>
      <c r="L3329" s="2" t="str">
        <f>IF(ISNUMBER(SEARCH("|",IMDB_Movies!$D3329)),LEFT(IMDB_Movies!$D3329,SEARCH("|",IMDB_Movies!$D3329)-1),IMDB_Movies!$D3329)</f>
        <v>Drama</v>
      </c>
      <c r="V3329" s="2"/>
      <c r="W3329" s="2"/>
    </row>
    <row r="3330" spans="1:23" ht="12.5" x14ac:dyDescent="0.25">
      <c r="A3330" s="2" t="s">
        <v>5619</v>
      </c>
      <c r="B3330" s="2">
        <v>103</v>
      </c>
      <c r="C3330" s="2">
        <v>252652</v>
      </c>
      <c r="D3330" s="2" t="s">
        <v>5620</v>
      </c>
      <c r="E3330" s="2" t="s">
        <v>5621</v>
      </c>
      <c r="F3330" s="2" t="s">
        <v>5315</v>
      </c>
      <c r="G3330" s="2" t="s">
        <v>5316</v>
      </c>
      <c r="H3330" s="2">
        <v>19900000</v>
      </c>
      <c r="I3330" s="2">
        <v>7</v>
      </c>
      <c r="J3330" s="2">
        <f t="shared" si="26"/>
        <v>-19647348</v>
      </c>
      <c r="K3330" s="2">
        <f t="shared" si="27"/>
        <v>1.3671422438665756E-2</v>
      </c>
      <c r="L3330" s="2" t="str">
        <f>IF(ISNUMBER(SEARCH("|",IMDB_Movies!$D3330)),LEFT(IMDB_Movies!$D3330,SEARCH("|",IMDB_Movies!$D3330)-1),IMDB_Movies!$D3330)</f>
        <v>Comedy</v>
      </c>
      <c r="V3330" s="2"/>
      <c r="W3330" s="2"/>
    </row>
    <row r="3331" spans="1:23" ht="12.5" x14ac:dyDescent="0.25">
      <c r="A3331" s="2" t="s">
        <v>5622</v>
      </c>
      <c r="B3331" s="2">
        <v>101</v>
      </c>
      <c r="C3331" s="2">
        <v>220234</v>
      </c>
      <c r="D3331" s="2" t="s">
        <v>600</v>
      </c>
      <c r="E3331" s="2" t="s">
        <v>5623</v>
      </c>
      <c r="F3331" s="2" t="s">
        <v>14</v>
      </c>
      <c r="G3331" s="2" t="s">
        <v>15</v>
      </c>
      <c r="H3331" s="2">
        <v>3500000</v>
      </c>
      <c r="I3331" s="2">
        <v>6.5</v>
      </c>
      <c r="J3331" s="2">
        <f t="shared" si="26"/>
        <v>-3279766</v>
      </c>
      <c r="K3331" s="2">
        <f t="shared" si="27"/>
        <v>1.3970570012163964E-2</v>
      </c>
      <c r="L3331" s="2" t="str">
        <f>IF(ISNUMBER(SEARCH("|",IMDB_Movies!$D3331)),LEFT(IMDB_Movies!$D3331,SEARCH("|",IMDB_Movies!$D3331)-1),IMDB_Movies!$D3331)</f>
        <v>Comedy</v>
      </c>
      <c r="V3331" s="2"/>
      <c r="W3331" s="2"/>
    </row>
    <row r="3332" spans="1:23" ht="12.5" x14ac:dyDescent="0.25">
      <c r="A3332" s="2" t="s">
        <v>5624</v>
      </c>
      <c r="B3332" s="2">
        <v>98</v>
      </c>
      <c r="C3332" s="2">
        <v>101228</v>
      </c>
      <c r="D3332" s="2" t="s">
        <v>891</v>
      </c>
      <c r="E3332" s="2" t="s">
        <v>5625</v>
      </c>
      <c r="F3332" s="2" t="s">
        <v>14</v>
      </c>
      <c r="G3332" s="2" t="s">
        <v>15</v>
      </c>
      <c r="H3332" s="2">
        <v>3500000</v>
      </c>
      <c r="I3332" s="2">
        <v>6.4</v>
      </c>
      <c r="J3332" s="2">
        <f t="shared" si="26"/>
        <v>-3398772</v>
      </c>
      <c r="K3332" s="2">
        <f t="shared" si="27"/>
        <v>1.3963728725579994E-2</v>
      </c>
      <c r="L3332" s="2" t="str">
        <f>IF(ISNUMBER(SEARCH("|",IMDB_Movies!$D3332)),LEFT(IMDB_Movies!$D3332,SEARCH("|",IMDB_Movies!$D3332)-1),IMDB_Movies!$D3332)</f>
        <v>Comedy</v>
      </c>
      <c r="V3332" s="2"/>
      <c r="W3332" s="2"/>
    </row>
    <row r="3333" spans="1:23" ht="12.5" x14ac:dyDescent="0.25">
      <c r="A3333" s="2" t="s">
        <v>1751</v>
      </c>
      <c r="B3333" s="2">
        <v>91</v>
      </c>
      <c r="C3333" s="2">
        <v>96793</v>
      </c>
      <c r="D3333" s="2" t="s">
        <v>517</v>
      </c>
      <c r="E3333" s="2" t="s">
        <v>5626</v>
      </c>
      <c r="F3333" s="2" t="s">
        <v>14</v>
      </c>
      <c r="G3333" s="2" t="s">
        <v>15</v>
      </c>
      <c r="H3333" s="2">
        <v>3500000</v>
      </c>
      <c r="I3333" s="2">
        <v>5.3</v>
      </c>
      <c r="J3333" s="2">
        <f t="shared" si="26"/>
        <v>-3403207</v>
      </c>
      <c r="K3333" s="2">
        <f t="shared" si="27"/>
        <v>1.3956790545663579E-2</v>
      </c>
      <c r="L3333" s="2" t="str">
        <f>IF(ISNUMBER(SEARCH("|",IMDB_Movies!$D3333)),LEFT(IMDB_Movies!$D3333,SEARCH("|",IMDB_Movies!$D3333)-1),IMDB_Movies!$D3333)</f>
        <v>Action</v>
      </c>
      <c r="V3333" s="2"/>
      <c r="W3333" s="2"/>
    </row>
    <row r="3334" spans="1:23" ht="12.5" x14ac:dyDescent="0.25">
      <c r="A3334" s="2" t="s">
        <v>5627</v>
      </c>
      <c r="B3334" s="2">
        <v>105</v>
      </c>
      <c r="C3334" s="2">
        <v>123777</v>
      </c>
      <c r="D3334" s="2" t="s">
        <v>5628</v>
      </c>
      <c r="E3334" s="2" t="s">
        <v>5629</v>
      </c>
      <c r="F3334" s="2" t="s">
        <v>14</v>
      </c>
      <c r="G3334" s="2" t="s">
        <v>104</v>
      </c>
      <c r="H3334" s="2">
        <v>3500000</v>
      </c>
      <c r="I3334" s="2">
        <v>4.7</v>
      </c>
      <c r="J3334" s="2">
        <f t="shared" si="26"/>
        <v>-3376223</v>
      </c>
      <c r="K3334" s="2">
        <f t="shared" si="27"/>
        <v>1.394981733356318E-2</v>
      </c>
      <c r="L3334" s="2" t="str">
        <f>IF(ISNUMBER(SEARCH("|",IMDB_Movies!$D3334)),LEFT(IMDB_Movies!$D3334,SEARCH("|",IMDB_Movies!$D3334)-1),IMDB_Movies!$D3334)</f>
        <v>Action</v>
      </c>
      <c r="V3334" s="2"/>
      <c r="W3334" s="2"/>
    </row>
    <row r="3335" spans="1:23" ht="12.5" x14ac:dyDescent="0.25">
      <c r="A3335" s="2" t="s">
        <v>5630</v>
      </c>
      <c r="B3335" s="2">
        <v>100</v>
      </c>
      <c r="C3335" s="2">
        <v>29233</v>
      </c>
      <c r="D3335" s="2" t="s">
        <v>2943</v>
      </c>
      <c r="E3335" s="2" t="s">
        <v>5631</v>
      </c>
      <c r="F3335" s="2" t="s">
        <v>14</v>
      </c>
      <c r="G3335" s="2" t="s">
        <v>15</v>
      </c>
      <c r="H3335" s="2">
        <v>3500000</v>
      </c>
      <c r="I3335" s="2">
        <v>7</v>
      </c>
      <c r="J3335" s="2">
        <f t="shared" si="26"/>
        <v>-3470767</v>
      </c>
      <c r="K3335" s="2">
        <f t="shared" si="27"/>
        <v>1.3942825928757127E-2</v>
      </c>
      <c r="L3335" s="2" t="str">
        <f>IF(ISNUMBER(SEARCH("|",IMDB_Movies!$D3335)),LEFT(IMDB_Movies!$D3335,SEARCH("|",IMDB_Movies!$D3335)-1),IMDB_Movies!$D3335)</f>
        <v>Documentary</v>
      </c>
      <c r="V3335" s="2"/>
      <c r="W3335" s="2"/>
    </row>
    <row r="3336" spans="1:23" ht="12.5" x14ac:dyDescent="0.25">
      <c r="A3336" s="2" t="s">
        <v>5632</v>
      </c>
      <c r="B3336" s="2">
        <v>80</v>
      </c>
      <c r="C3336" s="2">
        <v>77413017</v>
      </c>
      <c r="D3336" s="2" t="s">
        <v>2943</v>
      </c>
      <c r="E3336" s="2" t="s">
        <v>5633</v>
      </c>
      <c r="F3336" s="2" t="s">
        <v>1006</v>
      </c>
      <c r="G3336" s="2" t="s">
        <v>686</v>
      </c>
      <c r="H3336" s="2">
        <v>8000000</v>
      </c>
      <c r="I3336" s="2">
        <v>7.6</v>
      </c>
      <c r="J3336" s="2">
        <f t="shared" si="26"/>
        <v>69413017</v>
      </c>
      <c r="K3336" s="2">
        <f t="shared" si="27"/>
        <v>1.3935750155190187E-2</v>
      </c>
      <c r="L3336" s="2" t="str">
        <f>IF(ISNUMBER(SEARCH("|",IMDB_Movies!$D3336)),LEFT(IMDB_Movies!$D3336,SEARCH("|",IMDB_Movies!$D3336)-1),IMDB_Movies!$D3336)</f>
        <v>Documentary</v>
      </c>
      <c r="V3336" s="2"/>
      <c r="W3336" s="2"/>
    </row>
    <row r="3337" spans="1:23" ht="12.5" x14ac:dyDescent="0.25">
      <c r="A3337" s="2" t="s">
        <v>3666</v>
      </c>
      <c r="B3337" s="2">
        <v>107</v>
      </c>
      <c r="C3337" s="2">
        <v>5354039</v>
      </c>
      <c r="D3337" s="2" t="s">
        <v>1243</v>
      </c>
      <c r="E3337" s="2" t="s">
        <v>5634</v>
      </c>
      <c r="F3337" s="2" t="s">
        <v>14</v>
      </c>
      <c r="G3337" s="2" t="s">
        <v>15</v>
      </c>
      <c r="H3337" s="2">
        <v>3500000</v>
      </c>
      <c r="I3337" s="2">
        <v>7.1</v>
      </c>
      <c r="J3337" s="2">
        <f t="shared" si="26"/>
        <v>1854039</v>
      </c>
      <c r="K3337" s="2">
        <f t="shared" si="27"/>
        <v>1.3467604628587072E-2</v>
      </c>
      <c r="L3337" s="2" t="str">
        <f>IF(ISNUMBER(SEARCH("|",IMDB_Movies!$D3337)),LEFT(IMDB_Movies!$D3337,SEARCH("|",IMDB_Movies!$D3337)-1),IMDB_Movies!$D3337)</f>
        <v>Biography</v>
      </c>
      <c r="V3337" s="2"/>
      <c r="W3337" s="2"/>
    </row>
    <row r="3338" spans="1:23" ht="12.5" x14ac:dyDescent="0.25">
      <c r="A3338" s="2" t="s">
        <v>5635</v>
      </c>
      <c r="B3338" s="2">
        <v>92</v>
      </c>
      <c r="C3338" s="2">
        <v>2926565</v>
      </c>
      <c r="D3338" s="2" t="s">
        <v>891</v>
      </c>
      <c r="E3338" s="2" t="s">
        <v>5636</v>
      </c>
      <c r="F3338" s="2" t="s">
        <v>14</v>
      </c>
      <c r="G3338" s="2" t="s">
        <v>15</v>
      </c>
      <c r="H3338" s="2">
        <v>3000000</v>
      </c>
      <c r="I3338" s="2">
        <v>6.5</v>
      </c>
      <c r="J3338" s="2">
        <f t="shared" si="26"/>
        <v>-73435</v>
      </c>
      <c r="K3338" s="2">
        <f t="shared" si="27"/>
        <v>1.3464598313381428E-2</v>
      </c>
      <c r="L3338" s="2" t="str">
        <f>IF(ISNUMBER(SEARCH("|",IMDB_Movies!$D3338)),LEFT(IMDB_Movies!$D3338,SEARCH("|",IMDB_Movies!$D3338)-1),IMDB_Movies!$D3338)</f>
        <v>Comedy</v>
      </c>
      <c r="V3338" s="2"/>
      <c r="W3338" s="2"/>
    </row>
    <row r="3339" spans="1:23" ht="12.5" x14ac:dyDescent="0.25">
      <c r="A3339" s="2" t="s">
        <v>5637</v>
      </c>
      <c r="B3339" s="2">
        <v>107</v>
      </c>
      <c r="C3339" s="2">
        <v>13092000</v>
      </c>
      <c r="D3339" s="2" t="s">
        <v>2082</v>
      </c>
      <c r="E3339" s="2" t="s">
        <v>5638</v>
      </c>
      <c r="F3339" s="2" t="s">
        <v>14</v>
      </c>
      <c r="G3339" s="2" t="s">
        <v>15</v>
      </c>
      <c r="H3339" s="2">
        <v>3300000</v>
      </c>
      <c r="I3339" s="2">
        <v>8.5</v>
      </c>
      <c r="J3339" s="2">
        <f t="shared" si="26"/>
        <v>9792000</v>
      </c>
      <c r="K3339" s="2">
        <f t="shared" si="27"/>
        <v>1.3453264888886058E-2</v>
      </c>
      <c r="L3339" s="2" t="str">
        <f>IF(ISNUMBER(SEARCH("|",IMDB_Movies!$D3339)),LEFT(IMDB_Movies!$D3339,SEARCH("|",IMDB_Movies!$D3339)-1),IMDB_Movies!$D3339)</f>
        <v>Drama</v>
      </c>
      <c r="V3339" s="2"/>
      <c r="W3339" s="2"/>
    </row>
    <row r="3340" spans="1:23" ht="12.5" x14ac:dyDescent="0.25">
      <c r="A3340" s="2" t="s">
        <v>3052</v>
      </c>
      <c r="B3340" s="2">
        <v>135</v>
      </c>
      <c r="C3340" s="2">
        <v>7563397</v>
      </c>
      <c r="D3340" s="2" t="s">
        <v>694</v>
      </c>
      <c r="E3340" s="2" t="s">
        <v>5639</v>
      </c>
      <c r="F3340" s="2" t="s">
        <v>5153</v>
      </c>
      <c r="G3340" s="2" t="s">
        <v>5154</v>
      </c>
      <c r="H3340" s="2">
        <v>3300000</v>
      </c>
      <c r="I3340" s="2">
        <v>8.6999999999999993</v>
      </c>
      <c r="J3340" s="2">
        <f t="shared" si="26"/>
        <v>4263397</v>
      </c>
      <c r="K3340" s="2">
        <f t="shared" si="27"/>
        <v>1.3462132783501668E-2</v>
      </c>
      <c r="L3340" s="2" t="str">
        <f>IF(ISNUMBER(SEARCH("|",IMDB_Movies!$D3340)),LEFT(IMDB_Movies!$D3340,SEARCH("|",IMDB_Movies!$D3340)-1),IMDB_Movies!$D3340)</f>
        <v>Crime</v>
      </c>
      <c r="V3340" s="2"/>
      <c r="W3340" s="2"/>
    </row>
    <row r="3341" spans="1:23" ht="12.5" x14ac:dyDescent="0.25">
      <c r="A3341" s="2" t="s">
        <v>5640</v>
      </c>
      <c r="B3341" s="2">
        <v>99</v>
      </c>
      <c r="C3341" s="2">
        <v>104257</v>
      </c>
      <c r="D3341" s="2" t="s">
        <v>2525</v>
      </c>
      <c r="E3341" s="2" t="s">
        <v>5641</v>
      </c>
      <c r="F3341" s="2" t="s">
        <v>14</v>
      </c>
      <c r="G3341" s="2" t="s">
        <v>22</v>
      </c>
      <c r="H3341" s="2">
        <v>2200000</v>
      </c>
      <c r="I3341" s="2">
        <v>7.1</v>
      </c>
      <c r="J3341" s="2">
        <f t="shared" si="26"/>
        <v>-2095743</v>
      </c>
      <c r="K3341" s="2">
        <f t="shared" si="27"/>
        <v>1.3461082496531758E-2</v>
      </c>
      <c r="L3341" s="2" t="str">
        <f>IF(ISNUMBER(SEARCH("|",IMDB_Movies!$D3341)),LEFT(IMDB_Movies!$D3341,SEARCH("|",IMDB_Movies!$D3341)-1),IMDB_Movies!$D3341)</f>
        <v>Comedy</v>
      </c>
      <c r="V3341" s="2"/>
      <c r="W3341" s="2"/>
    </row>
    <row r="3342" spans="1:23" ht="12.5" x14ac:dyDescent="0.25">
      <c r="A3342" s="2" t="s">
        <v>5016</v>
      </c>
      <c r="B3342" s="2">
        <v>115</v>
      </c>
      <c r="C3342" s="2">
        <v>610968</v>
      </c>
      <c r="D3342" s="2" t="s">
        <v>1180</v>
      </c>
      <c r="E3342" s="2" t="s">
        <v>5642</v>
      </c>
      <c r="F3342" s="2" t="s">
        <v>4909</v>
      </c>
      <c r="G3342" s="2" t="s">
        <v>2553</v>
      </c>
      <c r="H3342" s="2">
        <v>3800000</v>
      </c>
      <c r="I3342" s="2">
        <v>8.3000000000000007</v>
      </c>
      <c r="J3342" s="2">
        <f t="shared" si="26"/>
        <v>-3189032</v>
      </c>
      <c r="K3342" s="2">
        <f t="shared" si="27"/>
        <v>1.3429151727221407E-2</v>
      </c>
      <c r="L3342" s="2" t="str">
        <f>IF(ISNUMBER(SEARCH("|",IMDB_Movies!$D3342)),LEFT(IMDB_Movies!$D3342,SEARCH("|",IMDB_Movies!$D3342)-1),IMDB_Movies!$D3342)</f>
        <v>Drama</v>
      </c>
      <c r="V3342" s="2"/>
      <c r="W3342" s="2"/>
    </row>
    <row r="3343" spans="1:23" ht="12.5" x14ac:dyDescent="0.25">
      <c r="A3343" s="2" t="s">
        <v>3655</v>
      </c>
      <c r="B3343" s="2">
        <v>91</v>
      </c>
      <c r="C3343" s="2">
        <v>8108247</v>
      </c>
      <c r="D3343" s="2" t="s">
        <v>85</v>
      </c>
      <c r="E3343" s="2" t="s">
        <v>5643</v>
      </c>
      <c r="F3343" s="2" t="s">
        <v>14</v>
      </c>
      <c r="G3343" s="2" t="s">
        <v>15</v>
      </c>
      <c r="H3343" s="2">
        <v>3300000</v>
      </c>
      <c r="I3343" s="2">
        <v>7.4</v>
      </c>
      <c r="J3343" s="2">
        <f t="shared" si="26"/>
        <v>4808247</v>
      </c>
      <c r="K3343" s="2">
        <f t="shared" si="27"/>
        <v>1.342766475762059E-2</v>
      </c>
      <c r="L3343" s="2" t="str">
        <f>IF(ISNUMBER(SEARCH("|",IMDB_Movies!$D3343)),LEFT(IMDB_Movies!$D3343,SEARCH("|",IMDB_Movies!$D3343)-1),IMDB_Movies!$D3343)</f>
        <v>Drama</v>
      </c>
      <c r="V3343" s="2"/>
      <c r="W3343" s="2"/>
    </row>
    <row r="3344" spans="1:23" ht="12.5" x14ac:dyDescent="0.25">
      <c r="A3344" s="2" t="s">
        <v>5644</v>
      </c>
      <c r="B3344" s="2">
        <v>92</v>
      </c>
      <c r="C3344" s="2">
        <v>7680</v>
      </c>
      <c r="D3344" s="2" t="s">
        <v>85</v>
      </c>
      <c r="E3344" s="2" t="s">
        <v>5645</v>
      </c>
      <c r="F3344" s="2" t="s">
        <v>14</v>
      </c>
      <c r="G3344" s="2" t="s">
        <v>15</v>
      </c>
      <c r="H3344" s="2">
        <v>2000000</v>
      </c>
      <c r="I3344" s="2">
        <v>6.4</v>
      </c>
      <c r="J3344" s="2">
        <f t="shared" si="26"/>
        <v>-1992320</v>
      </c>
      <c r="K3344" s="2">
        <f t="shared" si="27"/>
        <v>1.3427432592528441E-2</v>
      </c>
      <c r="L3344" s="2" t="str">
        <f>IF(ISNUMBER(SEARCH("|",IMDB_Movies!$D3344)),LEFT(IMDB_Movies!$D3344,SEARCH("|",IMDB_Movies!$D3344)-1),IMDB_Movies!$D3344)</f>
        <v>Drama</v>
      </c>
      <c r="V3344" s="2"/>
      <c r="W3344" s="2"/>
    </row>
    <row r="3345" spans="1:23" ht="12.5" x14ac:dyDescent="0.25">
      <c r="A3345" s="2" t="s">
        <v>5646</v>
      </c>
      <c r="B3345" s="2">
        <v>101</v>
      </c>
      <c r="C3345" s="2">
        <v>6517198</v>
      </c>
      <c r="D3345" s="2" t="s">
        <v>694</v>
      </c>
      <c r="E3345" s="2" t="s">
        <v>5647</v>
      </c>
      <c r="F3345" s="2" t="s">
        <v>971</v>
      </c>
      <c r="G3345" s="2" t="s">
        <v>5648</v>
      </c>
      <c r="H3345" s="2">
        <v>3000000</v>
      </c>
      <c r="I3345" s="2">
        <v>7.5</v>
      </c>
      <c r="J3345" s="2">
        <f t="shared" si="26"/>
        <v>3517198</v>
      </c>
      <c r="K3345" s="2">
        <f t="shared" si="27"/>
        <v>1.3391002583450143E-2</v>
      </c>
      <c r="L3345" s="2" t="str">
        <f>IF(ISNUMBER(SEARCH("|",IMDB_Movies!$D3345)),LEFT(IMDB_Movies!$D3345,SEARCH("|",IMDB_Movies!$D3345)-1),IMDB_Movies!$D3345)</f>
        <v>Crime</v>
      </c>
      <c r="V3345" s="2"/>
      <c r="W3345" s="2"/>
    </row>
    <row r="3346" spans="1:23" ht="12.5" x14ac:dyDescent="0.25">
      <c r="A3346" s="2" t="s">
        <v>5542</v>
      </c>
      <c r="B3346" s="2">
        <v>105</v>
      </c>
      <c r="C3346" s="2">
        <v>5776314</v>
      </c>
      <c r="D3346" s="2" t="s">
        <v>514</v>
      </c>
      <c r="E3346" s="2" t="s">
        <v>5649</v>
      </c>
      <c r="F3346" s="2" t="s">
        <v>14</v>
      </c>
      <c r="G3346" s="2" t="s">
        <v>15</v>
      </c>
      <c r="H3346" s="2">
        <v>3200000</v>
      </c>
      <c r="I3346" s="2">
        <v>7.2</v>
      </c>
      <c r="J3346" s="2">
        <f t="shared" si="26"/>
        <v>2576314</v>
      </c>
      <c r="K3346" s="2">
        <f t="shared" si="27"/>
        <v>1.3386950686422476E-2</v>
      </c>
      <c r="L3346" s="2" t="str">
        <f>IF(ISNUMBER(SEARCH("|",IMDB_Movies!$D3346)),LEFT(IMDB_Movies!$D3346,SEARCH("|",IMDB_Movies!$D3346)-1),IMDB_Movies!$D3346)</f>
        <v>Comedy</v>
      </c>
      <c r="V3346" s="2"/>
      <c r="W3346" s="2"/>
    </row>
    <row r="3347" spans="1:23" ht="12.5" x14ac:dyDescent="0.25">
      <c r="A3347" s="2" t="s">
        <v>1781</v>
      </c>
      <c r="B3347" s="2">
        <v>109</v>
      </c>
      <c r="C3347" s="2">
        <v>141600000</v>
      </c>
      <c r="D3347" s="2" t="s">
        <v>709</v>
      </c>
      <c r="E3347" s="2" t="s">
        <v>5650</v>
      </c>
      <c r="F3347" s="2" t="s">
        <v>14</v>
      </c>
      <c r="G3347" s="2" t="s">
        <v>15</v>
      </c>
      <c r="H3347" s="2">
        <v>3000000</v>
      </c>
      <c r="I3347" s="2">
        <v>7.6</v>
      </c>
      <c r="J3347" s="2">
        <f t="shared" si="26"/>
        <v>138600000</v>
      </c>
      <c r="K3347" s="2">
        <f t="shared" si="27"/>
        <v>1.3382404686833906E-2</v>
      </c>
      <c r="L3347" s="2" t="str">
        <f>IF(ISNUMBER(SEARCH("|",IMDB_Movies!$D3347)),LEFT(IMDB_Movies!$D3347,SEARCH("|",IMDB_Movies!$D3347)-1),IMDB_Movies!$D3347)</f>
        <v>Comedy</v>
      </c>
      <c r="V3347" s="2"/>
      <c r="W3347" s="2"/>
    </row>
    <row r="3348" spans="1:23" ht="12.5" x14ac:dyDescent="0.25">
      <c r="A3348" s="2" t="s">
        <v>5061</v>
      </c>
      <c r="B3348" s="2">
        <v>110</v>
      </c>
      <c r="C3348" s="2">
        <v>51100000</v>
      </c>
      <c r="D3348" s="2" t="s">
        <v>20</v>
      </c>
      <c r="E3348" s="2" t="s">
        <v>5651</v>
      </c>
      <c r="F3348" s="2" t="s">
        <v>14</v>
      </c>
      <c r="G3348" s="2" t="s">
        <v>22</v>
      </c>
      <c r="H3348" s="2">
        <v>3000000</v>
      </c>
      <c r="I3348" s="2">
        <v>7.8</v>
      </c>
      <c r="J3348" s="2">
        <f t="shared" si="26"/>
        <v>48100000</v>
      </c>
      <c r="K3348" s="2">
        <f t="shared" si="27"/>
        <v>1.4429902933149896E-2</v>
      </c>
      <c r="L3348" s="2" t="str">
        <f>IF(ISNUMBER(SEARCH("|",IMDB_Movies!$D3348)),LEFT(IMDB_Movies!$D3348,SEARCH("|",IMDB_Movies!$D3348)-1),IMDB_Movies!$D3348)</f>
        <v>Action</v>
      </c>
      <c r="V3348" s="2"/>
      <c r="W3348" s="2"/>
    </row>
    <row r="3349" spans="1:23" ht="12.5" x14ac:dyDescent="0.25">
      <c r="A3349" s="2" t="s">
        <v>1796</v>
      </c>
      <c r="B3349" s="2">
        <v>94</v>
      </c>
      <c r="C3349" s="2">
        <v>16501785</v>
      </c>
      <c r="D3349" s="2" t="s">
        <v>1180</v>
      </c>
      <c r="E3349" s="2" t="s">
        <v>5652</v>
      </c>
      <c r="F3349" s="2" t="s">
        <v>14</v>
      </c>
      <c r="G3349" s="2" t="s">
        <v>22</v>
      </c>
      <c r="H3349" s="2">
        <v>3500000</v>
      </c>
      <c r="I3349" s="2">
        <v>8.1999999999999993</v>
      </c>
      <c r="J3349" s="2">
        <f t="shared" si="26"/>
        <v>13001785</v>
      </c>
      <c r="K3349" s="2">
        <f t="shared" si="27"/>
        <v>1.4622521509664848E-2</v>
      </c>
      <c r="L3349" s="2" t="str">
        <f>IF(ISNUMBER(SEARCH("|",IMDB_Movies!$D3349)),LEFT(IMDB_Movies!$D3349,SEARCH("|",IMDB_Movies!$D3349)-1),IMDB_Movies!$D3349)</f>
        <v>Drama</v>
      </c>
      <c r="V3349" s="2"/>
      <c r="W3349" s="2"/>
    </row>
    <row r="3350" spans="1:23" ht="12.5" x14ac:dyDescent="0.25">
      <c r="A3350" s="2" t="s">
        <v>1725</v>
      </c>
      <c r="B3350" s="2">
        <v>115</v>
      </c>
      <c r="C3350" s="2">
        <v>38168022</v>
      </c>
      <c r="D3350" s="2" t="s">
        <v>5324</v>
      </c>
      <c r="E3350" s="2" t="s">
        <v>5653</v>
      </c>
      <c r="F3350" s="2" t="s">
        <v>14</v>
      </c>
      <c r="G3350" s="2" t="s">
        <v>15</v>
      </c>
      <c r="H3350" s="2">
        <v>3000000</v>
      </c>
      <c r="I3350" s="2">
        <v>6.6</v>
      </c>
      <c r="J3350" s="2">
        <f t="shared" si="26"/>
        <v>35168022</v>
      </c>
      <c r="K3350" s="2">
        <f t="shared" si="27"/>
        <v>1.4637072535198331E-2</v>
      </c>
      <c r="L3350" s="2" t="str">
        <f>IF(ISNUMBER(SEARCH("|",IMDB_Movies!$D3350)),LEFT(IMDB_Movies!$D3350,SEARCH("|",IMDB_Movies!$D3350)-1),IMDB_Movies!$D3350)</f>
        <v>Comedy</v>
      </c>
      <c r="V3350" s="2"/>
      <c r="W3350" s="2"/>
    </row>
    <row r="3351" spans="1:23" ht="12.5" x14ac:dyDescent="0.25">
      <c r="A3351" s="2" t="s">
        <v>5654</v>
      </c>
      <c r="B3351" s="2">
        <v>98</v>
      </c>
      <c r="C3351" s="2">
        <v>84749884</v>
      </c>
      <c r="D3351" s="2" t="s">
        <v>2148</v>
      </c>
      <c r="E3351" s="2" t="s">
        <v>5655</v>
      </c>
      <c r="F3351" s="2" t="s">
        <v>14</v>
      </c>
      <c r="G3351" s="2" t="s">
        <v>15</v>
      </c>
      <c r="H3351" s="2">
        <v>3000000</v>
      </c>
      <c r="I3351" s="2">
        <v>5.7</v>
      </c>
      <c r="J3351" s="2">
        <f t="shared" si="26"/>
        <v>81749884</v>
      </c>
      <c r="K3351" s="2">
        <f t="shared" si="27"/>
        <v>1.4756506472940063E-2</v>
      </c>
      <c r="L3351" s="2" t="str">
        <f>IF(ISNUMBER(SEARCH("|",IMDB_Movies!$D3351)),LEFT(IMDB_Movies!$D3351,SEARCH("|",IMDB_Movies!$D3351)-1),IMDB_Movies!$D3351)</f>
        <v>Horror</v>
      </c>
      <c r="V3351" s="2"/>
      <c r="W3351" s="2"/>
    </row>
    <row r="3352" spans="1:23" ht="12.5" x14ac:dyDescent="0.25">
      <c r="A3352" s="2" t="s">
        <v>2369</v>
      </c>
      <c r="B3352" s="2">
        <v>91</v>
      </c>
      <c r="C3352" s="2">
        <v>24788807</v>
      </c>
      <c r="D3352" s="2" t="s">
        <v>709</v>
      </c>
      <c r="E3352" s="2" t="s">
        <v>5656</v>
      </c>
      <c r="F3352" s="2" t="s">
        <v>14</v>
      </c>
      <c r="G3352" s="2" t="s">
        <v>22</v>
      </c>
      <c r="H3352" s="2">
        <v>3000000</v>
      </c>
      <c r="I3352" s="2">
        <v>7.4</v>
      </c>
      <c r="J3352" s="2">
        <f t="shared" si="26"/>
        <v>21788807</v>
      </c>
      <c r="K3352" s="2">
        <f t="shared" si="27"/>
        <v>1.523848224282561E-2</v>
      </c>
      <c r="L3352" s="2" t="str">
        <f>IF(ISNUMBER(SEARCH("|",IMDB_Movies!$D3352)),LEFT(IMDB_Movies!$D3352,SEARCH("|",IMDB_Movies!$D3352)-1),IMDB_Movies!$D3352)</f>
        <v>Comedy</v>
      </c>
      <c r="V3352" s="2"/>
      <c r="W3352" s="2"/>
    </row>
    <row r="3353" spans="1:23" ht="12.5" x14ac:dyDescent="0.25">
      <c r="A3353" s="2" t="s">
        <v>4879</v>
      </c>
      <c r="B3353" s="2">
        <v>120</v>
      </c>
      <c r="C3353" s="2">
        <v>21244913</v>
      </c>
      <c r="D3353" s="2" t="s">
        <v>5657</v>
      </c>
      <c r="E3353" s="2" t="s">
        <v>5658</v>
      </c>
      <c r="F3353" s="2" t="s">
        <v>14</v>
      </c>
      <c r="G3353" s="2" t="s">
        <v>287</v>
      </c>
      <c r="H3353" s="2">
        <v>4000000</v>
      </c>
      <c r="I3353" s="2">
        <v>8</v>
      </c>
      <c r="J3353" s="2">
        <f t="shared" si="26"/>
        <v>17244913</v>
      </c>
      <c r="K3353" s="2">
        <f t="shared" si="27"/>
        <v>1.5298079843425476E-2</v>
      </c>
      <c r="L3353" s="2" t="str">
        <f>IF(ISNUMBER(SEARCH("|",IMDB_Movies!$D3353)),LEFT(IMDB_Movies!$D3353,SEARCH("|",IMDB_Movies!$D3353)-1),IMDB_Movies!$D3353)</f>
        <v>Crime</v>
      </c>
      <c r="V3353" s="2"/>
      <c r="W3353" s="2"/>
    </row>
    <row r="3354" spans="1:23" ht="12.5" x14ac:dyDescent="0.25">
      <c r="A3354" s="2" t="s">
        <v>5659</v>
      </c>
      <c r="B3354" s="2">
        <v>87</v>
      </c>
      <c r="C3354" s="2">
        <v>30000000</v>
      </c>
      <c r="D3354" s="2" t="s">
        <v>2465</v>
      </c>
      <c r="E3354" s="2" t="s">
        <v>5660</v>
      </c>
      <c r="F3354" s="2" t="s">
        <v>14</v>
      </c>
      <c r="G3354" s="2" t="s">
        <v>15</v>
      </c>
      <c r="H3354" s="2">
        <v>2200000</v>
      </c>
      <c r="I3354" s="2">
        <v>5.4</v>
      </c>
      <c r="J3354" s="2">
        <f t="shared" si="26"/>
        <v>27800000</v>
      </c>
      <c r="K3354" s="2">
        <f t="shared" si="27"/>
        <v>1.5308315164641298E-2</v>
      </c>
      <c r="L3354" s="2" t="str">
        <f>IF(ISNUMBER(SEARCH("|",IMDB_Movies!$D3354)),LEFT(IMDB_Movies!$D3354,SEARCH("|",IMDB_Movies!$D3354)-1),IMDB_Movies!$D3354)</f>
        <v>Fantasy</v>
      </c>
      <c r="V3354" s="2"/>
      <c r="W3354" s="2"/>
    </row>
    <row r="3355" spans="1:23" ht="12.5" x14ac:dyDescent="0.25">
      <c r="A3355" s="2" t="s">
        <v>4003</v>
      </c>
      <c r="B3355" s="2">
        <v>117</v>
      </c>
      <c r="C3355" s="2">
        <v>20966644</v>
      </c>
      <c r="D3355" s="2" t="s">
        <v>85</v>
      </c>
      <c r="E3355" s="2" t="s">
        <v>5661</v>
      </c>
      <c r="F3355" s="2" t="s">
        <v>14</v>
      </c>
      <c r="G3355" s="2" t="s">
        <v>22</v>
      </c>
      <c r="H3355" s="2">
        <v>3000000</v>
      </c>
      <c r="I3355" s="2">
        <v>7.4</v>
      </c>
      <c r="J3355" s="2">
        <f t="shared" si="26"/>
        <v>17966644</v>
      </c>
      <c r="K3355" s="2">
        <f t="shared" si="27"/>
        <v>1.5438665321362326E-2</v>
      </c>
      <c r="L3355" s="2" t="str">
        <f>IF(ISNUMBER(SEARCH("|",IMDB_Movies!$D3355)),LEFT(IMDB_Movies!$D3355,SEARCH("|",IMDB_Movies!$D3355)-1),IMDB_Movies!$D3355)</f>
        <v>Drama</v>
      </c>
      <c r="V3355" s="2"/>
      <c r="W3355" s="2"/>
    </row>
    <row r="3356" spans="1:23" ht="12.5" x14ac:dyDescent="0.25">
      <c r="A3356" s="2" t="s">
        <v>4650</v>
      </c>
      <c r="B3356" s="2">
        <v>85</v>
      </c>
      <c r="C3356" s="2">
        <v>64423650</v>
      </c>
      <c r="D3356" s="2" t="s">
        <v>1486</v>
      </c>
      <c r="E3356" s="2" t="s">
        <v>5662</v>
      </c>
      <c r="F3356" s="2" t="s">
        <v>14</v>
      </c>
      <c r="G3356" s="2" t="s">
        <v>15</v>
      </c>
      <c r="H3356" s="2">
        <v>3000000</v>
      </c>
      <c r="I3356" s="2">
        <v>5.7</v>
      </c>
      <c r="J3356" s="2">
        <f t="shared" si="26"/>
        <v>61423650</v>
      </c>
      <c r="K3356" s="2">
        <f t="shared" si="27"/>
        <v>1.5483461360826347E-2</v>
      </c>
      <c r="L3356" s="2" t="str">
        <f>IF(ISNUMBER(SEARCH("|",IMDB_Movies!$D3356)),LEFT(IMDB_Movies!$D3356,SEARCH("|",IMDB_Movies!$D3356)-1),IMDB_Movies!$D3356)</f>
        <v>Horror</v>
      </c>
      <c r="V3356" s="2"/>
      <c r="W3356" s="2"/>
    </row>
    <row r="3357" spans="1:23" ht="12.5" x14ac:dyDescent="0.25">
      <c r="A3357" s="2" t="s">
        <v>941</v>
      </c>
      <c r="B3357" s="2">
        <v>110</v>
      </c>
      <c r="C3357" s="2">
        <v>48056940</v>
      </c>
      <c r="D3357" s="2" t="s">
        <v>2116</v>
      </c>
      <c r="E3357" s="2" t="s">
        <v>5663</v>
      </c>
      <c r="F3357" s="2" t="s">
        <v>14</v>
      </c>
      <c r="G3357" s="2" t="s">
        <v>15</v>
      </c>
      <c r="H3357" s="2">
        <v>3000000</v>
      </c>
      <c r="I3357" s="2">
        <v>6.8</v>
      </c>
      <c r="J3357" s="2">
        <f t="shared" si="26"/>
        <v>45056940</v>
      </c>
      <c r="K3357" s="2">
        <f t="shared" si="27"/>
        <v>1.5803053741265553E-2</v>
      </c>
      <c r="L3357" s="2" t="str">
        <f>IF(ISNUMBER(SEARCH("|",IMDB_Movies!$D3357)),LEFT(IMDB_Movies!$D3357,SEARCH("|",IMDB_Movies!$D3357)-1),IMDB_Movies!$D3357)</f>
        <v>Horror</v>
      </c>
      <c r="V3357" s="2"/>
      <c r="W3357" s="2"/>
    </row>
    <row r="3358" spans="1:23" ht="12.5" x14ac:dyDescent="0.25">
      <c r="A3358" s="2" t="s">
        <v>4172</v>
      </c>
      <c r="B3358" s="2">
        <v>113</v>
      </c>
      <c r="C3358" s="2">
        <v>19184015</v>
      </c>
      <c r="D3358" s="2" t="s">
        <v>5664</v>
      </c>
      <c r="E3358" s="2" t="s">
        <v>5665</v>
      </c>
      <c r="F3358" s="2" t="s">
        <v>14</v>
      </c>
      <c r="G3358" s="2" t="s">
        <v>15</v>
      </c>
      <c r="H3358" s="2">
        <v>3000000</v>
      </c>
      <c r="I3358" s="2">
        <v>5.4</v>
      </c>
      <c r="J3358" s="2">
        <f t="shared" si="26"/>
        <v>16184015</v>
      </c>
      <c r="K3358" s="2">
        <f t="shared" si="27"/>
        <v>1.6001359380238212E-2</v>
      </c>
      <c r="L3358" s="2" t="str">
        <f>IF(ISNUMBER(SEARCH("|",IMDB_Movies!$D3358)),LEFT(IMDB_Movies!$D3358,SEARCH("|",IMDB_Movies!$D3358)-1),IMDB_Movies!$D3358)</f>
        <v>Biography</v>
      </c>
      <c r="V3358" s="2"/>
      <c r="W3358" s="2"/>
    </row>
    <row r="3359" spans="1:23" ht="12.5" x14ac:dyDescent="0.25">
      <c r="A3359" s="2" t="s">
        <v>2382</v>
      </c>
      <c r="B3359" s="2">
        <v>98</v>
      </c>
      <c r="C3359" s="2">
        <v>24629916</v>
      </c>
      <c r="D3359" s="2" t="s">
        <v>4434</v>
      </c>
      <c r="E3359" s="2" t="s">
        <v>5666</v>
      </c>
      <c r="F3359" s="2" t="s">
        <v>14</v>
      </c>
      <c r="G3359" s="2" t="s">
        <v>15</v>
      </c>
      <c r="H3359" s="2">
        <v>3000000</v>
      </c>
      <c r="I3359" s="2">
        <v>5.0999999999999996</v>
      </c>
      <c r="J3359" s="2">
        <f t="shared" si="26"/>
        <v>21629916</v>
      </c>
      <c r="K3359" s="2">
        <f t="shared" si="27"/>
        <v>1.6041447645562323E-2</v>
      </c>
      <c r="L3359" s="2" t="str">
        <f>IF(ISNUMBER(SEARCH("|",IMDB_Movies!$D3359)),LEFT(IMDB_Movies!$D3359,SEARCH("|",IMDB_Movies!$D3359)-1),IMDB_Movies!$D3359)</f>
        <v>Comedy</v>
      </c>
      <c r="V3359" s="2"/>
      <c r="W3359" s="2"/>
    </row>
    <row r="3360" spans="1:23" ht="12.5" x14ac:dyDescent="0.25">
      <c r="A3360" s="2" t="s">
        <v>5667</v>
      </c>
      <c r="B3360" s="2">
        <v>86</v>
      </c>
      <c r="C3360" s="2">
        <v>19472057</v>
      </c>
      <c r="D3360" s="2" t="s">
        <v>2228</v>
      </c>
      <c r="E3360" s="2" t="s">
        <v>5668</v>
      </c>
      <c r="F3360" s="2" t="s">
        <v>14</v>
      </c>
      <c r="G3360" s="2" t="s">
        <v>15</v>
      </c>
      <c r="H3360" s="2">
        <v>3000000</v>
      </c>
      <c r="I3360" s="2">
        <v>5.9</v>
      </c>
      <c r="J3360" s="2">
        <f t="shared" si="26"/>
        <v>16472057</v>
      </c>
      <c r="K3360" s="2">
        <f t="shared" si="27"/>
        <v>1.6105283908449401E-2</v>
      </c>
      <c r="L3360" s="2" t="str">
        <f>IF(ISNUMBER(SEARCH("|",IMDB_Movies!$D3360)),LEFT(IMDB_Movies!$D3360,SEARCH("|",IMDB_Movies!$D3360)-1),IMDB_Movies!$D3360)</f>
        <v>Horror</v>
      </c>
      <c r="V3360" s="2"/>
      <c r="W3360" s="2"/>
    </row>
    <row r="3361" spans="1:23" ht="12.5" x14ac:dyDescent="0.25">
      <c r="A3361" s="2" t="s">
        <v>2967</v>
      </c>
      <c r="B3361" s="2">
        <v>161</v>
      </c>
      <c r="C3361" s="2">
        <v>27200000</v>
      </c>
      <c r="D3361" s="2" t="s">
        <v>1151</v>
      </c>
      <c r="E3361" s="2" t="s">
        <v>5669</v>
      </c>
      <c r="F3361" s="2" t="s">
        <v>14</v>
      </c>
      <c r="G3361" s="2" t="s">
        <v>22</v>
      </c>
      <c r="H3361" s="2">
        <v>3000000</v>
      </c>
      <c r="I3361" s="2">
        <v>8.1999999999999993</v>
      </c>
      <c r="J3361" s="2">
        <f t="shared" si="26"/>
        <v>24200000</v>
      </c>
      <c r="K3361" s="2">
        <f t="shared" si="27"/>
        <v>1.614709223305735E-2</v>
      </c>
      <c r="L3361" s="2" t="str">
        <f>IF(ISNUMBER(SEARCH("|",IMDB_Movies!$D3361)),LEFT(IMDB_Movies!$D3361,SEARCH("|",IMDB_Movies!$D3361)-1),IMDB_Movies!$D3361)</f>
        <v>Adventure</v>
      </c>
      <c r="V3361" s="2"/>
      <c r="W3361" s="2"/>
    </row>
    <row r="3362" spans="1:23" ht="12.5" x14ac:dyDescent="0.25">
      <c r="A3362" s="2" t="s">
        <v>1841</v>
      </c>
      <c r="B3362" s="2">
        <v>100</v>
      </c>
      <c r="C3362" s="2">
        <v>15369573</v>
      </c>
      <c r="D3362" s="2" t="s">
        <v>670</v>
      </c>
      <c r="E3362" s="2" t="s">
        <v>5670</v>
      </c>
      <c r="F3362" s="2" t="s">
        <v>14</v>
      </c>
      <c r="G3362" s="2" t="s">
        <v>15</v>
      </c>
      <c r="H3362" s="2">
        <v>3000000</v>
      </c>
      <c r="I3362" s="2">
        <v>5.3</v>
      </c>
      <c r="J3362" s="2">
        <f t="shared" si="26"/>
        <v>12369573</v>
      </c>
      <c r="K3362" s="2">
        <f t="shared" si="27"/>
        <v>1.6224059156651593E-2</v>
      </c>
      <c r="L3362" s="2" t="str">
        <f>IF(ISNUMBER(SEARCH("|",IMDB_Movies!$D3362)),LEFT(IMDB_Movies!$D3362,SEARCH("|",IMDB_Movies!$D3362)-1),IMDB_Movies!$D3362)</f>
        <v>Adventure</v>
      </c>
      <c r="V3362" s="2"/>
      <c r="W3362" s="2"/>
    </row>
    <row r="3363" spans="1:23" ht="12.5" x14ac:dyDescent="0.25">
      <c r="A3363" s="2" t="s">
        <v>5671</v>
      </c>
      <c r="B3363" s="2">
        <v>91</v>
      </c>
      <c r="C3363" s="2">
        <v>15935068</v>
      </c>
      <c r="D3363" s="2" t="s">
        <v>3172</v>
      </c>
      <c r="E3363" s="2" t="s">
        <v>5672</v>
      </c>
      <c r="F3363" s="2" t="s">
        <v>14</v>
      </c>
      <c r="G3363" s="2" t="s">
        <v>15</v>
      </c>
      <c r="H3363" s="2">
        <v>2500000</v>
      </c>
      <c r="I3363" s="2">
        <v>4.3</v>
      </c>
      <c r="J3363" s="2">
        <f t="shared" si="26"/>
        <v>13435068</v>
      </c>
      <c r="K3363" s="2">
        <f t="shared" si="27"/>
        <v>1.6250554380605849E-2</v>
      </c>
      <c r="L3363" s="2" t="str">
        <f>IF(ISNUMBER(SEARCH("|",IMDB_Movies!$D3363)),LEFT(IMDB_Movies!$D3363,SEARCH("|",IMDB_Movies!$D3363)-1),IMDB_Movies!$D3363)</f>
        <v>Fantasy</v>
      </c>
      <c r="V3363" s="2"/>
      <c r="W3363" s="2"/>
    </row>
    <row r="3364" spans="1:23" ht="12.5" x14ac:dyDescent="0.25">
      <c r="A3364" s="2" t="s">
        <v>558</v>
      </c>
      <c r="B3364" s="2">
        <v>100</v>
      </c>
      <c r="C3364" s="2">
        <v>11694528</v>
      </c>
      <c r="D3364" s="2" t="s">
        <v>5673</v>
      </c>
      <c r="E3364" s="2" t="s">
        <v>5674</v>
      </c>
      <c r="F3364" s="2" t="s">
        <v>14</v>
      </c>
      <c r="G3364" s="2" t="s">
        <v>15</v>
      </c>
      <c r="H3364" s="2">
        <v>3000000</v>
      </c>
      <c r="I3364" s="2">
        <v>7.2</v>
      </c>
      <c r="J3364" s="2">
        <f t="shared" si="26"/>
        <v>8694528</v>
      </c>
      <c r="K3364" s="2">
        <f t="shared" si="27"/>
        <v>1.6290891507715309E-2</v>
      </c>
      <c r="L3364" s="2" t="str">
        <f>IF(ISNUMBER(SEARCH("|",IMDB_Movies!$D3364)),LEFT(IMDB_Movies!$D3364,SEARCH("|",IMDB_Movies!$D3364)-1),IMDB_Movies!$D3364)</f>
        <v>Comedy</v>
      </c>
      <c r="V3364" s="2"/>
      <c r="W3364" s="2"/>
    </row>
    <row r="3365" spans="1:23" ht="12.5" x14ac:dyDescent="0.25">
      <c r="A3365" s="2" t="s">
        <v>5675</v>
      </c>
      <c r="B3365" s="2">
        <v>84</v>
      </c>
      <c r="C3365" s="2">
        <v>10017041</v>
      </c>
      <c r="D3365" s="2" t="s">
        <v>623</v>
      </c>
      <c r="E3365" s="2" t="s">
        <v>5676</v>
      </c>
      <c r="F3365" s="2" t="s">
        <v>14</v>
      </c>
      <c r="G3365" s="2" t="s">
        <v>15</v>
      </c>
      <c r="H3365" s="2">
        <v>3000000</v>
      </c>
      <c r="I3365" s="2">
        <v>5.9</v>
      </c>
      <c r="J3365" s="2">
        <f t="shared" si="26"/>
        <v>7017041</v>
      </c>
      <c r="K3365" s="2">
        <f t="shared" si="27"/>
        <v>1.6304915503045053E-2</v>
      </c>
      <c r="L3365" s="2" t="str">
        <f>IF(ISNUMBER(SEARCH("|",IMDB_Movies!$D3365)),LEFT(IMDB_Movies!$D3365,SEARCH("|",IMDB_Movies!$D3365)-1),IMDB_Movies!$D3365)</f>
        <v>Action</v>
      </c>
      <c r="V3365" s="2"/>
      <c r="W3365" s="2"/>
    </row>
    <row r="3366" spans="1:23" ht="12.5" x14ac:dyDescent="0.25">
      <c r="A3366" s="2" t="s">
        <v>5677</v>
      </c>
      <c r="B3366" s="2">
        <v>99</v>
      </c>
      <c r="C3366" s="2">
        <v>7059537</v>
      </c>
      <c r="D3366" s="2" t="s">
        <v>709</v>
      </c>
      <c r="E3366" s="2" t="s">
        <v>5678</v>
      </c>
      <c r="F3366" s="2" t="s">
        <v>14</v>
      </c>
      <c r="G3366" s="2" t="s">
        <v>15</v>
      </c>
      <c r="H3366" s="2">
        <v>3000000</v>
      </c>
      <c r="I3366" s="2">
        <v>3</v>
      </c>
      <c r="J3366" s="2">
        <f t="shared" si="26"/>
        <v>4059537</v>
      </c>
      <c r="K3366" s="2">
        <f t="shared" si="27"/>
        <v>1.6313658958146546E-2</v>
      </c>
      <c r="L3366" s="2" t="str">
        <f>IF(ISNUMBER(SEARCH("|",IMDB_Movies!$D3366)),LEFT(IMDB_Movies!$D3366,SEARCH("|",IMDB_Movies!$D3366)-1),IMDB_Movies!$D3366)</f>
        <v>Comedy</v>
      </c>
      <c r="V3366" s="2"/>
      <c r="W3366" s="2"/>
    </row>
    <row r="3367" spans="1:23" ht="12.5" x14ac:dyDescent="0.25">
      <c r="A3367" s="2" t="s">
        <v>2991</v>
      </c>
      <c r="B3367" s="2">
        <v>109</v>
      </c>
      <c r="C3367" s="2">
        <v>8114507</v>
      </c>
      <c r="D3367" s="2" t="s">
        <v>85</v>
      </c>
      <c r="E3367" s="2" t="s">
        <v>5679</v>
      </c>
      <c r="F3367" s="2" t="s">
        <v>14</v>
      </c>
      <c r="G3367" s="2" t="s">
        <v>15</v>
      </c>
      <c r="H3367" s="2">
        <v>3000000</v>
      </c>
      <c r="I3367" s="2">
        <v>7.9</v>
      </c>
      <c r="J3367" s="2">
        <f t="shared" si="26"/>
        <v>5114507</v>
      </c>
      <c r="K3367" s="2">
        <f t="shared" si="27"/>
        <v>1.6313754090062697E-2</v>
      </c>
      <c r="L3367" s="2" t="str">
        <f>IF(ISNUMBER(SEARCH("|",IMDB_Movies!$D3367)),LEFT(IMDB_Movies!$D3367,SEARCH("|",IMDB_Movies!$D3367)-1),IMDB_Movies!$D3367)</f>
        <v>Drama</v>
      </c>
      <c r="V3367" s="2"/>
      <c r="W3367" s="2"/>
    </row>
    <row r="3368" spans="1:23" ht="12.5" x14ac:dyDescent="0.25">
      <c r="A3368" s="2" t="s">
        <v>5680</v>
      </c>
      <c r="B3368" s="2">
        <v>95</v>
      </c>
      <c r="C3368" s="2">
        <v>7888703</v>
      </c>
      <c r="D3368" s="2" t="s">
        <v>975</v>
      </c>
      <c r="E3368" s="2" t="s">
        <v>5681</v>
      </c>
      <c r="F3368" s="2" t="s">
        <v>14</v>
      </c>
      <c r="G3368" s="2" t="s">
        <v>15</v>
      </c>
      <c r="H3368" s="2">
        <v>3000000</v>
      </c>
      <c r="I3368" s="2">
        <v>3.2</v>
      </c>
      <c r="J3368" s="2">
        <f t="shared" si="26"/>
        <v>4888703</v>
      </c>
      <c r="K3368" s="2">
        <f t="shared" si="27"/>
        <v>1.6316844930407384E-2</v>
      </c>
      <c r="L3368" s="2" t="str">
        <f>IF(ISNUMBER(SEARCH("|",IMDB_Movies!$D3368)),LEFT(IMDB_Movies!$D3368,SEARCH("|",IMDB_Movies!$D3368)-1),IMDB_Movies!$D3368)</f>
        <v>Comedy</v>
      </c>
      <c r="V3368" s="2"/>
      <c r="W3368" s="2"/>
    </row>
    <row r="3369" spans="1:23" ht="12.5" x14ac:dyDescent="0.25">
      <c r="A3369" s="2" t="s">
        <v>5682</v>
      </c>
      <c r="B3369" s="2">
        <v>97</v>
      </c>
      <c r="C3369" s="2">
        <v>7282851</v>
      </c>
      <c r="D3369" s="2" t="s">
        <v>1481</v>
      </c>
      <c r="E3369" s="2" t="s">
        <v>5683</v>
      </c>
      <c r="F3369" s="2" t="s">
        <v>14</v>
      </c>
      <c r="G3369" s="2" t="s">
        <v>15</v>
      </c>
      <c r="H3369" s="2">
        <v>3000000</v>
      </c>
      <c r="I3369" s="2">
        <v>6.5</v>
      </c>
      <c r="J3369" s="2">
        <f t="shared" si="26"/>
        <v>4282851</v>
      </c>
      <c r="K3369" s="2">
        <f t="shared" si="27"/>
        <v>1.6319297471423213E-2</v>
      </c>
      <c r="L3369" s="2" t="str">
        <f>IF(ISNUMBER(SEARCH("|",IMDB_Movies!$D3369)),LEFT(IMDB_Movies!$D3369,SEARCH("|",IMDB_Movies!$D3369)-1),IMDB_Movies!$D3369)</f>
        <v>Action</v>
      </c>
      <c r="V3369" s="2"/>
      <c r="W3369" s="2"/>
    </row>
    <row r="3370" spans="1:23" ht="12.5" x14ac:dyDescent="0.25">
      <c r="A3370" s="2" t="s">
        <v>5684</v>
      </c>
      <c r="B3370" s="2">
        <v>90</v>
      </c>
      <c r="C3370" s="2">
        <v>5844929</v>
      </c>
      <c r="D3370" s="2" t="s">
        <v>891</v>
      </c>
      <c r="E3370" s="2" t="s">
        <v>5685</v>
      </c>
      <c r="F3370" s="2" t="s">
        <v>14</v>
      </c>
      <c r="G3370" s="2" t="s">
        <v>15</v>
      </c>
      <c r="H3370" s="2">
        <v>3000000</v>
      </c>
      <c r="I3370" s="2">
        <v>7</v>
      </c>
      <c r="J3370" s="2">
        <f t="shared" si="26"/>
        <v>2844929</v>
      </c>
      <c r="K3370" s="2">
        <f t="shared" si="27"/>
        <v>1.6320033331403017E-2</v>
      </c>
      <c r="L3370" s="2" t="str">
        <f>IF(ISNUMBER(SEARCH("|",IMDB_Movies!$D3370)),LEFT(IMDB_Movies!$D3370,SEARCH("|",IMDB_Movies!$D3370)-1),IMDB_Movies!$D3370)</f>
        <v>Comedy</v>
      </c>
      <c r="V3370" s="2"/>
      <c r="W3370" s="2"/>
    </row>
    <row r="3371" spans="1:23" ht="12.5" x14ac:dyDescent="0.25">
      <c r="A3371" s="2" t="s">
        <v>5686</v>
      </c>
      <c r="B3371" s="2">
        <v>96</v>
      </c>
      <c r="C3371" s="2">
        <v>4170647</v>
      </c>
      <c r="D3371" s="2" t="s">
        <v>891</v>
      </c>
      <c r="E3371" s="2" t="s">
        <v>5687</v>
      </c>
      <c r="F3371" s="2" t="s">
        <v>14</v>
      </c>
      <c r="G3371" s="2" t="s">
        <v>22</v>
      </c>
      <c r="H3371" s="2">
        <v>1900000</v>
      </c>
      <c r="I3371" s="2">
        <v>6.9</v>
      </c>
      <c r="J3371" s="2">
        <f t="shared" si="26"/>
        <v>2270647</v>
      </c>
      <c r="K3371" s="2">
        <f t="shared" si="27"/>
        <v>1.6316824204342727E-2</v>
      </c>
      <c r="L3371" s="2" t="str">
        <f>IF(ISNUMBER(SEARCH("|",IMDB_Movies!$D3371)),LEFT(IMDB_Movies!$D3371,SEARCH("|",IMDB_Movies!$D3371)-1),IMDB_Movies!$D3371)</f>
        <v>Comedy</v>
      </c>
      <c r="V3371" s="2"/>
      <c r="W3371" s="2"/>
    </row>
    <row r="3372" spans="1:23" ht="12.5" x14ac:dyDescent="0.25">
      <c r="A3372" s="2" t="s">
        <v>5688</v>
      </c>
      <c r="B3372" s="2">
        <v>82</v>
      </c>
      <c r="C3372" s="2">
        <v>4142507</v>
      </c>
      <c r="D3372" s="2" t="s">
        <v>600</v>
      </c>
      <c r="E3372" s="2" t="s">
        <v>5689</v>
      </c>
      <c r="F3372" s="2" t="s">
        <v>14</v>
      </c>
      <c r="G3372" s="2" t="s">
        <v>15</v>
      </c>
      <c r="H3372" s="2">
        <v>3000000</v>
      </c>
      <c r="I3372" s="2">
        <v>4.4000000000000004</v>
      </c>
      <c r="J3372" s="2">
        <f t="shared" si="26"/>
        <v>1142507</v>
      </c>
      <c r="K3372" s="2">
        <f t="shared" si="27"/>
        <v>1.6301090463841976E-2</v>
      </c>
      <c r="L3372" s="2" t="str">
        <f>IF(ISNUMBER(SEARCH("|",IMDB_Movies!$D3372)),LEFT(IMDB_Movies!$D3372,SEARCH("|",IMDB_Movies!$D3372)-1),IMDB_Movies!$D3372)</f>
        <v>Comedy</v>
      </c>
      <c r="V3372" s="2"/>
      <c r="W3372" s="2"/>
    </row>
    <row r="3373" spans="1:23" ht="12.5" x14ac:dyDescent="0.25">
      <c r="A3373" s="2" t="s">
        <v>3340</v>
      </c>
      <c r="B3373" s="2">
        <v>109</v>
      </c>
      <c r="C3373" s="2">
        <v>4109095</v>
      </c>
      <c r="D3373" s="2" t="s">
        <v>5690</v>
      </c>
      <c r="E3373" s="2" t="s">
        <v>5691</v>
      </c>
      <c r="F3373" s="2" t="s">
        <v>14</v>
      </c>
      <c r="G3373" s="2" t="s">
        <v>15</v>
      </c>
      <c r="H3373" s="2">
        <v>3000000</v>
      </c>
      <c r="I3373" s="2">
        <v>6</v>
      </c>
      <c r="J3373" s="2">
        <f t="shared" si="26"/>
        <v>1109095</v>
      </c>
      <c r="K3373" s="2">
        <f t="shared" si="27"/>
        <v>1.6293420050682954E-2</v>
      </c>
      <c r="L3373" s="2" t="str">
        <f>IF(ISNUMBER(SEARCH("|",IMDB_Movies!$D3373)),LEFT(IMDB_Movies!$D3373,SEARCH("|",IMDB_Movies!$D3373)-1),IMDB_Movies!$D3373)</f>
        <v>Crime</v>
      </c>
      <c r="V3373" s="2"/>
      <c r="W3373" s="2"/>
    </row>
    <row r="3374" spans="1:23" ht="12.5" x14ac:dyDescent="0.25">
      <c r="A3374" s="2" t="s">
        <v>5692</v>
      </c>
      <c r="B3374" s="2">
        <v>98</v>
      </c>
      <c r="C3374" s="2">
        <v>3902679</v>
      </c>
      <c r="D3374" s="2" t="s">
        <v>2465</v>
      </c>
      <c r="E3374" s="2" t="s">
        <v>5693</v>
      </c>
      <c r="F3374" s="2" t="s">
        <v>14</v>
      </c>
      <c r="G3374" s="2" t="s">
        <v>15</v>
      </c>
      <c r="H3374" s="2">
        <v>3000000</v>
      </c>
      <c r="I3374" s="2">
        <v>5.3</v>
      </c>
      <c r="J3374" s="2">
        <f t="shared" si="26"/>
        <v>902679</v>
      </c>
      <c r="K3374" s="2">
        <f t="shared" si="27"/>
        <v>1.6285628582420764E-2</v>
      </c>
      <c r="L3374" s="2" t="str">
        <f>IF(ISNUMBER(SEARCH("|",IMDB_Movies!$D3374)),LEFT(IMDB_Movies!$D3374,SEARCH("|",IMDB_Movies!$D3374)-1),IMDB_Movies!$D3374)</f>
        <v>Fantasy</v>
      </c>
      <c r="V3374" s="2"/>
      <c r="W3374" s="2"/>
    </row>
    <row r="3375" spans="1:23" ht="12.5" x14ac:dyDescent="0.25">
      <c r="A3375" s="2" t="s">
        <v>5694</v>
      </c>
      <c r="B3375" s="2">
        <v>95</v>
      </c>
      <c r="C3375" s="2">
        <v>3559990</v>
      </c>
      <c r="D3375" s="2" t="s">
        <v>375</v>
      </c>
      <c r="E3375" s="2" t="s">
        <v>5695</v>
      </c>
      <c r="F3375" s="2" t="s">
        <v>14</v>
      </c>
      <c r="G3375" s="2" t="s">
        <v>15</v>
      </c>
      <c r="H3375" s="2">
        <v>3000000</v>
      </c>
      <c r="I3375" s="2">
        <v>5.3</v>
      </c>
      <c r="J3375" s="2">
        <f t="shared" si="26"/>
        <v>559990</v>
      </c>
      <c r="K3375" s="2">
        <f t="shared" si="27"/>
        <v>1.6277284129180624E-2</v>
      </c>
      <c r="L3375" s="2" t="str">
        <f>IF(ISNUMBER(SEARCH("|",IMDB_Movies!$D3375)),LEFT(IMDB_Movies!$D3375,SEARCH("|",IMDB_Movies!$D3375)-1),IMDB_Movies!$D3375)</f>
        <v>Comedy</v>
      </c>
      <c r="V3375" s="2"/>
      <c r="W3375" s="2"/>
    </row>
    <row r="3376" spans="1:23" ht="12.5" x14ac:dyDescent="0.25">
      <c r="A3376" s="2" t="s">
        <v>5696</v>
      </c>
      <c r="B3376" s="2">
        <v>104</v>
      </c>
      <c r="C3376" s="2">
        <v>3287435</v>
      </c>
      <c r="D3376" s="2" t="s">
        <v>1180</v>
      </c>
      <c r="E3376" s="2" t="s">
        <v>5697</v>
      </c>
      <c r="F3376" s="2" t="s">
        <v>14</v>
      </c>
      <c r="G3376" s="2" t="s">
        <v>15</v>
      </c>
      <c r="H3376" s="2">
        <v>4500000</v>
      </c>
      <c r="I3376" s="2">
        <v>7.1</v>
      </c>
      <c r="J3376" s="2">
        <f t="shared" si="26"/>
        <v>-1212565</v>
      </c>
      <c r="K3376" s="2">
        <f t="shared" si="27"/>
        <v>1.6268052225574793E-2</v>
      </c>
      <c r="L3376" s="2" t="str">
        <f>IF(ISNUMBER(SEARCH("|",IMDB_Movies!$D3376)),LEFT(IMDB_Movies!$D3376,SEARCH("|",IMDB_Movies!$D3376)-1),IMDB_Movies!$D3376)</f>
        <v>Drama</v>
      </c>
      <c r="V3376" s="2"/>
      <c r="W3376" s="2"/>
    </row>
    <row r="3377" spans="1:23" ht="12.5" x14ac:dyDescent="0.25">
      <c r="A3377" s="2" t="s">
        <v>5698</v>
      </c>
      <c r="B3377" s="2">
        <v>87</v>
      </c>
      <c r="C3377" s="2">
        <v>3071947</v>
      </c>
      <c r="D3377" s="2" t="s">
        <v>2009</v>
      </c>
      <c r="E3377" s="2" t="s">
        <v>5699</v>
      </c>
      <c r="F3377" s="2" t="s">
        <v>14</v>
      </c>
      <c r="G3377" s="2" t="s">
        <v>15</v>
      </c>
      <c r="H3377" s="2">
        <v>3500000</v>
      </c>
      <c r="I3377" s="2">
        <v>5.4</v>
      </c>
      <c r="J3377" s="2">
        <f t="shared" si="26"/>
        <v>-428053</v>
      </c>
      <c r="K3377" s="2">
        <f t="shared" si="27"/>
        <v>1.6272924789540656E-2</v>
      </c>
      <c r="L3377" s="2" t="str">
        <f>IF(ISNUMBER(SEARCH("|",IMDB_Movies!$D3377)),LEFT(IMDB_Movies!$D3377,SEARCH("|",IMDB_Movies!$D3377)-1),IMDB_Movies!$D3377)</f>
        <v>Comedy</v>
      </c>
      <c r="V3377" s="2"/>
      <c r="W3377" s="2"/>
    </row>
    <row r="3378" spans="1:23" ht="12.5" x14ac:dyDescent="0.25">
      <c r="A3378" s="2" t="s">
        <v>5700</v>
      </c>
      <c r="B3378" s="2">
        <v>108</v>
      </c>
      <c r="C3378" s="2">
        <v>2961991</v>
      </c>
      <c r="D3378" s="2" t="s">
        <v>555</v>
      </c>
      <c r="E3378" s="2" t="s">
        <v>5701</v>
      </c>
      <c r="F3378" s="2" t="s">
        <v>14</v>
      </c>
      <c r="G3378" s="2" t="s">
        <v>15</v>
      </c>
      <c r="H3378" s="2">
        <v>3300000</v>
      </c>
      <c r="I3378" s="2">
        <v>6.9</v>
      </c>
      <c r="J3378" s="2">
        <f t="shared" si="26"/>
        <v>-338009</v>
      </c>
      <c r="K3378" s="2">
        <f t="shared" si="27"/>
        <v>1.626767824747706E-2</v>
      </c>
      <c r="L3378" s="2" t="str">
        <f>IF(ISNUMBER(SEARCH("|",IMDB_Movies!$D3378)),LEFT(IMDB_Movies!$D3378,SEARCH("|",IMDB_Movies!$D3378)-1),IMDB_Movies!$D3378)</f>
        <v>Biography</v>
      </c>
      <c r="V3378" s="2"/>
      <c r="W3378" s="2"/>
    </row>
    <row r="3379" spans="1:23" ht="12.5" x14ac:dyDescent="0.25">
      <c r="A3379" s="2" t="s">
        <v>304</v>
      </c>
      <c r="B3379" s="2">
        <v>94</v>
      </c>
      <c r="C3379" s="2">
        <v>2912363</v>
      </c>
      <c r="D3379" s="2" t="s">
        <v>694</v>
      </c>
      <c r="E3379" s="2" t="s">
        <v>5702</v>
      </c>
      <c r="F3379" s="2" t="s">
        <v>5703</v>
      </c>
      <c r="G3379" s="2" t="s">
        <v>22</v>
      </c>
      <c r="H3379" s="2">
        <v>3000000</v>
      </c>
      <c r="I3379" s="2">
        <v>7.3</v>
      </c>
      <c r="J3379" s="2">
        <f t="shared" si="26"/>
        <v>-87637</v>
      </c>
      <c r="K3379" s="2">
        <f t="shared" si="27"/>
        <v>1.6260131136583391E-2</v>
      </c>
      <c r="L3379" s="2" t="str">
        <f>IF(ISNUMBER(SEARCH("|",IMDB_Movies!$D3379)),LEFT(IMDB_Movies!$D3379,SEARCH("|",IMDB_Movies!$D3379)-1),IMDB_Movies!$D3379)</f>
        <v>Crime</v>
      </c>
      <c r="V3379" s="2"/>
      <c r="W3379" s="2"/>
    </row>
    <row r="3380" spans="1:23" ht="12.5" x14ac:dyDescent="0.25">
      <c r="A3380" s="2" t="s">
        <v>5704</v>
      </c>
      <c r="B3380" s="2">
        <v>134</v>
      </c>
      <c r="C3380" s="2">
        <v>3000000</v>
      </c>
      <c r="D3380" s="2" t="s">
        <v>891</v>
      </c>
      <c r="E3380" s="2" t="s">
        <v>5705</v>
      </c>
      <c r="F3380" s="2" t="s">
        <v>14</v>
      </c>
      <c r="G3380" s="2" t="s">
        <v>15</v>
      </c>
      <c r="H3380" s="2">
        <v>3000000</v>
      </c>
      <c r="I3380" s="2">
        <v>7.8</v>
      </c>
      <c r="J3380" s="2">
        <f t="shared" si="26"/>
        <v>0</v>
      </c>
      <c r="K3380" s="2">
        <f t="shared" si="27"/>
        <v>1.6249188352757477E-2</v>
      </c>
      <c r="L3380" s="2" t="str">
        <f>IF(ISNUMBER(SEARCH("|",IMDB_Movies!$D3380)),LEFT(IMDB_Movies!$D3380,SEARCH("|",IMDB_Movies!$D3380)-1),IMDB_Movies!$D3380)</f>
        <v>Comedy</v>
      </c>
      <c r="V3380" s="2"/>
      <c r="W3380" s="2"/>
    </row>
    <row r="3381" spans="1:23" ht="12.5" x14ac:dyDescent="0.25">
      <c r="A3381" s="2" t="s">
        <v>3282</v>
      </c>
      <c r="B3381" s="2">
        <v>89</v>
      </c>
      <c r="C3381" s="2">
        <v>2223990</v>
      </c>
      <c r="D3381" s="2" t="s">
        <v>5324</v>
      </c>
      <c r="E3381" s="2" t="s">
        <v>5706</v>
      </c>
      <c r="F3381" s="2" t="s">
        <v>14</v>
      </c>
      <c r="G3381" s="2" t="s">
        <v>15</v>
      </c>
      <c r="H3381" s="2">
        <v>3000000</v>
      </c>
      <c r="I3381" s="2">
        <v>6.6</v>
      </c>
      <c r="J3381" s="2">
        <f t="shared" si="26"/>
        <v>-776010</v>
      </c>
      <c r="K3381" s="2">
        <f t="shared" si="27"/>
        <v>1.6238400860518226E-2</v>
      </c>
      <c r="L3381" s="2" t="str">
        <f>IF(ISNUMBER(SEARCH("|",IMDB_Movies!$D3381)),LEFT(IMDB_Movies!$D3381,SEARCH("|",IMDB_Movies!$D3381)-1),IMDB_Movies!$D3381)</f>
        <v>Comedy</v>
      </c>
      <c r="V3381" s="2"/>
      <c r="W3381" s="2"/>
    </row>
    <row r="3382" spans="1:23" ht="12.5" x14ac:dyDescent="0.25">
      <c r="A3382" s="2" t="s">
        <v>2378</v>
      </c>
      <c r="B3382" s="2">
        <v>102</v>
      </c>
      <c r="C3382" s="2">
        <v>1821983</v>
      </c>
      <c r="D3382" s="2" t="s">
        <v>5707</v>
      </c>
      <c r="E3382" s="2" t="s">
        <v>5708</v>
      </c>
      <c r="F3382" s="2" t="s">
        <v>14</v>
      </c>
      <c r="G3382" s="2" t="s">
        <v>15</v>
      </c>
      <c r="H3382" s="2">
        <v>3000000</v>
      </c>
      <c r="I3382" s="2">
        <v>5.4</v>
      </c>
      <c r="J3382" s="2">
        <f t="shared" si="26"/>
        <v>-1178017</v>
      </c>
      <c r="K3382" s="2">
        <f t="shared" si="27"/>
        <v>1.6225721160937293E-2</v>
      </c>
      <c r="L3382" s="2" t="str">
        <f>IF(ISNUMBER(SEARCH("|",IMDB_Movies!$D3382)),LEFT(IMDB_Movies!$D3382,SEARCH("|",IMDB_Movies!$D3382)-1),IMDB_Movies!$D3382)</f>
        <v>Comedy</v>
      </c>
      <c r="V3382" s="2"/>
      <c r="W3382" s="2"/>
    </row>
    <row r="3383" spans="1:23" ht="12.5" x14ac:dyDescent="0.25">
      <c r="A3383" s="2" t="s">
        <v>4538</v>
      </c>
      <c r="B3383" s="2">
        <v>120</v>
      </c>
      <c r="C3383" s="2">
        <v>2181290</v>
      </c>
      <c r="D3383" s="2" t="s">
        <v>690</v>
      </c>
      <c r="E3383" s="2" t="s">
        <v>5709</v>
      </c>
      <c r="F3383" s="2" t="s">
        <v>4432</v>
      </c>
      <c r="G3383" s="2" t="s">
        <v>2305</v>
      </c>
      <c r="H3383" s="2">
        <v>3000000</v>
      </c>
      <c r="I3383" s="2">
        <v>8.4</v>
      </c>
      <c r="J3383" s="2">
        <f t="shared" si="26"/>
        <v>-818710</v>
      </c>
      <c r="K3383" s="2">
        <f t="shared" si="27"/>
        <v>1.6212048402878942E-2</v>
      </c>
      <c r="L3383" s="2" t="str">
        <f>IF(ISNUMBER(SEARCH("|",IMDB_Movies!$D3383)),LEFT(IMDB_Movies!$D3383,SEARCH("|",IMDB_Movies!$D3383)-1),IMDB_Movies!$D3383)</f>
        <v>Drama</v>
      </c>
      <c r="V3383" s="2"/>
      <c r="W3383" s="2"/>
    </row>
    <row r="3384" spans="1:23" ht="12.5" x14ac:dyDescent="0.25">
      <c r="A3384" s="2" t="s">
        <v>5710</v>
      </c>
      <c r="B3384" s="2">
        <v>110</v>
      </c>
      <c r="C3384" s="2">
        <v>2848578</v>
      </c>
      <c r="D3384" s="2" t="s">
        <v>2383</v>
      </c>
      <c r="E3384" s="2" t="s">
        <v>5711</v>
      </c>
      <c r="F3384" s="2" t="s">
        <v>14</v>
      </c>
      <c r="G3384" s="2" t="s">
        <v>15</v>
      </c>
      <c r="H3384" s="2">
        <v>3500000</v>
      </c>
      <c r="I3384" s="2">
        <v>6.3</v>
      </c>
      <c r="J3384" s="2">
        <f t="shared" si="26"/>
        <v>-651422</v>
      </c>
      <c r="K3384" s="2">
        <f t="shared" si="27"/>
        <v>1.6199136701023652E-2</v>
      </c>
      <c r="L3384" s="2" t="str">
        <f>IF(ISNUMBER(SEARCH("|",IMDB_Movies!$D3384)),LEFT(IMDB_Movies!$D3384,SEARCH("|",IMDB_Movies!$D3384)-1),IMDB_Movies!$D3384)</f>
        <v>Drama</v>
      </c>
      <c r="V3384" s="2"/>
      <c r="W3384" s="2"/>
    </row>
    <row r="3385" spans="1:23" ht="12.5" x14ac:dyDescent="0.25">
      <c r="A3385" s="2" t="s">
        <v>5712</v>
      </c>
      <c r="B3385" s="2">
        <v>86</v>
      </c>
      <c r="C3385" s="2">
        <v>703002</v>
      </c>
      <c r="D3385" s="2" t="s">
        <v>616</v>
      </c>
      <c r="E3385" s="2" t="s">
        <v>5713</v>
      </c>
      <c r="F3385" s="2" t="s">
        <v>14</v>
      </c>
      <c r="G3385" s="2" t="s">
        <v>104</v>
      </c>
      <c r="H3385" s="2">
        <v>3000000</v>
      </c>
      <c r="I3385" s="2">
        <v>6.1</v>
      </c>
      <c r="J3385" s="2">
        <f t="shared" si="26"/>
        <v>-2296998</v>
      </c>
      <c r="K3385" s="2">
        <f t="shared" si="27"/>
        <v>1.6193370361195232E-2</v>
      </c>
      <c r="L3385" s="2" t="str">
        <f>IF(ISNUMBER(SEARCH("|",IMDB_Movies!$D3385)),LEFT(IMDB_Movies!$D3385,SEARCH("|",IMDB_Movies!$D3385)-1),IMDB_Movies!$D3385)</f>
        <v>Action</v>
      </c>
      <c r="V3385" s="2"/>
      <c r="W3385" s="2"/>
    </row>
    <row r="3386" spans="1:23" ht="12.5" x14ac:dyDescent="0.25">
      <c r="A3386" s="2" t="s">
        <v>5714</v>
      </c>
      <c r="B3386" s="2">
        <v>101</v>
      </c>
      <c r="C3386" s="2">
        <v>3105269</v>
      </c>
      <c r="D3386" s="2" t="s">
        <v>768</v>
      </c>
      <c r="E3386" s="2" t="s">
        <v>5715</v>
      </c>
      <c r="F3386" s="2" t="s">
        <v>14</v>
      </c>
      <c r="G3386" s="2" t="s">
        <v>3657</v>
      </c>
      <c r="H3386" s="2">
        <v>3000000</v>
      </c>
      <c r="I3386" s="2">
        <v>5</v>
      </c>
      <c r="J3386" s="2">
        <f t="shared" si="26"/>
        <v>105269</v>
      </c>
      <c r="K3386" s="2">
        <f t="shared" si="27"/>
        <v>1.61770039838579E-2</v>
      </c>
      <c r="L3386" s="2" t="str">
        <f>IF(ISNUMBER(SEARCH("|",IMDB_Movies!$D3386)),LEFT(IMDB_Movies!$D3386,SEARCH("|",IMDB_Movies!$D3386)-1),IMDB_Movies!$D3386)</f>
        <v>Action</v>
      </c>
      <c r="V3386" s="2"/>
      <c r="W3386" s="2"/>
    </row>
    <row r="3387" spans="1:23" ht="12.5" x14ac:dyDescent="0.25">
      <c r="A3387" s="2" t="s">
        <v>5716</v>
      </c>
      <c r="B3387" s="2">
        <v>87</v>
      </c>
      <c r="C3387" s="2">
        <v>418268</v>
      </c>
      <c r="D3387" s="2" t="s">
        <v>600</v>
      </c>
      <c r="E3387" s="2" t="s">
        <v>5717</v>
      </c>
      <c r="F3387" s="2" t="s">
        <v>14</v>
      </c>
      <c r="G3387" s="2" t="s">
        <v>15</v>
      </c>
      <c r="H3387" s="2">
        <v>3000000</v>
      </c>
      <c r="I3387" s="2">
        <v>5.3</v>
      </c>
      <c r="J3387" s="2">
        <f t="shared" si="26"/>
        <v>-2581732</v>
      </c>
      <c r="K3387" s="2">
        <f t="shared" si="27"/>
        <v>1.6166121211288121E-2</v>
      </c>
      <c r="L3387" s="2" t="str">
        <f>IF(ISNUMBER(SEARCH("|",IMDB_Movies!$D3387)),LEFT(IMDB_Movies!$D3387,SEARCH("|",IMDB_Movies!$D3387)-1),IMDB_Movies!$D3387)</f>
        <v>Comedy</v>
      </c>
      <c r="V3387" s="2"/>
      <c r="W3387" s="2"/>
    </row>
    <row r="3388" spans="1:23" ht="12.5" x14ac:dyDescent="0.25">
      <c r="A3388" s="2" t="s">
        <v>5718</v>
      </c>
      <c r="B3388" s="2">
        <v>93</v>
      </c>
      <c r="C3388" s="2">
        <v>200803</v>
      </c>
      <c r="D3388" s="2" t="s">
        <v>709</v>
      </c>
      <c r="E3388" s="2" t="s">
        <v>5719</v>
      </c>
      <c r="F3388" s="2" t="s">
        <v>14</v>
      </c>
      <c r="G3388" s="2" t="s">
        <v>15</v>
      </c>
      <c r="H3388" s="2">
        <v>3000000</v>
      </c>
      <c r="I3388" s="2">
        <v>5.3</v>
      </c>
      <c r="J3388" s="2">
        <f t="shared" si="26"/>
        <v>-2799197</v>
      </c>
      <c r="K3388" s="2">
        <f t="shared" si="27"/>
        <v>1.6148977401417158E-2</v>
      </c>
      <c r="L3388" s="2" t="str">
        <f>IF(ISNUMBER(SEARCH("|",IMDB_Movies!$D3388)),LEFT(IMDB_Movies!$D3388,SEARCH("|",IMDB_Movies!$D3388)-1),IMDB_Movies!$D3388)</f>
        <v>Comedy</v>
      </c>
      <c r="V3388" s="2"/>
      <c r="W3388" s="2"/>
    </row>
    <row r="3389" spans="1:23" ht="12.5" x14ac:dyDescent="0.25">
      <c r="A3389" s="2" t="s">
        <v>4552</v>
      </c>
      <c r="B3389" s="2">
        <v>98</v>
      </c>
      <c r="C3389" s="2">
        <v>95016</v>
      </c>
      <c r="D3389" s="2" t="s">
        <v>1537</v>
      </c>
      <c r="E3389" s="2" t="s">
        <v>5720</v>
      </c>
      <c r="F3389" s="2" t="s">
        <v>3713</v>
      </c>
      <c r="G3389" s="2" t="s">
        <v>287</v>
      </c>
      <c r="H3389" s="2">
        <v>2700000</v>
      </c>
      <c r="I3389" s="2">
        <v>7.4</v>
      </c>
      <c r="J3389" s="2">
        <f t="shared" si="26"/>
        <v>-2604984</v>
      </c>
      <c r="K3389" s="2">
        <f t="shared" si="27"/>
        <v>1.6131273799110883E-2</v>
      </c>
      <c r="L3389" s="2" t="str">
        <f>IF(ISNUMBER(SEARCH("|",IMDB_Movies!$D3389)),LEFT(IMDB_Movies!$D3389,SEARCH("|",IMDB_Movies!$D3389)-1),IMDB_Movies!$D3389)</f>
        <v>Comedy</v>
      </c>
      <c r="V3389" s="2"/>
      <c r="W3389" s="2"/>
    </row>
    <row r="3390" spans="1:23" ht="12.5" x14ac:dyDescent="0.25">
      <c r="A3390" s="2" t="s">
        <v>5721</v>
      </c>
      <c r="B3390" s="2">
        <v>100</v>
      </c>
      <c r="C3390" s="2">
        <v>73678</v>
      </c>
      <c r="D3390" s="2" t="s">
        <v>706</v>
      </c>
      <c r="E3390" s="2" t="s">
        <v>5722</v>
      </c>
      <c r="F3390" s="2" t="s">
        <v>14</v>
      </c>
      <c r="G3390" s="2" t="s">
        <v>15</v>
      </c>
      <c r="H3390" s="2">
        <v>3000000</v>
      </c>
      <c r="I3390" s="2">
        <v>5.9</v>
      </c>
      <c r="J3390" s="2">
        <f t="shared" si="26"/>
        <v>-2926322</v>
      </c>
      <c r="K3390" s="2">
        <f t="shared" si="27"/>
        <v>1.6107651670324675E-2</v>
      </c>
      <c r="L3390" s="2" t="str">
        <f>IF(ISNUMBER(SEARCH("|",IMDB_Movies!$D3390)),LEFT(IMDB_Movies!$D3390,SEARCH("|",IMDB_Movies!$D3390)-1),IMDB_Movies!$D3390)</f>
        <v>Drama</v>
      </c>
      <c r="V3390" s="2"/>
      <c r="W3390" s="2"/>
    </row>
    <row r="3391" spans="1:23" ht="12.5" x14ac:dyDescent="0.25">
      <c r="A3391" s="2" t="s">
        <v>5723</v>
      </c>
      <c r="B3391" s="2">
        <v>88</v>
      </c>
      <c r="C3391" s="2">
        <v>143000</v>
      </c>
      <c r="D3391" s="2" t="s">
        <v>2228</v>
      </c>
      <c r="E3391" s="2" t="s">
        <v>5724</v>
      </c>
      <c r="F3391" s="2" t="s">
        <v>14</v>
      </c>
      <c r="G3391" s="2" t="s">
        <v>15</v>
      </c>
      <c r="H3391" s="2">
        <v>5000000</v>
      </c>
      <c r="I3391" s="2">
        <v>4.0999999999999996</v>
      </c>
      <c r="J3391" s="2">
        <f t="shared" si="26"/>
        <v>-4857000</v>
      </c>
      <c r="K3391" s="2">
        <f t="shared" si="27"/>
        <v>1.6089469152288718E-2</v>
      </c>
      <c r="L3391" s="2" t="str">
        <f>IF(ISNUMBER(SEARCH("|",IMDB_Movies!$D3391)),LEFT(IMDB_Movies!$D3391,SEARCH("|",IMDB_Movies!$D3391)-1),IMDB_Movies!$D3391)</f>
        <v>Horror</v>
      </c>
      <c r="V3391" s="2"/>
      <c r="W3391" s="2"/>
    </row>
    <row r="3392" spans="1:23" ht="12.5" x14ac:dyDescent="0.25">
      <c r="A3392" s="2" t="s">
        <v>5725</v>
      </c>
      <c r="B3392" s="2">
        <v>97</v>
      </c>
      <c r="C3392" s="2">
        <v>39852</v>
      </c>
      <c r="D3392" s="2" t="s">
        <v>891</v>
      </c>
      <c r="E3392" s="2" t="s">
        <v>5726</v>
      </c>
      <c r="F3392" s="2" t="s">
        <v>14</v>
      </c>
      <c r="G3392" s="2" t="s">
        <v>15</v>
      </c>
      <c r="H3392" s="2">
        <v>3000000</v>
      </c>
      <c r="I3392" s="2">
        <v>6.7</v>
      </c>
      <c r="J3392" s="2">
        <f t="shared" si="26"/>
        <v>-2960148</v>
      </c>
      <c r="K3392" s="2">
        <f t="shared" si="27"/>
        <v>1.6108640089920495E-2</v>
      </c>
      <c r="L3392" s="2" t="str">
        <f>IF(ISNUMBER(SEARCH("|",IMDB_Movies!$D3392)),LEFT(IMDB_Movies!$D3392,SEARCH("|",IMDB_Movies!$D3392)-1),IMDB_Movies!$D3392)</f>
        <v>Comedy</v>
      </c>
      <c r="V3392" s="2"/>
      <c r="W3392" s="2"/>
    </row>
    <row r="3393" spans="1:23" ht="12.5" x14ac:dyDescent="0.25">
      <c r="A3393" s="2" t="s">
        <v>3864</v>
      </c>
      <c r="B3393" s="2">
        <v>122</v>
      </c>
      <c r="C3393" s="2">
        <v>22000</v>
      </c>
      <c r="D3393" s="2" t="s">
        <v>942</v>
      </c>
      <c r="E3393" s="2" t="s">
        <v>5727</v>
      </c>
      <c r="F3393" s="2" t="s">
        <v>14</v>
      </c>
      <c r="G3393" s="2" t="s">
        <v>287</v>
      </c>
      <c r="H3393" s="2">
        <v>3000000</v>
      </c>
      <c r="I3393" s="2">
        <v>5.8</v>
      </c>
      <c r="J3393" s="2">
        <f t="shared" si="26"/>
        <v>-2978000</v>
      </c>
      <c r="K3393" s="2">
        <f t="shared" si="27"/>
        <v>1.6090291154934433E-2</v>
      </c>
      <c r="L3393" s="2" t="str">
        <f>IF(ISNUMBER(SEARCH("|",IMDB_Movies!$D3393)),LEFT(IMDB_Movies!$D3393,SEARCH("|",IMDB_Movies!$D3393)-1),IMDB_Movies!$D3393)</f>
        <v>Drama</v>
      </c>
      <c r="V3393" s="2"/>
      <c r="W3393" s="2"/>
    </row>
    <row r="3394" spans="1:23" ht="12.5" x14ac:dyDescent="0.25">
      <c r="A3394" s="2" t="s">
        <v>5728</v>
      </c>
      <c r="B3394" s="2">
        <v>96</v>
      </c>
      <c r="C3394" s="2">
        <v>5005</v>
      </c>
      <c r="D3394" s="2" t="s">
        <v>1180</v>
      </c>
      <c r="E3394" s="2" t="s">
        <v>5729</v>
      </c>
      <c r="F3394" s="2" t="s">
        <v>14</v>
      </c>
      <c r="G3394" s="2" t="s">
        <v>15</v>
      </c>
      <c r="H3394" s="2">
        <v>3000000</v>
      </c>
      <c r="I3394" s="2">
        <v>5.9</v>
      </c>
      <c r="J3394" s="2">
        <f t="shared" si="26"/>
        <v>-2994995</v>
      </c>
      <c r="K3394" s="2">
        <f t="shared" si="27"/>
        <v>1.6071804651643914E-2</v>
      </c>
      <c r="L3394" s="2" t="str">
        <f>IF(ISNUMBER(SEARCH("|",IMDB_Movies!$D3394)),LEFT(IMDB_Movies!$D3394,SEARCH("|",IMDB_Movies!$D3394)-1),IMDB_Movies!$D3394)</f>
        <v>Drama</v>
      </c>
      <c r="V3394" s="2"/>
      <c r="W3394" s="2"/>
    </row>
    <row r="3395" spans="1:23" ht="12.5" x14ac:dyDescent="0.25">
      <c r="A3395" s="2" t="s">
        <v>1506</v>
      </c>
      <c r="B3395" s="2">
        <v>113</v>
      </c>
      <c r="C3395" s="2">
        <v>5595428</v>
      </c>
      <c r="D3395" s="2" t="s">
        <v>1180</v>
      </c>
      <c r="E3395" s="2" t="s">
        <v>5730</v>
      </c>
      <c r="F3395" s="2" t="s">
        <v>5153</v>
      </c>
      <c r="G3395" s="2" t="s">
        <v>5154</v>
      </c>
      <c r="H3395" s="2">
        <v>2900000</v>
      </c>
      <c r="I3395" s="2">
        <v>8</v>
      </c>
      <c r="J3395" s="2">
        <f t="shared" si="26"/>
        <v>2695428</v>
      </c>
      <c r="K3395" s="2">
        <f t="shared" si="27"/>
        <v>1.605318129187502E-2</v>
      </c>
      <c r="L3395" s="2" t="str">
        <f>IF(ISNUMBER(SEARCH("|",IMDB_Movies!$D3395)),LEFT(IMDB_Movies!$D3395,SEARCH("|",IMDB_Movies!$D3395)-1),IMDB_Movies!$D3395)</f>
        <v>Drama</v>
      </c>
      <c r="V3395" s="2"/>
      <c r="W3395" s="2"/>
    </row>
    <row r="3396" spans="1:23" ht="12.5" x14ac:dyDescent="0.25">
      <c r="A3396" s="2" t="s">
        <v>5731</v>
      </c>
      <c r="B3396" s="2">
        <v>105</v>
      </c>
      <c r="C3396" s="2">
        <v>3123749</v>
      </c>
      <c r="D3396" s="2" t="s">
        <v>600</v>
      </c>
      <c r="E3396" s="2" t="s">
        <v>5732</v>
      </c>
      <c r="F3396" s="2" t="s">
        <v>14</v>
      </c>
      <c r="G3396" s="2" t="s">
        <v>15</v>
      </c>
      <c r="H3396" s="2">
        <v>1500000</v>
      </c>
      <c r="I3396" s="2">
        <v>6.5</v>
      </c>
      <c r="J3396" s="2">
        <f t="shared" si="26"/>
        <v>1623749</v>
      </c>
      <c r="K3396" s="2">
        <f t="shared" si="27"/>
        <v>1.6047768488671298E-2</v>
      </c>
      <c r="L3396" s="2" t="str">
        <f>IF(ISNUMBER(SEARCH("|",IMDB_Movies!$D3396)),LEFT(IMDB_Movies!$D3396,SEARCH("|",IMDB_Movies!$D3396)-1),IMDB_Movies!$D3396)</f>
        <v>Comedy</v>
      </c>
      <c r="V3396" s="2"/>
      <c r="W3396" s="2"/>
    </row>
    <row r="3397" spans="1:23" ht="12.5" x14ac:dyDescent="0.25">
      <c r="A3397" s="2" t="s">
        <v>5733</v>
      </c>
      <c r="B3397" s="2">
        <v>93</v>
      </c>
      <c r="C3397" s="2">
        <v>100675</v>
      </c>
      <c r="D3397" s="2" t="s">
        <v>2943</v>
      </c>
      <c r="E3397" s="2" t="s">
        <v>5734</v>
      </c>
      <c r="F3397" s="2" t="s">
        <v>14</v>
      </c>
      <c r="G3397" s="2" t="s">
        <v>15</v>
      </c>
      <c r="H3397" s="2">
        <v>3000000</v>
      </c>
      <c r="I3397" s="2">
        <v>6.4</v>
      </c>
      <c r="J3397" s="2">
        <f t="shared" si="26"/>
        <v>-2899325</v>
      </c>
      <c r="K3397" s="2">
        <f t="shared" si="27"/>
        <v>1.6019726511750033E-2</v>
      </c>
      <c r="L3397" s="2" t="str">
        <f>IF(ISNUMBER(SEARCH("|",IMDB_Movies!$D3397)),LEFT(IMDB_Movies!$D3397,SEARCH("|",IMDB_Movies!$D3397)-1),IMDB_Movies!$D3397)</f>
        <v>Documentary</v>
      </c>
      <c r="V3397" s="2"/>
      <c r="W3397" s="2"/>
    </row>
    <row r="3398" spans="1:23" ht="12.5" x14ac:dyDescent="0.25">
      <c r="A3398" s="2" t="s">
        <v>2483</v>
      </c>
      <c r="B3398" s="2">
        <v>89</v>
      </c>
      <c r="C3398" s="2">
        <v>3645438</v>
      </c>
      <c r="D3398" s="2" t="s">
        <v>2148</v>
      </c>
      <c r="E3398" s="2" t="s">
        <v>5735</v>
      </c>
      <c r="F3398" s="2" t="s">
        <v>1006</v>
      </c>
      <c r="G3398" s="2" t="s">
        <v>686</v>
      </c>
      <c r="H3398" s="2">
        <v>2200000</v>
      </c>
      <c r="I3398" s="2">
        <v>6.8</v>
      </c>
      <c r="J3398" s="2">
        <f t="shared" si="26"/>
        <v>1445438</v>
      </c>
      <c r="K3398" s="2">
        <f t="shared" si="27"/>
        <v>1.6000980788613908E-2</v>
      </c>
      <c r="L3398" s="2" t="str">
        <f>IF(ISNUMBER(SEARCH("|",IMDB_Movies!$D3398)),LEFT(IMDB_Movies!$D3398,SEARCH("|",IMDB_Movies!$D3398)-1),IMDB_Movies!$D3398)</f>
        <v>Horror</v>
      </c>
      <c r="V3398" s="2"/>
      <c r="W3398" s="2"/>
    </row>
    <row r="3399" spans="1:23" ht="12.5" x14ac:dyDescent="0.25">
      <c r="A3399" s="2" t="s">
        <v>4166</v>
      </c>
      <c r="B3399" s="2">
        <v>116</v>
      </c>
      <c r="C3399" s="2">
        <v>22201636</v>
      </c>
      <c r="D3399" s="2" t="s">
        <v>1882</v>
      </c>
      <c r="E3399" s="2" t="s">
        <v>5736</v>
      </c>
      <c r="F3399" s="2" t="s">
        <v>14</v>
      </c>
      <c r="G3399" s="2" t="s">
        <v>15</v>
      </c>
      <c r="H3399" s="2">
        <v>8000000</v>
      </c>
      <c r="I3399" s="2">
        <v>7.4</v>
      </c>
      <c r="J3399" s="2">
        <f t="shared" si="26"/>
        <v>14201636</v>
      </c>
      <c r="K3399" s="2">
        <f t="shared" si="27"/>
        <v>1.5982826873921292E-2</v>
      </c>
      <c r="L3399" s="2" t="str">
        <f>IF(ISNUMBER(SEARCH("|",IMDB_Movies!$D3399)),LEFT(IMDB_Movies!$D3399,SEARCH("|",IMDB_Movies!$D3399)-1),IMDB_Movies!$D3399)</f>
        <v>Crime</v>
      </c>
      <c r="V3399" s="2"/>
      <c r="W3399" s="2"/>
    </row>
    <row r="3400" spans="1:23" ht="12.5" x14ac:dyDescent="0.25">
      <c r="A3400" s="2" t="s">
        <v>5737</v>
      </c>
      <c r="B3400" s="2">
        <v>120</v>
      </c>
      <c r="C3400" s="2">
        <v>25000000</v>
      </c>
      <c r="D3400" s="2" t="s">
        <v>3891</v>
      </c>
      <c r="E3400" s="2" t="s">
        <v>5738</v>
      </c>
      <c r="F3400" s="2" t="s">
        <v>14</v>
      </c>
      <c r="G3400" s="2" t="s">
        <v>15</v>
      </c>
      <c r="H3400" s="2">
        <v>2883848</v>
      </c>
      <c r="I3400" s="2">
        <v>8.3000000000000007</v>
      </c>
      <c r="J3400" s="2">
        <f t="shared" si="26"/>
        <v>22116152</v>
      </c>
      <c r="K3400" s="2">
        <f t="shared" si="27"/>
        <v>1.5844914774778458E-2</v>
      </c>
      <c r="L3400" s="2" t="str">
        <f>IF(ISNUMBER(SEARCH("|",IMDB_Movies!$D3400)),LEFT(IMDB_Movies!$D3400,SEARCH("|",IMDB_Movies!$D3400)-1),IMDB_Movies!$D3400)</f>
        <v>Comedy</v>
      </c>
      <c r="V3400" s="2"/>
      <c r="W3400" s="2"/>
    </row>
    <row r="3401" spans="1:23" ht="12.5" x14ac:dyDescent="0.25">
      <c r="A3401" s="2" t="s">
        <v>5739</v>
      </c>
      <c r="B3401" s="2">
        <v>88</v>
      </c>
      <c r="C3401" s="2">
        <v>19170001</v>
      </c>
      <c r="D3401" s="2" t="s">
        <v>2148</v>
      </c>
      <c r="E3401" s="2" t="s">
        <v>5740</v>
      </c>
      <c r="F3401" s="2" t="s">
        <v>14</v>
      </c>
      <c r="G3401" s="2" t="s">
        <v>15</v>
      </c>
      <c r="H3401" s="2">
        <v>2800000</v>
      </c>
      <c r="I3401" s="2">
        <v>5.3</v>
      </c>
      <c r="J3401" s="2">
        <f t="shared" si="26"/>
        <v>16370001</v>
      </c>
      <c r="K3401" s="2">
        <f t="shared" si="27"/>
        <v>1.592007827182753E-2</v>
      </c>
      <c r="L3401" s="2" t="str">
        <f>IF(ISNUMBER(SEARCH("|",IMDB_Movies!$D3401)),LEFT(IMDB_Movies!$D3401,SEARCH("|",IMDB_Movies!$D3401)-1),IMDB_Movies!$D3401)</f>
        <v>Horror</v>
      </c>
      <c r="V3401" s="2"/>
      <c r="W3401" s="2"/>
    </row>
    <row r="3402" spans="1:23" ht="12.5" x14ac:dyDescent="0.25">
      <c r="A3402" s="2" t="s">
        <v>5578</v>
      </c>
      <c r="B3402" s="2">
        <v>102</v>
      </c>
      <c r="C3402" s="2">
        <v>22202612</v>
      </c>
      <c r="D3402" s="2" t="s">
        <v>3187</v>
      </c>
      <c r="E3402" s="2" t="s">
        <v>5741</v>
      </c>
      <c r="F3402" s="2" t="s">
        <v>14</v>
      </c>
      <c r="G3402" s="2" t="s">
        <v>15</v>
      </c>
      <c r="H3402" s="2">
        <v>2800000</v>
      </c>
      <c r="I3402" s="2">
        <v>8.1</v>
      </c>
      <c r="J3402" s="2">
        <f t="shared" si="26"/>
        <v>19402612</v>
      </c>
      <c r="K3402" s="2">
        <f t="shared" si="27"/>
        <v>1.596967905442305E-2</v>
      </c>
      <c r="L3402" s="2" t="str">
        <f>IF(ISNUMBER(SEARCH("|",IMDB_Movies!$D3402)),LEFT(IMDB_Movies!$D3402,SEARCH("|",IMDB_Movies!$D3402)-1),IMDB_Movies!$D3402)</f>
        <v>Adventure</v>
      </c>
      <c r="V3402" s="2"/>
      <c r="W3402" s="2"/>
    </row>
    <row r="3403" spans="1:23" ht="12.5" x14ac:dyDescent="0.25">
      <c r="A3403" s="2" t="s">
        <v>3343</v>
      </c>
      <c r="B3403" s="2">
        <v>106</v>
      </c>
      <c r="C3403" s="2">
        <v>86300000</v>
      </c>
      <c r="D3403" s="2" t="s">
        <v>709</v>
      </c>
      <c r="E3403" s="2" t="s">
        <v>5742</v>
      </c>
      <c r="F3403" s="2" t="s">
        <v>14</v>
      </c>
      <c r="G3403" s="2" t="s">
        <v>15</v>
      </c>
      <c r="H3403" s="2">
        <v>2800000</v>
      </c>
      <c r="I3403" s="2">
        <v>8</v>
      </c>
      <c r="J3403" s="2">
        <f t="shared" si="26"/>
        <v>83500000</v>
      </c>
      <c r="K3403" s="2">
        <f t="shared" si="27"/>
        <v>1.6034807350974557E-2</v>
      </c>
      <c r="L3403" s="2" t="str">
        <f>IF(ISNUMBER(SEARCH("|",IMDB_Movies!$D3403)),LEFT(IMDB_Movies!$D3403,SEARCH("|",IMDB_Movies!$D3403)-1),IMDB_Movies!$D3403)</f>
        <v>Comedy</v>
      </c>
      <c r="V3403" s="2"/>
      <c r="W3403" s="2"/>
    </row>
    <row r="3404" spans="1:23" ht="12.5" x14ac:dyDescent="0.25">
      <c r="A3404" s="2" t="s">
        <v>3749</v>
      </c>
      <c r="B3404" s="2">
        <v>95</v>
      </c>
      <c r="C3404" s="2">
        <v>952620</v>
      </c>
      <c r="D3404" s="2" t="s">
        <v>2148</v>
      </c>
      <c r="E3404" s="2" t="s">
        <v>5743</v>
      </c>
      <c r="F3404" s="2" t="s">
        <v>14</v>
      </c>
      <c r="G3404" s="2" t="s">
        <v>15</v>
      </c>
      <c r="H3404" s="2">
        <v>2000000</v>
      </c>
      <c r="I3404" s="2">
        <v>5.7</v>
      </c>
      <c r="J3404" s="2">
        <f t="shared" si="26"/>
        <v>-1047380</v>
      </c>
      <c r="K3404" s="2">
        <f t="shared" si="27"/>
        <v>1.6678677160172257E-2</v>
      </c>
      <c r="L3404" s="2" t="str">
        <f>IF(ISNUMBER(SEARCH("|",IMDB_Movies!$D3404)),LEFT(IMDB_Movies!$D3404,SEARCH("|",IMDB_Movies!$D3404)-1),IMDB_Movies!$D3404)</f>
        <v>Horror</v>
      </c>
      <c r="V3404" s="2"/>
      <c r="W3404" s="2"/>
    </row>
    <row r="3405" spans="1:23" ht="12.5" x14ac:dyDescent="0.25">
      <c r="A3405" s="2" t="s">
        <v>5744</v>
      </c>
      <c r="B3405" s="2">
        <v>113</v>
      </c>
      <c r="C3405" s="2">
        <v>9054736</v>
      </c>
      <c r="D3405" s="2" t="s">
        <v>1180</v>
      </c>
      <c r="E3405" s="2" t="s">
        <v>5745</v>
      </c>
      <c r="F3405" s="2" t="s">
        <v>14</v>
      </c>
      <c r="G3405" s="2" t="s">
        <v>15</v>
      </c>
      <c r="H3405" s="2">
        <v>2700000</v>
      </c>
      <c r="I3405" s="2">
        <v>7.1</v>
      </c>
      <c r="J3405" s="2">
        <f t="shared" si="26"/>
        <v>6354736</v>
      </c>
      <c r="K3405" s="2">
        <f t="shared" si="27"/>
        <v>1.6645850205570571E-2</v>
      </c>
      <c r="L3405" s="2" t="str">
        <f>IF(ISNUMBER(SEARCH("|",IMDB_Movies!$D3405)),LEFT(IMDB_Movies!$D3405,SEARCH("|",IMDB_Movies!$D3405)-1),IMDB_Movies!$D3405)</f>
        <v>Drama</v>
      </c>
      <c r="V3405" s="2"/>
      <c r="W3405" s="2"/>
    </row>
    <row r="3406" spans="1:23" ht="12.5" x14ac:dyDescent="0.25">
      <c r="A3406" s="2" t="s">
        <v>3343</v>
      </c>
      <c r="B3406" s="2">
        <v>93</v>
      </c>
      <c r="C3406" s="2">
        <v>119500000</v>
      </c>
      <c r="D3406" s="2" t="s">
        <v>2206</v>
      </c>
      <c r="E3406" s="2" t="s">
        <v>5746</v>
      </c>
      <c r="F3406" s="2" t="s">
        <v>14</v>
      </c>
      <c r="G3406" s="2" t="s">
        <v>15</v>
      </c>
      <c r="H3406" s="2">
        <v>2600000</v>
      </c>
      <c r="I3406" s="2">
        <v>7.8</v>
      </c>
      <c r="J3406" s="2">
        <f t="shared" si="26"/>
        <v>116900000</v>
      </c>
      <c r="K3406" s="2">
        <f t="shared" si="27"/>
        <v>1.6654044663716464E-2</v>
      </c>
      <c r="L3406" s="2" t="str">
        <f>IF(ISNUMBER(SEARCH("|",IMDB_Movies!$D3406)),LEFT(IMDB_Movies!$D3406,SEARCH("|",IMDB_Movies!$D3406)-1),IMDB_Movies!$D3406)</f>
        <v>Comedy</v>
      </c>
      <c r="V3406" s="2"/>
      <c r="W3406" s="2"/>
    </row>
    <row r="3407" spans="1:23" ht="12.5" x14ac:dyDescent="0.25">
      <c r="A3407" s="2" t="s">
        <v>5747</v>
      </c>
      <c r="B3407" s="2">
        <v>97</v>
      </c>
      <c r="C3407" s="2">
        <v>32600000</v>
      </c>
      <c r="D3407" s="2" t="s">
        <v>2228</v>
      </c>
      <c r="E3407" s="2" t="s">
        <v>5748</v>
      </c>
      <c r="F3407" s="2" t="s">
        <v>14</v>
      </c>
      <c r="G3407" s="2" t="s">
        <v>15</v>
      </c>
      <c r="H3407" s="2">
        <v>1800000</v>
      </c>
      <c r="I3407" s="2">
        <v>5.9</v>
      </c>
      <c r="J3407" s="2">
        <f t="shared" si="26"/>
        <v>30800000</v>
      </c>
      <c r="K3407" s="2">
        <f t="shared" si="27"/>
        <v>1.7964866958960095E-2</v>
      </c>
      <c r="L3407" s="2" t="str">
        <f>IF(ISNUMBER(SEARCH("|",IMDB_Movies!$D3407)),LEFT(IMDB_Movies!$D3407,SEARCH("|",IMDB_Movies!$D3407)-1),IMDB_Movies!$D3407)</f>
        <v>Horror</v>
      </c>
      <c r="V3407" s="2"/>
      <c r="W3407" s="2"/>
    </row>
    <row r="3408" spans="1:23" ht="12.5" x14ac:dyDescent="0.25">
      <c r="A3408" s="2" t="s">
        <v>4003</v>
      </c>
      <c r="B3408" s="2">
        <v>140</v>
      </c>
      <c r="C3408" s="2">
        <v>3130592</v>
      </c>
      <c r="D3408" s="2" t="s">
        <v>85</v>
      </c>
      <c r="E3408" s="2" t="s">
        <v>5749</v>
      </c>
      <c r="F3408" s="2" t="s">
        <v>14</v>
      </c>
      <c r="G3408" s="2" t="s">
        <v>22</v>
      </c>
      <c r="H3408" s="2">
        <v>2600000</v>
      </c>
      <c r="I3408" s="2">
        <v>7.8</v>
      </c>
      <c r="J3408" s="2">
        <f t="shared" si="26"/>
        <v>530592</v>
      </c>
      <c r="K3408" s="2">
        <f t="shared" si="27"/>
        <v>1.8185881651515502E-2</v>
      </c>
      <c r="L3408" s="2" t="str">
        <f>IF(ISNUMBER(SEARCH("|",IMDB_Movies!$D3408)),LEFT(IMDB_Movies!$D3408,SEARCH("|",IMDB_Movies!$D3408)-1),IMDB_Movies!$D3408)</f>
        <v>Drama</v>
      </c>
      <c r="V3408" s="2"/>
      <c r="W3408" s="2"/>
    </row>
    <row r="3409" spans="1:23" ht="12.5" x14ac:dyDescent="0.25">
      <c r="A3409" s="2" t="s">
        <v>5750</v>
      </c>
      <c r="B3409" s="2">
        <v>86</v>
      </c>
      <c r="C3409" s="2">
        <v>475000</v>
      </c>
      <c r="D3409" s="2" t="s">
        <v>1350</v>
      </c>
      <c r="E3409" s="2" t="s">
        <v>5751</v>
      </c>
      <c r="F3409" s="2" t="s">
        <v>14</v>
      </c>
      <c r="G3409" s="2" t="s">
        <v>15</v>
      </c>
      <c r="H3409" s="2">
        <v>2800000</v>
      </c>
      <c r="I3409" s="2">
        <v>6</v>
      </c>
      <c r="J3409" s="2">
        <f t="shared" si="26"/>
        <v>-2325000</v>
      </c>
      <c r="K3409" s="2">
        <f t="shared" si="27"/>
        <v>1.8171118277751939E-2</v>
      </c>
      <c r="L3409" s="2" t="str">
        <f>IF(ISNUMBER(SEARCH("|",IMDB_Movies!$D3409)),LEFT(IMDB_Movies!$D3409,SEARCH("|",IMDB_Movies!$D3409)-1),IMDB_Movies!$D3409)</f>
        <v>Comedy</v>
      </c>
      <c r="V3409" s="2"/>
      <c r="W3409" s="2"/>
    </row>
    <row r="3410" spans="1:23" ht="12.5" x14ac:dyDescent="0.25">
      <c r="A3410" s="2" t="s">
        <v>5752</v>
      </c>
      <c r="B3410" s="2">
        <v>66</v>
      </c>
      <c r="C3410" s="2">
        <v>38108</v>
      </c>
      <c r="D3410" s="2" t="s">
        <v>1467</v>
      </c>
      <c r="E3410" s="2" t="s">
        <v>5753</v>
      </c>
      <c r="F3410" s="2" t="s">
        <v>971</v>
      </c>
      <c r="G3410" s="2" t="s">
        <v>1239</v>
      </c>
      <c r="H3410" s="2">
        <v>2600000</v>
      </c>
      <c r="I3410" s="2">
        <v>7.2</v>
      </c>
      <c r="J3410" s="2">
        <f t="shared" si="26"/>
        <v>-2561892</v>
      </c>
      <c r="K3410" s="2">
        <f t="shared" si="27"/>
        <v>1.8149818192024724E-2</v>
      </c>
      <c r="L3410" s="2" t="str">
        <f>IF(ISNUMBER(SEARCH("|",IMDB_Movies!$D3410)),LEFT(IMDB_Movies!$D3410,SEARCH("|",IMDB_Movies!$D3410)-1),IMDB_Movies!$D3410)</f>
        <v>Horror</v>
      </c>
      <c r="V3410" s="2"/>
      <c r="W3410" s="2"/>
    </row>
    <row r="3411" spans="1:23" ht="12.5" x14ac:dyDescent="0.25">
      <c r="A3411" s="2" t="s">
        <v>5391</v>
      </c>
      <c r="B3411" s="2">
        <v>86</v>
      </c>
      <c r="C3411" s="2">
        <v>40041683</v>
      </c>
      <c r="D3411" s="2" t="s">
        <v>975</v>
      </c>
      <c r="E3411" s="2" t="s">
        <v>5754</v>
      </c>
      <c r="F3411" s="2" t="s">
        <v>14</v>
      </c>
      <c r="G3411" s="2" t="s">
        <v>15</v>
      </c>
      <c r="H3411" s="2">
        <v>2500000</v>
      </c>
      <c r="I3411" s="2">
        <v>5.0999999999999996</v>
      </c>
      <c r="J3411" s="2">
        <f t="shared" si="26"/>
        <v>37541683</v>
      </c>
      <c r="K3411" s="2">
        <f t="shared" si="27"/>
        <v>1.8123340284405886E-2</v>
      </c>
      <c r="L3411" s="2" t="str">
        <f>IF(ISNUMBER(SEARCH("|",IMDB_Movies!$D3411)),LEFT(IMDB_Movies!$D3411,SEARCH("|",IMDB_Movies!$D3411)-1),IMDB_Movies!$D3411)</f>
        <v>Comedy</v>
      </c>
      <c r="V3411" s="2"/>
      <c r="W3411" s="2"/>
    </row>
    <row r="3412" spans="1:23" ht="12.5" x14ac:dyDescent="0.25">
      <c r="A3412" s="2" t="s">
        <v>5755</v>
      </c>
      <c r="B3412" s="2">
        <v>87</v>
      </c>
      <c r="C3412" s="2">
        <v>33349949</v>
      </c>
      <c r="D3412" s="2" t="s">
        <v>2943</v>
      </c>
      <c r="E3412" s="2" t="s">
        <v>5756</v>
      </c>
      <c r="F3412" s="2" t="s">
        <v>14</v>
      </c>
      <c r="G3412" s="2" t="s">
        <v>15</v>
      </c>
      <c r="H3412" s="2">
        <v>2500000</v>
      </c>
      <c r="I3412" s="2">
        <v>5.0999999999999996</v>
      </c>
      <c r="J3412" s="2">
        <f t="shared" si="26"/>
        <v>30849949</v>
      </c>
      <c r="K3412" s="2">
        <f t="shared" si="27"/>
        <v>1.8363744349652052E-2</v>
      </c>
      <c r="L3412" s="2" t="str">
        <f>IF(ISNUMBER(SEARCH("|",IMDB_Movies!$D3412)),LEFT(IMDB_Movies!$D3412,SEARCH("|",IMDB_Movies!$D3412)-1),IMDB_Movies!$D3412)</f>
        <v>Documentary</v>
      </c>
      <c r="V3412" s="2"/>
      <c r="W3412" s="2"/>
    </row>
    <row r="3413" spans="1:23" ht="12.5" x14ac:dyDescent="0.25">
      <c r="A3413" s="2" t="s">
        <v>2777</v>
      </c>
      <c r="B3413" s="2">
        <v>149</v>
      </c>
      <c r="C3413" s="2">
        <v>25809813</v>
      </c>
      <c r="D3413" s="2" t="s">
        <v>2912</v>
      </c>
      <c r="E3413" s="2" t="s">
        <v>5757</v>
      </c>
      <c r="F3413" s="2" t="s">
        <v>14</v>
      </c>
      <c r="G3413" s="2" t="s">
        <v>15</v>
      </c>
      <c r="H3413" s="2">
        <v>26000000</v>
      </c>
      <c r="I3413" s="2">
        <v>6.9</v>
      </c>
      <c r="J3413" s="2">
        <f t="shared" si="26"/>
        <v>-190187</v>
      </c>
      <c r="K3413" s="2">
        <f t="shared" si="27"/>
        <v>1.8545433693784207E-2</v>
      </c>
      <c r="L3413" s="2" t="str">
        <f>IF(ISNUMBER(SEARCH("|",IMDB_Movies!$D3413)),LEFT(IMDB_Movies!$D3413,SEARCH("|",IMDB_Movies!$D3413)-1),IMDB_Movies!$D3413)</f>
        <v>Comedy</v>
      </c>
      <c r="V3413" s="2"/>
      <c r="W3413" s="2"/>
    </row>
    <row r="3414" spans="1:23" ht="12.5" x14ac:dyDescent="0.25">
      <c r="A3414" s="2" t="s">
        <v>5758</v>
      </c>
      <c r="B3414" s="2">
        <v>98</v>
      </c>
      <c r="C3414" s="2">
        <v>14400000</v>
      </c>
      <c r="D3414" s="2" t="s">
        <v>2351</v>
      </c>
      <c r="E3414" s="2" t="s">
        <v>5759</v>
      </c>
      <c r="F3414" s="2" t="s">
        <v>14</v>
      </c>
      <c r="G3414" s="2" t="s">
        <v>15</v>
      </c>
      <c r="H3414" s="2">
        <v>2500000</v>
      </c>
      <c r="I3414" s="2">
        <v>4.5999999999999996</v>
      </c>
      <c r="J3414" s="2">
        <f t="shared" si="26"/>
        <v>11900000</v>
      </c>
      <c r="K3414" s="2">
        <f t="shared" si="27"/>
        <v>1.7376957158033314E-2</v>
      </c>
      <c r="L3414" s="2" t="str">
        <f>IF(ISNUMBER(SEARCH("|",IMDB_Movies!$D3414)),LEFT(IMDB_Movies!$D3414,SEARCH("|",IMDB_Movies!$D3414)-1),IMDB_Movies!$D3414)</f>
        <v>Horror</v>
      </c>
      <c r="V3414" s="2"/>
      <c r="W3414" s="2"/>
    </row>
    <row r="3415" spans="1:23" ht="12.5" x14ac:dyDescent="0.25">
      <c r="A3415" s="2" t="s">
        <v>5760</v>
      </c>
      <c r="B3415" s="2">
        <v>75</v>
      </c>
      <c r="C3415" s="2">
        <v>32230907</v>
      </c>
      <c r="D3415" s="2" t="s">
        <v>5324</v>
      </c>
      <c r="E3415" s="2" t="s">
        <v>5761</v>
      </c>
      <c r="F3415" s="2" t="s">
        <v>14</v>
      </c>
      <c r="G3415" s="2" t="s">
        <v>15</v>
      </c>
      <c r="H3415" s="2">
        <v>2500000</v>
      </c>
      <c r="I3415" s="2">
        <v>6.7</v>
      </c>
      <c r="J3415" s="2">
        <f t="shared" si="26"/>
        <v>29730907</v>
      </c>
      <c r="K3415" s="2">
        <f t="shared" si="27"/>
        <v>1.7418285669573645E-2</v>
      </c>
      <c r="L3415" s="2" t="str">
        <f>IF(ISNUMBER(SEARCH("|",IMDB_Movies!$D3415)),LEFT(IMDB_Movies!$D3415,SEARCH("|",IMDB_Movies!$D3415)-1),IMDB_Movies!$D3415)</f>
        <v>Comedy</v>
      </c>
      <c r="V3415" s="2"/>
      <c r="W3415" s="2"/>
    </row>
    <row r="3416" spans="1:23" ht="12.5" x14ac:dyDescent="0.25">
      <c r="A3416" s="2" t="s">
        <v>2035</v>
      </c>
      <c r="B3416" s="2">
        <v>104</v>
      </c>
      <c r="C3416" s="2">
        <v>6401336</v>
      </c>
      <c r="D3416" s="2" t="s">
        <v>1180</v>
      </c>
      <c r="E3416" s="2" t="s">
        <v>5762</v>
      </c>
      <c r="F3416" s="2" t="s">
        <v>14</v>
      </c>
      <c r="G3416" s="2" t="s">
        <v>15</v>
      </c>
      <c r="H3416" s="2">
        <v>2500000</v>
      </c>
      <c r="I3416" s="2">
        <v>7.1</v>
      </c>
      <c r="J3416" s="2">
        <f t="shared" si="26"/>
        <v>3901336</v>
      </c>
      <c r="K3416" s="2">
        <f t="shared" si="27"/>
        <v>1.758630512368093E-2</v>
      </c>
      <c r="L3416" s="2" t="str">
        <f>IF(ISNUMBER(SEARCH("|",IMDB_Movies!$D3416)),LEFT(IMDB_Movies!$D3416,SEARCH("|",IMDB_Movies!$D3416)-1),IMDB_Movies!$D3416)</f>
        <v>Drama</v>
      </c>
      <c r="V3416" s="2"/>
      <c r="W3416" s="2"/>
    </row>
    <row r="3417" spans="1:23" ht="12.5" x14ac:dyDescent="0.25">
      <c r="A3417" s="2" t="s">
        <v>5249</v>
      </c>
      <c r="B3417" s="2">
        <v>102</v>
      </c>
      <c r="C3417" s="2">
        <v>26781723</v>
      </c>
      <c r="D3417" s="2" t="s">
        <v>514</v>
      </c>
      <c r="E3417" s="2" t="s">
        <v>5763</v>
      </c>
      <c r="F3417" s="2" t="s">
        <v>14</v>
      </c>
      <c r="G3417" s="2" t="s">
        <v>15</v>
      </c>
      <c r="H3417" s="2">
        <v>2500000</v>
      </c>
      <c r="I3417" s="2">
        <v>7.6</v>
      </c>
      <c r="J3417" s="2">
        <f t="shared" si="26"/>
        <v>24281723</v>
      </c>
      <c r="K3417" s="2">
        <f t="shared" si="27"/>
        <v>1.7586320958196011E-2</v>
      </c>
      <c r="L3417" s="2" t="str">
        <f>IF(ISNUMBER(SEARCH("|",IMDB_Movies!$D3417)),LEFT(IMDB_Movies!$D3417,SEARCH("|",IMDB_Movies!$D3417)-1),IMDB_Movies!$D3417)</f>
        <v>Comedy</v>
      </c>
      <c r="V3417" s="2"/>
      <c r="W3417" s="2"/>
    </row>
    <row r="3418" spans="1:23" ht="12.5" x14ac:dyDescent="0.25">
      <c r="A3418" s="2" t="s">
        <v>2991</v>
      </c>
      <c r="B3418" s="2">
        <v>105</v>
      </c>
      <c r="C3418" s="2">
        <v>5400000</v>
      </c>
      <c r="D3418" s="2" t="s">
        <v>85</v>
      </c>
      <c r="E3418" s="2" t="s">
        <v>5764</v>
      </c>
      <c r="F3418" s="2" t="s">
        <v>14</v>
      </c>
      <c r="G3418" s="2" t="s">
        <v>15</v>
      </c>
      <c r="H3418" s="2">
        <v>2500000</v>
      </c>
      <c r="I3418" s="2">
        <v>8.1</v>
      </c>
      <c r="J3418" s="2">
        <f t="shared" si="26"/>
        <v>2900000</v>
      </c>
      <c r="K3418" s="2">
        <f t="shared" si="27"/>
        <v>1.771254307700491E-2</v>
      </c>
      <c r="L3418" s="2" t="str">
        <f>IF(ISNUMBER(SEARCH("|",IMDB_Movies!$D3418)),LEFT(IMDB_Movies!$D3418,SEARCH("|",IMDB_Movies!$D3418)-1),IMDB_Movies!$D3418)</f>
        <v>Drama</v>
      </c>
      <c r="V3418" s="2"/>
      <c r="W3418" s="2"/>
    </row>
    <row r="3419" spans="1:23" ht="12.5" x14ac:dyDescent="0.25">
      <c r="A3419" s="2" t="s">
        <v>5765</v>
      </c>
      <c r="B3419" s="2">
        <v>107</v>
      </c>
      <c r="C3419" s="2">
        <v>1282084</v>
      </c>
      <c r="D3419" s="2" t="s">
        <v>1180</v>
      </c>
      <c r="E3419" s="2" t="s">
        <v>5766</v>
      </c>
      <c r="F3419" s="2" t="s">
        <v>14</v>
      </c>
      <c r="G3419" s="2" t="s">
        <v>15</v>
      </c>
      <c r="H3419" s="2">
        <v>2500000</v>
      </c>
      <c r="I3419" s="2">
        <v>7</v>
      </c>
      <c r="J3419" s="2">
        <f t="shared" si="26"/>
        <v>-1217916</v>
      </c>
      <c r="K3419" s="2">
        <f t="shared" si="27"/>
        <v>1.7708141766905473E-2</v>
      </c>
      <c r="L3419" s="2" t="str">
        <f>IF(ISNUMBER(SEARCH("|",IMDB_Movies!$D3419)),LEFT(IMDB_Movies!$D3419,SEARCH("|",IMDB_Movies!$D3419)-1),IMDB_Movies!$D3419)</f>
        <v>Drama</v>
      </c>
      <c r="V3419" s="2"/>
      <c r="W3419" s="2"/>
    </row>
    <row r="3420" spans="1:23" ht="12.5" x14ac:dyDescent="0.25">
      <c r="A3420" s="2" t="s">
        <v>4491</v>
      </c>
      <c r="B3420" s="2">
        <v>89</v>
      </c>
      <c r="C3420" s="2">
        <v>3325638</v>
      </c>
      <c r="D3420" s="2" t="s">
        <v>5767</v>
      </c>
      <c r="E3420" s="2" t="s">
        <v>5768</v>
      </c>
      <c r="F3420" s="2" t="s">
        <v>14</v>
      </c>
      <c r="G3420" s="2" t="s">
        <v>15</v>
      </c>
      <c r="H3420" s="2">
        <v>2500000</v>
      </c>
      <c r="I3420" s="2">
        <v>7.1</v>
      </c>
      <c r="J3420" s="2">
        <f t="shared" si="26"/>
        <v>825638</v>
      </c>
      <c r="K3420" s="2">
        <f t="shared" si="27"/>
        <v>1.7685952777652426E-2</v>
      </c>
      <c r="L3420" s="2" t="str">
        <f>IF(ISNUMBER(SEARCH("|",IMDB_Movies!$D3420)),LEFT(IMDB_Movies!$D3420,SEARCH("|",IMDB_Movies!$D3420)-1),IMDB_Movies!$D3420)</f>
        <v>Comedy</v>
      </c>
      <c r="V3420" s="2"/>
      <c r="W3420" s="2"/>
    </row>
    <row r="3421" spans="1:23" ht="12.5" x14ac:dyDescent="0.25">
      <c r="A3421" s="2" t="s">
        <v>5769</v>
      </c>
      <c r="B3421" s="2">
        <v>106</v>
      </c>
      <c r="C3421" s="2">
        <v>395592</v>
      </c>
      <c r="D3421" s="2" t="s">
        <v>85</v>
      </c>
      <c r="E3421" s="2" t="s">
        <v>5770</v>
      </c>
      <c r="F3421" s="2" t="s">
        <v>14</v>
      </c>
      <c r="G3421" s="2" t="s">
        <v>1239</v>
      </c>
      <c r="H3421" s="2">
        <v>2000000</v>
      </c>
      <c r="I3421" s="2">
        <v>7.6</v>
      </c>
      <c r="J3421" s="2">
        <f t="shared" si="26"/>
        <v>-1604408</v>
      </c>
      <c r="K3421" s="2">
        <f t="shared" si="27"/>
        <v>1.7672171217724311E-2</v>
      </c>
      <c r="L3421" s="2" t="str">
        <f>IF(ISNUMBER(SEARCH("|",IMDB_Movies!$D3421)),LEFT(IMDB_Movies!$D3421,SEARCH("|",IMDB_Movies!$D3421)-1),IMDB_Movies!$D3421)</f>
        <v>Drama</v>
      </c>
      <c r="V3421" s="2"/>
      <c r="W3421" s="2"/>
    </row>
    <row r="3422" spans="1:23" ht="12.5" x14ac:dyDescent="0.25">
      <c r="A3422" s="2" t="s">
        <v>5771</v>
      </c>
      <c r="B3422" s="2">
        <v>95</v>
      </c>
      <c r="C3422" s="2">
        <v>6851969</v>
      </c>
      <c r="D3422" s="2" t="s">
        <v>514</v>
      </c>
      <c r="E3422" s="2" t="s">
        <v>5772</v>
      </c>
      <c r="F3422" s="2" t="s">
        <v>14</v>
      </c>
      <c r="G3422" s="2" t="s">
        <v>15</v>
      </c>
      <c r="H3422" s="2">
        <v>2500000</v>
      </c>
      <c r="I3422" s="2">
        <v>7.1</v>
      </c>
      <c r="J3422" s="2">
        <f t="shared" si="26"/>
        <v>4351969</v>
      </c>
      <c r="K3422" s="2">
        <f t="shared" si="27"/>
        <v>1.7637662647138966E-2</v>
      </c>
      <c r="L3422" s="2" t="str">
        <f>IF(ISNUMBER(SEARCH("|",IMDB_Movies!$D3422)),LEFT(IMDB_Movies!$D3422,SEARCH("|",IMDB_Movies!$D3422)-1),IMDB_Movies!$D3422)</f>
        <v>Comedy</v>
      </c>
      <c r="V3422" s="2"/>
      <c r="W3422" s="2"/>
    </row>
    <row r="3423" spans="1:23" ht="12.5" x14ac:dyDescent="0.25">
      <c r="A3423" s="2" t="s">
        <v>5415</v>
      </c>
      <c r="B3423" s="2">
        <v>34</v>
      </c>
      <c r="C3423" s="2">
        <v>333658</v>
      </c>
      <c r="D3423" s="2" t="s">
        <v>5773</v>
      </c>
      <c r="E3423" s="2" t="s">
        <v>5774</v>
      </c>
      <c r="F3423" s="2" t="s">
        <v>14</v>
      </c>
      <c r="G3423" s="2" t="s">
        <v>15</v>
      </c>
      <c r="H3423" s="2">
        <v>34000</v>
      </c>
      <c r="I3423" s="2">
        <v>7.1</v>
      </c>
      <c r="J3423" s="2">
        <f t="shared" si="26"/>
        <v>299658</v>
      </c>
      <c r="K3423" s="2">
        <f t="shared" si="27"/>
        <v>1.7639923058287994E-2</v>
      </c>
      <c r="L3423" s="2" t="str">
        <f>IF(ISNUMBER(SEARCH("|",IMDB_Movies!$D3423)),LEFT(IMDB_Movies!$D3423,SEARCH("|",IMDB_Movies!$D3423)-1),IMDB_Movies!$D3423)</f>
        <v>Comedy</v>
      </c>
      <c r="V3423" s="2"/>
      <c r="W3423" s="2"/>
    </row>
    <row r="3424" spans="1:23" ht="12.5" x14ac:dyDescent="0.25">
      <c r="A3424" s="2" t="s">
        <v>1286</v>
      </c>
      <c r="B3424" s="2">
        <v>101</v>
      </c>
      <c r="C3424" s="2">
        <v>12995673</v>
      </c>
      <c r="D3424" s="2" t="s">
        <v>5775</v>
      </c>
      <c r="E3424" s="2" t="s">
        <v>5776</v>
      </c>
      <c r="F3424" s="2" t="s">
        <v>14</v>
      </c>
      <c r="G3424" s="2" t="s">
        <v>15</v>
      </c>
      <c r="H3424" s="2">
        <v>2500000</v>
      </c>
      <c r="I3424" s="2">
        <v>7.7</v>
      </c>
      <c r="J3424" s="2">
        <f t="shared" si="26"/>
        <v>10495673</v>
      </c>
      <c r="K3424" s="2">
        <f t="shared" si="27"/>
        <v>1.7570725916021313E-2</v>
      </c>
      <c r="L3424" s="2" t="str">
        <f>IF(ISNUMBER(SEARCH("|",IMDB_Movies!$D3424)),LEFT(IMDB_Movies!$D3424,SEARCH("|",IMDB_Movies!$D3424)-1),IMDB_Movies!$D3424)</f>
        <v>Comedy</v>
      </c>
      <c r="V3424" s="2"/>
      <c r="W3424" s="2"/>
    </row>
    <row r="3425" spans="1:23" ht="12.5" x14ac:dyDescent="0.25">
      <c r="A3425" s="2" t="s">
        <v>5777</v>
      </c>
      <c r="B3425" s="2">
        <v>112</v>
      </c>
      <c r="C3425" s="2">
        <v>173783</v>
      </c>
      <c r="D3425" s="2" t="s">
        <v>2943</v>
      </c>
      <c r="E3425" s="2" t="s">
        <v>5778</v>
      </c>
      <c r="F3425" s="2" t="s">
        <v>14</v>
      </c>
      <c r="G3425" s="2" t="s">
        <v>15</v>
      </c>
      <c r="H3425" s="2">
        <v>2500000</v>
      </c>
      <c r="I3425" s="2">
        <v>7.6</v>
      </c>
      <c r="J3425" s="2">
        <f t="shared" si="26"/>
        <v>-2326217</v>
      </c>
      <c r="K3425" s="2">
        <f t="shared" si="27"/>
        <v>1.7605801094013562E-2</v>
      </c>
      <c r="L3425" s="2" t="str">
        <f>IF(ISNUMBER(SEARCH("|",IMDB_Movies!$D3425)),LEFT(IMDB_Movies!$D3425,SEARCH("|",IMDB_Movies!$D3425)-1),IMDB_Movies!$D3425)</f>
        <v>Documentary</v>
      </c>
      <c r="V3425" s="2"/>
      <c r="W3425" s="2"/>
    </row>
    <row r="3426" spans="1:23" ht="12.5" x14ac:dyDescent="0.25">
      <c r="A3426" s="2" t="s">
        <v>5779</v>
      </c>
      <c r="B3426" s="2">
        <v>100</v>
      </c>
      <c r="C3426" s="2">
        <v>118666</v>
      </c>
      <c r="D3426" s="2" t="s">
        <v>1180</v>
      </c>
      <c r="E3426" s="2" t="s">
        <v>5780</v>
      </c>
      <c r="F3426" s="2" t="s">
        <v>14</v>
      </c>
      <c r="G3426" s="2" t="s">
        <v>15</v>
      </c>
      <c r="H3426" s="2">
        <v>2500000</v>
      </c>
      <c r="I3426" s="2">
        <v>6.6</v>
      </c>
      <c r="J3426" s="2">
        <f t="shared" si="26"/>
        <v>-2381334</v>
      </c>
      <c r="K3426" s="2">
        <f t="shared" si="27"/>
        <v>1.7578447618789256E-2</v>
      </c>
      <c r="L3426" s="2" t="str">
        <f>IF(ISNUMBER(SEARCH("|",IMDB_Movies!$D3426)),LEFT(IMDB_Movies!$D3426,SEARCH("|",IMDB_Movies!$D3426)-1),IMDB_Movies!$D3426)</f>
        <v>Drama</v>
      </c>
      <c r="V3426" s="2"/>
      <c r="W3426" s="2"/>
    </row>
    <row r="3427" spans="1:23" ht="12.5" x14ac:dyDescent="0.25">
      <c r="A3427" s="2" t="s">
        <v>5781</v>
      </c>
      <c r="B3427" s="2">
        <v>100</v>
      </c>
      <c r="C3427" s="2">
        <v>71904</v>
      </c>
      <c r="D3427" s="2" t="s">
        <v>1357</v>
      </c>
      <c r="E3427" s="2" t="s">
        <v>5782</v>
      </c>
      <c r="F3427" s="2" t="s">
        <v>14</v>
      </c>
      <c r="G3427" s="2" t="s">
        <v>15</v>
      </c>
      <c r="H3427" s="2">
        <v>2500000</v>
      </c>
      <c r="I3427" s="2">
        <v>5.7</v>
      </c>
      <c r="J3427" s="2">
        <f t="shared" si="26"/>
        <v>-2428096</v>
      </c>
      <c r="K3427" s="2">
        <f t="shared" si="27"/>
        <v>1.7550715495458367E-2</v>
      </c>
      <c r="L3427" s="2" t="str">
        <f>IF(ISNUMBER(SEARCH("|",IMDB_Movies!$D3427)),LEFT(IMDB_Movies!$D3427,SEARCH("|",IMDB_Movies!$D3427)-1),IMDB_Movies!$D3427)</f>
        <v>Comedy</v>
      </c>
      <c r="V3427" s="2"/>
      <c r="W3427" s="2"/>
    </row>
    <row r="3428" spans="1:23" ht="12.5" x14ac:dyDescent="0.25">
      <c r="A3428" s="2" t="s">
        <v>5783</v>
      </c>
      <c r="B3428" s="2">
        <v>80</v>
      </c>
      <c r="C3428" s="2">
        <v>99851</v>
      </c>
      <c r="D3428" s="2" t="s">
        <v>2943</v>
      </c>
      <c r="E3428" s="2" t="s">
        <v>5784</v>
      </c>
      <c r="F3428" s="2" t="s">
        <v>14</v>
      </c>
      <c r="G3428" s="2" t="s">
        <v>15</v>
      </c>
      <c r="H3428" s="2">
        <v>2500000</v>
      </c>
      <c r="I3428" s="2">
        <v>7.1</v>
      </c>
      <c r="J3428" s="2">
        <f t="shared" si="26"/>
        <v>-2400149</v>
      </c>
      <c r="K3428" s="2">
        <f t="shared" si="27"/>
        <v>1.7522634777704927E-2</v>
      </c>
      <c r="L3428" s="2" t="str">
        <f>IF(ISNUMBER(SEARCH("|",IMDB_Movies!$D3428)),LEFT(IMDB_Movies!$D3428,SEARCH("|",IMDB_Movies!$D3428)-1),IMDB_Movies!$D3428)</f>
        <v>Documentary</v>
      </c>
      <c r="V3428" s="2"/>
      <c r="W3428" s="2"/>
    </row>
    <row r="3429" spans="1:23" ht="12.5" x14ac:dyDescent="0.25">
      <c r="A3429" s="2" t="s">
        <v>5785</v>
      </c>
      <c r="B3429" s="2">
        <v>106</v>
      </c>
      <c r="C3429" s="2">
        <v>115504</v>
      </c>
      <c r="D3429" s="2" t="s">
        <v>514</v>
      </c>
      <c r="E3429" s="2" t="s">
        <v>5786</v>
      </c>
      <c r="F3429" s="2" t="s">
        <v>14</v>
      </c>
      <c r="G3429" s="2" t="s">
        <v>22</v>
      </c>
      <c r="H3429" s="2">
        <v>14000000</v>
      </c>
      <c r="I3429" s="2">
        <v>6.2</v>
      </c>
      <c r="J3429" s="2">
        <f t="shared" si="26"/>
        <v>-13884496</v>
      </c>
      <c r="K3429" s="2">
        <f t="shared" si="27"/>
        <v>1.7494500019727015E-2</v>
      </c>
      <c r="L3429" s="2" t="str">
        <f>IF(ISNUMBER(SEARCH("|",IMDB_Movies!$D3429)),LEFT(IMDB_Movies!$D3429,SEARCH("|",IMDB_Movies!$D3429)-1),IMDB_Movies!$D3429)</f>
        <v>Comedy</v>
      </c>
      <c r="V3429" s="2"/>
      <c r="W3429" s="2"/>
    </row>
    <row r="3430" spans="1:23" ht="12.5" x14ac:dyDescent="0.25">
      <c r="A3430" s="2" t="s">
        <v>4227</v>
      </c>
      <c r="B3430" s="2">
        <v>103</v>
      </c>
      <c r="C3430" s="2">
        <v>5725</v>
      </c>
      <c r="D3430" s="2" t="s">
        <v>2228</v>
      </c>
      <c r="E3430" s="2" t="s">
        <v>5787</v>
      </c>
      <c r="F3430" s="2" t="s">
        <v>3713</v>
      </c>
      <c r="G3430" s="2" t="s">
        <v>287</v>
      </c>
      <c r="H3430" s="2">
        <v>8400000</v>
      </c>
      <c r="I3430" s="2">
        <v>6.1</v>
      </c>
      <c r="J3430" s="2">
        <f t="shared" si="26"/>
        <v>-8394275</v>
      </c>
      <c r="K3430" s="2">
        <f t="shared" si="27"/>
        <v>1.7676793587144374E-2</v>
      </c>
      <c r="L3430" s="2" t="str">
        <f>IF(ISNUMBER(SEARCH("|",IMDB_Movies!$D3430)),LEFT(IMDB_Movies!$D3430,SEARCH("|",IMDB_Movies!$D3430)-1),IMDB_Movies!$D3430)</f>
        <v>Horror</v>
      </c>
      <c r="V3430" s="2"/>
      <c r="W3430" s="2"/>
    </row>
    <row r="3431" spans="1:23" ht="12.5" x14ac:dyDescent="0.25">
      <c r="A3431" s="2" t="s">
        <v>5788</v>
      </c>
      <c r="B3431" s="2">
        <v>90</v>
      </c>
      <c r="C3431" s="2">
        <v>75727</v>
      </c>
      <c r="D3431" s="2" t="s">
        <v>5046</v>
      </c>
      <c r="E3431" s="2" t="s">
        <v>5789</v>
      </c>
      <c r="F3431" s="2" t="s">
        <v>971</v>
      </c>
      <c r="G3431" s="2" t="s">
        <v>15</v>
      </c>
      <c r="H3431" s="2">
        <v>2500000</v>
      </c>
      <c r="I3431" s="2">
        <v>5.9</v>
      </c>
      <c r="J3431" s="2">
        <f t="shared" si="26"/>
        <v>-2424273</v>
      </c>
      <c r="K3431" s="2">
        <f t="shared" si="27"/>
        <v>1.7758489939667953E-2</v>
      </c>
      <c r="L3431" s="2" t="str">
        <f>IF(ISNUMBER(SEARCH("|",IMDB_Movies!$D3431)),LEFT(IMDB_Movies!$D3431,SEARCH("|",IMDB_Movies!$D3431)-1),IMDB_Movies!$D3431)</f>
        <v>Drama</v>
      </c>
      <c r="V3431" s="2"/>
      <c r="W3431" s="2"/>
    </row>
    <row r="3432" spans="1:23" ht="12.5" x14ac:dyDescent="0.25">
      <c r="A3432" s="2" t="s">
        <v>248</v>
      </c>
      <c r="B3432" s="2">
        <v>96</v>
      </c>
      <c r="C3432" s="2">
        <v>322157</v>
      </c>
      <c r="D3432" s="2" t="s">
        <v>3003</v>
      </c>
      <c r="E3432" s="2" t="s">
        <v>5790</v>
      </c>
      <c r="F3432" s="2" t="s">
        <v>14</v>
      </c>
      <c r="G3432" s="2" t="s">
        <v>15</v>
      </c>
      <c r="H3432" s="2">
        <v>2500000</v>
      </c>
      <c r="I3432" s="2">
        <v>6.8</v>
      </c>
      <c r="J3432" s="2">
        <f t="shared" si="26"/>
        <v>-2177843</v>
      </c>
      <c r="K3432" s="2">
        <f t="shared" si="27"/>
        <v>1.7730705510375311E-2</v>
      </c>
      <c r="L3432" s="2" t="str">
        <f>IF(ISNUMBER(SEARCH("|",IMDB_Movies!$D3432)),LEFT(IMDB_Movies!$D3432,SEARCH("|",IMDB_Movies!$D3432)-1),IMDB_Movies!$D3432)</f>
        <v>Comedy</v>
      </c>
      <c r="V3432" s="2"/>
      <c r="W3432" s="2"/>
    </row>
    <row r="3433" spans="1:23" ht="12.5" x14ac:dyDescent="0.25">
      <c r="A3433" s="2" t="s">
        <v>1725</v>
      </c>
      <c r="B3433" s="2">
        <v>120</v>
      </c>
      <c r="C3433" s="2">
        <v>5731103</v>
      </c>
      <c r="D3433" s="2" t="s">
        <v>2182</v>
      </c>
      <c r="E3433" s="2" t="s">
        <v>5791</v>
      </c>
      <c r="F3433" s="2" t="s">
        <v>14</v>
      </c>
      <c r="G3433" s="2" t="s">
        <v>15</v>
      </c>
      <c r="H3433" s="2">
        <v>2400000</v>
      </c>
      <c r="I3433" s="2">
        <v>6.8</v>
      </c>
      <c r="J3433" s="2">
        <f t="shared" si="26"/>
        <v>3331103</v>
      </c>
      <c r="K3433" s="2">
        <f t="shared" si="27"/>
        <v>1.7703715983674102E-2</v>
      </c>
      <c r="L3433" s="2" t="str">
        <f>IF(ISNUMBER(SEARCH("|",IMDB_Movies!$D3433)),LEFT(IMDB_Movies!$D3433,SEARCH("|",IMDB_Movies!$D3433)-1),IMDB_Movies!$D3433)</f>
        <v>Drama</v>
      </c>
      <c r="V3433" s="2"/>
      <c r="W3433" s="2"/>
    </row>
    <row r="3434" spans="1:23" ht="12.5" x14ac:dyDescent="0.25">
      <c r="A3434" s="2" t="s">
        <v>5792</v>
      </c>
      <c r="B3434" s="2">
        <v>101</v>
      </c>
      <c r="C3434" s="2">
        <v>978908</v>
      </c>
      <c r="D3434" s="2" t="s">
        <v>2061</v>
      </c>
      <c r="E3434" s="2" t="s">
        <v>5793</v>
      </c>
      <c r="F3434" s="2" t="s">
        <v>14</v>
      </c>
      <c r="G3434" s="2" t="s">
        <v>5794</v>
      </c>
      <c r="H3434" s="2">
        <v>2400000</v>
      </c>
      <c r="I3434" s="2">
        <v>5.0999999999999996</v>
      </c>
      <c r="J3434" s="2">
        <f t="shared" si="26"/>
        <v>-1421092</v>
      </c>
      <c r="K3434" s="2">
        <f t="shared" si="27"/>
        <v>1.7699714957473259E-2</v>
      </c>
      <c r="L3434" s="2" t="str">
        <f>IF(ISNUMBER(SEARCH("|",IMDB_Movies!$D3434)),LEFT(IMDB_Movies!$D3434,SEARCH("|",IMDB_Movies!$D3434)-1),IMDB_Movies!$D3434)</f>
        <v>Drama</v>
      </c>
      <c r="V3434" s="2"/>
      <c r="W3434" s="2"/>
    </row>
    <row r="3435" spans="1:23" ht="12.5" x14ac:dyDescent="0.25">
      <c r="A3435" s="2" t="s">
        <v>5795</v>
      </c>
      <c r="B3435" s="2">
        <v>101</v>
      </c>
      <c r="C3435" s="2">
        <v>327919</v>
      </c>
      <c r="D3435" s="2" t="s">
        <v>694</v>
      </c>
      <c r="E3435" s="2" t="s">
        <v>5796</v>
      </c>
      <c r="F3435" s="2" t="s">
        <v>14</v>
      </c>
      <c r="G3435" s="2" t="s">
        <v>22</v>
      </c>
      <c r="H3435" s="2">
        <v>1500000</v>
      </c>
      <c r="I3435" s="2">
        <v>7.7</v>
      </c>
      <c r="J3435" s="2">
        <f t="shared" si="26"/>
        <v>-1172081</v>
      </c>
      <c r="K3435" s="2">
        <f t="shared" si="27"/>
        <v>1.7673491683172355E-2</v>
      </c>
      <c r="L3435" s="2" t="str">
        <f>IF(ISNUMBER(SEARCH("|",IMDB_Movies!$D3435)),LEFT(IMDB_Movies!$D3435,SEARCH("|",IMDB_Movies!$D3435)-1),IMDB_Movies!$D3435)</f>
        <v>Crime</v>
      </c>
      <c r="V3435" s="2"/>
      <c r="W3435" s="2"/>
    </row>
    <row r="3436" spans="1:23" ht="12.5" x14ac:dyDescent="0.25">
      <c r="A3436" s="2" t="s">
        <v>5797</v>
      </c>
      <c r="B3436" s="2">
        <v>105</v>
      </c>
      <c r="C3436" s="2">
        <v>178739</v>
      </c>
      <c r="D3436" s="2" t="s">
        <v>5474</v>
      </c>
      <c r="E3436" s="2" t="s">
        <v>5798</v>
      </c>
      <c r="F3436" s="2" t="s">
        <v>14</v>
      </c>
      <c r="G3436" s="2" t="s">
        <v>15</v>
      </c>
      <c r="H3436" s="2">
        <v>2450000</v>
      </c>
      <c r="I3436" s="2">
        <v>3.9</v>
      </c>
      <c r="J3436" s="2">
        <f t="shared" si="26"/>
        <v>-2271261</v>
      </c>
      <c r="K3436" s="2">
        <f t="shared" si="27"/>
        <v>1.7628246565728502E-2</v>
      </c>
      <c r="L3436" s="2" t="str">
        <f>IF(ISNUMBER(SEARCH("|",IMDB_Movies!$D3436)),LEFT(IMDB_Movies!$D3436,SEARCH("|",IMDB_Movies!$D3436)-1),IMDB_Movies!$D3436)</f>
        <v>Drama</v>
      </c>
      <c r="V3436" s="2"/>
      <c r="W3436" s="2"/>
    </row>
    <row r="3437" spans="1:23" ht="12.5" x14ac:dyDescent="0.25">
      <c r="A3437" s="2" t="s">
        <v>963</v>
      </c>
      <c r="B3437" s="2">
        <v>120</v>
      </c>
      <c r="C3437" s="2">
        <v>76400000</v>
      </c>
      <c r="D3437" s="2" t="s">
        <v>964</v>
      </c>
      <c r="E3437" s="2" t="s">
        <v>5799</v>
      </c>
      <c r="F3437" s="2" t="s">
        <v>14</v>
      </c>
      <c r="G3437" s="2" t="s">
        <v>15</v>
      </c>
      <c r="H3437" s="2">
        <v>2280000</v>
      </c>
      <c r="I3437" s="2">
        <v>7.8</v>
      </c>
      <c r="J3437" s="2">
        <f t="shared" si="26"/>
        <v>74120000</v>
      </c>
      <c r="K3437" s="2">
        <f t="shared" si="27"/>
        <v>1.759913176047468E-2</v>
      </c>
      <c r="L3437" s="2" t="str">
        <f>IF(ISNUMBER(SEARCH("|",IMDB_Movies!$D3437)),LEFT(IMDB_Movies!$D3437,SEARCH("|",IMDB_Movies!$D3437)-1),IMDB_Movies!$D3437)</f>
        <v>Animation</v>
      </c>
      <c r="V3437" s="2"/>
      <c r="W3437" s="2"/>
    </row>
    <row r="3438" spans="1:23" ht="12.5" x14ac:dyDescent="0.25">
      <c r="A3438" s="2" t="s">
        <v>2356</v>
      </c>
      <c r="B3438" s="2">
        <v>91</v>
      </c>
      <c r="C3438" s="2">
        <v>36200000</v>
      </c>
      <c r="D3438" s="2" t="s">
        <v>2228</v>
      </c>
      <c r="E3438" s="2" t="s">
        <v>5800</v>
      </c>
      <c r="F3438" s="2" t="s">
        <v>14</v>
      </c>
      <c r="G3438" s="2" t="s">
        <v>15</v>
      </c>
      <c r="H3438" s="2">
        <v>4000000</v>
      </c>
      <c r="I3438" s="2">
        <v>5.7</v>
      </c>
      <c r="J3438" s="2">
        <f t="shared" si="26"/>
        <v>32200000</v>
      </c>
      <c r="K3438" s="2">
        <f t="shared" si="27"/>
        <v>1.8357919312862077E-2</v>
      </c>
      <c r="L3438" s="2" t="str">
        <f>IF(ISNUMBER(SEARCH("|",IMDB_Movies!$D3438)),LEFT(IMDB_Movies!$D3438,SEARCH("|",IMDB_Movies!$D3438)-1),IMDB_Movies!$D3438)</f>
        <v>Horror</v>
      </c>
      <c r="V3438" s="2"/>
      <c r="W3438" s="2"/>
    </row>
    <row r="3439" spans="1:23" ht="12.5" x14ac:dyDescent="0.25">
      <c r="A3439" s="2" t="s">
        <v>5801</v>
      </c>
      <c r="B3439" s="2">
        <v>92</v>
      </c>
      <c r="C3439" s="2">
        <v>21300000</v>
      </c>
      <c r="D3439" s="2" t="s">
        <v>1050</v>
      </c>
      <c r="E3439" s="2" t="s">
        <v>5802</v>
      </c>
      <c r="F3439" s="2" t="s">
        <v>14</v>
      </c>
      <c r="G3439" s="2" t="s">
        <v>15</v>
      </c>
      <c r="H3439" s="2">
        <v>2200000</v>
      </c>
      <c r="I3439" s="2">
        <v>4.7</v>
      </c>
      <c r="J3439" s="2">
        <f t="shared" si="26"/>
        <v>19100000</v>
      </c>
      <c r="K3439" s="2">
        <f t="shared" si="27"/>
        <v>1.8446599764534562E-2</v>
      </c>
      <c r="L3439" s="2" t="str">
        <f>IF(ISNUMBER(SEARCH("|",IMDB_Movies!$D3439)),LEFT(IMDB_Movies!$D3439,SEARCH("|",IMDB_Movies!$D3439)-1),IMDB_Movies!$D3439)</f>
        <v>Horror</v>
      </c>
      <c r="V3439" s="2"/>
      <c r="W3439" s="2"/>
    </row>
    <row r="3440" spans="1:23" ht="12.5" x14ac:dyDescent="0.25">
      <c r="A3440" s="2" t="s">
        <v>5803</v>
      </c>
      <c r="B3440" s="2">
        <v>117</v>
      </c>
      <c r="C3440" s="2">
        <v>379643</v>
      </c>
      <c r="D3440" s="2" t="s">
        <v>1180</v>
      </c>
      <c r="E3440" s="2" t="s">
        <v>5804</v>
      </c>
      <c r="F3440" s="2" t="s">
        <v>14</v>
      </c>
      <c r="G3440" s="2" t="s">
        <v>15</v>
      </c>
      <c r="H3440" s="2">
        <v>2200000</v>
      </c>
      <c r="I3440" s="2">
        <v>5.9</v>
      </c>
      <c r="J3440" s="2">
        <f t="shared" si="26"/>
        <v>-1820357</v>
      </c>
      <c r="K3440" s="2">
        <f t="shared" si="27"/>
        <v>1.855357431385583E-2</v>
      </c>
      <c r="L3440" s="2" t="str">
        <f>IF(ISNUMBER(SEARCH("|",IMDB_Movies!$D3440)),LEFT(IMDB_Movies!$D3440,SEARCH("|",IMDB_Movies!$D3440)-1),IMDB_Movies!$D3440)</f>
        <v>Drama</v>
      </c>
      <c r="V3440" s="2"/>
      <c r="W3440" s="2"/>
    </row>
    <row r="3441" spans="1:23" ht="12.5" x14ac:dyDescent="0.25">
      <c r="A3441" s="2" t="s">
        <v>5805</v>
      </c>
      <c r="B3441" s="2">
        <v>120</v>
      </c>
      <c r="C3441" s="2">
        <v>12985267</v>
      </c>
      <c r="D3441" s="2" t="s">
        <v>1180</v>
      </c>
      <c r="E3441" s="2" t="s">
        <v>5806</v>
      </c>
      <c r="F3441" s="2" t="s">
        <v>14</v>
      </c>
      <c r="G3441" s="2" t="s">
        <v>15</v>
      </c>
      <c r="H3441" s="2">
        <v>2300000</v>
      </c>
      <c r="I3441" s="2">
        <v>5.9</v>
      </c>
      <c r="J3441" s="2">
        <f t="shared" si="26"/>
        <v>10685267</v>
      </c>
      <c r="K3441" s="2">
        <f t="shared" si="27"/>
        <v>1.8521461976469093E-2</v>
      </c>
      <c r="L3441" s="2" t="str">
        <f>IF(ISNUMBER(SEARCH("|",IMDB_Movies!$D3441)),LEFT(IMDB_Movies!$D3441,SEARCH("|",IMDB_Movies!$D3441)-1),IMDB_Movies!$D3441)</f>
        <v>Drama</v>
      </c>
      <c r="V3441" s="2"/>
      <c r="W3441" s="2"/>
    </row>
    <row r="3442" spans="1:23" ht="12.5" x14ac:dyDescent="0.25">
      <c r="A3442" s="2" t="s">
        <v>5807</v>
      </c>
      <c r="B3442" s="2">
        <v>172</v>
      </c>
      <c r="C3442" s="2">
        <v>23650000</v>
      </c>
      <c r="D3442" s="2" t="s">
        <v>2432</v>
      </c>
      <c r="E3442" s="2" t="s">
        <v>5808</v>
      </c>
      <c r="F3442" s="2" t="s">
        <v>14</v>
      </c>
      <c r="G3442" s="2" t="s">
        <v>15</v>
      </c>
      <c r="H3442" s="2">
        <v>2100000</v>
      </c>
      <c r="I3442" s="2">
        <v>8.1</v>
      </c>
      <c r="J3442" s="2">
        <f t="shared" si="26"/>
        <v>21550000</v>
      </c>
      <c r="K3442" s="2">
        <f t="shared" si="27"/>
        <v>1.8563189265212308E-2</v>
      </c>
      <c r="L3442" s="2" t="str">
        <f>IF(ISNUMBER(SEARCH("|",IMDB_Movies!$D3442)),LEFT(IMDB_Movies!$D3442,SEARCH("|",IMDB_Movies!$D3442)-1),IMDB_Movies!$D3442)</f>
        <v>Drama</v>
      </c>
      <c r="V3442" s="2"/>
      <c r="W3442" s="2"/>
    </row>
    <row r="3443" spans="1:23" ht="12.5" x14ac:dyDescent="0.25">
      <c r="A3443" s="2" t="s">
        <v>5809</v>
      </c>
      <c r="B3443" s="2">
        <v>89</v>
      </c>
      <c r="C3443" s="2">
        <v>313436</v>
      </c>
      <c r="D3443" s="2" t="s">
        <v>891</v>
      </c>
      <c r="E3443" s="2" t="s">
        <v>5810</v>
      </c>
      <c r="F3443" s="2" t="s">
        <v>5315</v>
      </c>
      <c r="G3443" s="2" t="s">
        <v>5316</v>
      </c>
      <c r="H3443" s="2">
        <v>15500000</v>
      </c>
      <c r="I3443" s="2">
        <v>7.6</v>
      </c>
      <c r="J3443" s="2">
        <f t="shared" si="26"/>
        <v>-15186564</v>
      </c>
      <c r="K3443" s="2">
        <f t="shared" si="27"/>
        <v>1.8697006355799777E-2</v>
      </c>
      <c r="L3443" s="2" t="str">
        <f>IF(ISNUMBER(SEARCH("|",IMDB_Movies!$D3443)),LEFT(IMDB_Movies!$D3443,SEARCH("|",IMDB_Movies!$D3443)-1),IMDB_Movies!$D3443)</f>
        <v>Comedy</v>
      </c>
      <c r="V3443" s="2"/>
      <c r="W3443" s="2"/>
    </row>
    <row r="3444" spans="1:23" ht="12.5" x14ac:dyDescent="0.25">
      <c r="A3444" s="2" t="s">
        <v>5811</v>
      </c>
      <c r="B3444" s="2">
        <v>125</v>
      </c>
      <c r="C3444" s="2">
        <v>3330</v>
      </c>
      <c r="D3444" s="2" t="s">
        <v>694</v>
      </c>
      <c r="E3444" s="2" t="s">
        <v>5812</v>
      </c>
      <c r="F3444" s="2" t="s">
        <v>14</v>
      </c>
      <c r="G3444" s="2" t="s">
        <v>15</v>
      </c>
      <c r="H3444" s="2">
        <v>2100000</v>
      </c>
      <c r="I3444" s="2">
        <v>7.2</v>
      </c>
      <c r="J3444" s="2">
        <f t="shared" si="26"/>
        <v>-2096670</v>
      </c>
      <c r="K3444" s="2">
        <f t="shared" si="27"/>
        <v>1.8897290023345462E-2</v>
      </c>
      <c r="L3444" s="2" t="str">
        <f>IF(ISNUMBER(SEARCH("|",IMDB_Movies!$D3444)),LEFT(IMDB_Movies!$D3444,SEARCH("|",IMDB_Movies!$D3444)-1),IMDB_Movies!$D3444)</f>
        <v>Crime</v>
      </c>
      <c r="V3444" s="2"/>
      <c r="W3444" s="2"/>
    </row>
    <row r="3445" spans="1:23" ht="12.5" x14ac:dyDescent="0.25">
      <c r="A3445" s="2" t="s">
        <v>4874</v>
      </c>
      <c r="B3445" s="2">
        <v>115</v>
      </c>
      <c r="C3445" s="2">
        <v>24800000</v>
      </c>
      <c r="D3445" s="2" t="s">
        <v>20</v>
      </c>
      <c r="E3445" s="2" t="s">
        <v>5813</v>
      </c>
      <c r="F3445" s="2" t="s">
        <v>14</v>
      </c>
      <c r="G3445" s="2" t="s">
        <v>22</v>
      </c>
      <c r="H3445" s="2">
        <v>2000000</v>
      </c>
      <c r="I3445" s="2">
        <v>7.5</v>
      </c>
      <c r="J3445" s="2">
        <f t="shared" si="26"/>
        <v>22800000</v>
      </c>
      <c r="K3445" s="2">
        <f t="shared" si="27"/>
        <v>1.8861927367113569E-2</v>
      </c>
      <c r="L3445" s="2" t="str">
        <f>IF(ISNUMBER(SEARCH("|",IMDB_Movies!$D3445)),LEFT(IMDB_Movies!$D3445,SEARCH("|",IMDB_Movies!$D3445)-1),IMDB_Movies!$D3445)</f>
        <v>Action</v>
      </c>
      <c r="V3445" s="2"/>
      <c r="W3445" s="2"/>
    </row>
    <row r="3446" spans="1:23" ht="12.5" x14ac:dyDescent="0.25">
      <c r="A3446" s="2" t="s">
        <v>5814</v>
      </c>
      <c r="B3446" s="2">
        <v>96</v>
      </c>
      <c r="C3446" s="2">
        <v>792966</v>
      </c>
      <c r="D3446" s="2" t="s">
        <v>5815</v>
      </c>
      <c r="E3446" s="2" t="s">
        <v>5816</v>
      </c>
      <c r="F3446" s="2" t="s">
        <v>14</v>
      </c>
      <c r="G3446" s="2" t="s">
        <v>15</v>
      </c>
      <c r="H3446" s="2">
        <v>2300000</v>
      </c>
      <c r="I3446" s="2">
        <v>5.0999999999999996</v>
      </c>
      <c r="J3446" s="2">
        <f t="shared" si="26"/>
        <v>-1507034</v>
      </c>
      <c r="K3446" s="2">
        <f t="shared" si="27"/>
        <v>1.901159927415598E-2</v>
      </c>
      <c r="L3446" s="2" t="str">
        <f>IF(ISNUMBER(SEARCH("|",IMDB_Movies!$D3446)),LEFT(IMDB_Movies!$D3446,SEARCH("|",IMDB_Movies!$D3446)-1),IMDB_Movies!$D3446)</f>
        <v>Action</v>
      </c>
      <c r="V3446" s="2"/>
      <c r="W3446" s="2"/>
    </row>
    <row r="3447" spans="1:23" ht="12.5" x14ac:dyDescent="0.25">
      <c r="A3447" s="2" t="s">
        <v>5817</v>
      </c>
      <c r="B3447" s="2">
        <v>100</v>
      </c>
      <c r="C3447" s="2">
        <v>14673301</v>
      </c>
      <c r="D3447" s="2" t="s">
        <v>2116</v>
      </c>
      <c r="E3447" s="2" t="s">
        <v>5818</v>
      </c>
      <c r="F3447" s="2" t="s">
        <v>14</v>
      </c>
      <c r="G3447" s="2" t="s">
        <v>15</v>
      </c>
      <c r="H3447" s="2">
        <v>2000000</v>
      </c>
      <c r="I3447" s="2">
        <v>6.9</v>
      </c>
      <c r="J3447" s="2">
        <f t="shared" si="26"/>
        <v>12673301</v>
      </c>
      <c r="K3447" s="2">
        <f t="shared" si="27"/>
        <v>1.8983529551407499E-2</v>
      </c>
      <c r="L3447" s="2" t="str">
        <f>IF(ISNUMBER(SEARCH("|",IMDB_Movies!$D3447)),LEFT(IMDB_Movies!$D3447,SEARCH("|",IMDB_Movies!$D3447)-1),IMDB_Movies!$D3447)</f>
        <v>Horror</v>
      </c>
      <c r="V3447" s="2"/>
      <c r="W3447" s="2"/>
    </row>
    <row r="3448" spans="1:23" ht="12.5" x14ac:dyDescent="0.25">
      <c r="A3448" s="2" t="s">
        <v>312</v>
      </c>
      <c r="B3448" s="2">
        <v>87</v>
      </c>
      <c r="C3448" s="2">
        <v>9003011</v>
      </c>
      <c r="D3448" s="2" t="s">
        <v>90</v>
      </c>
      <c r="E3448" s="2" t="s">
        <v>5819</v>
      </c>
      <c r="F3448" s="2" t="s">
        <v>14</v>
      </c>
      <c r="G3448" s="2" t="s">
        <v>135</v>
      </c>
      <c r="H3448" s="2">
        <v>2000000</v>
      </c>
      <c r="I3448" s="2">
        <v>7.6</v>
      </c>
      <c r="J3448" s="2">
        <f t="shared" si="26"/>
        <v>7003011</v>
      </c>
      <c r="K3448" s="2">
        <f t="shared" si="27"/>
        <v>1.9045234653776139E-2</v>
      </c>
      <c r="L3448" s="2" t="str">
        <f>IF(ISNUMBER(SEARCH("|",IMDB_Movies!$D3448)),LEFT(IMDB_Movies!$D3448,SEARCH("|",IMDB_Movies!$D3448)-1),IMDB_Movies!$D3448)</f>
        <v>Action</v>
      </c>
      <c r="V3448" s="2"/>
      <c r="W3448" s="2"/>
    </row>
    <row r="3449" spans="1:23" ht="12.5" x14ac:dyDescent="0.25">
      <c r="A3449" s="2" t="s">
        <v>5820</v>
      </c>
      <c r="B3449" s="2">
        <v>102</v>
      </c>
      <c r="C3449" s="2">
        <v>11546543</v>
      </c>
      <c r="D3449" s="2" t="s">
        <v>768</v>
      </c>
      <c r="E3449" s="2" t="s">
        <v>5821</v>
      </c>
      <c r="F3449" s="2" t="s">
        <v>2413</v>
      </c>
      <c r="G3449" s="2" t="s">
        <v>1329</v>
      </c>
      <c r="H3449" s="2">
        <v>2000000</v>
      </c>
      <c r="I3449" s="2">
        <v>7.6</v>
      </c>
      <c r="J3449" s="2">
        <f t="shared" si="26"/>
        <v>9546543</v>
      </c>
      <c r="K3449" s="2">
        <f t="shared" si="27"/>
        <v>1.9064607997083666E-2</v>
      </c>
      <c r="L3449" s="2" t="str">
        <f>IF(ISNUMBER(SEARCH("|",IMDB_Movies!$D3449)),LEFT(IMDB_Movies!$D3449,SEARCH("|",IMDB_Movies!$D3449)-1),IMDB_Movies!$D3449)</f>
        <v>Action</v>
      </c>
      <c r="V3449" s="2"/>
      <c r="W3449" s="2"/>
    </row>
    <row r="3450" spans="1:23" ht="12.5" x14ac:dyDescent="0.25">
      <c r="A3450" s="2" t="s">
        <v>2779</v>
      </c>
      <c r="B3450" s="2">
        <v>118</v>
      </c>
      <c r="C3450" s="2">
        <v>11533945</v>
      </c>
      <c r="D3450" s="2" t="s">
        <v>4738</v>
      </c>
      <c r="E3450" s="2" t="s">
        <v>5822</v>
      </c>
      <c r="F3450" s="2" t="s">
        <v>14</v>
      </c>
      <c r="G3450" s="2" t="s">
        <v>15</v>
      </c>
      <c r="H3450" s="2">
        <v>2000000</v>
      </c>
      <c r="I3450" s="2">
        <v>7.6</v>
      </c>
      <c r="J3450" s="2">
        <f t="shared" si="26"/>
        <v>9533945</v>
      </c>
      <c r="K3450" s="2">
        <f t="shared" si="27"/>
        <v>1.9102657408326132E-2</v>
      </c>
      <c r="L3450" s="2" t="str">
        <f>IF(ISNUMBER(SEARCH("|",IMDB_Movies!$D3450)),LEFT(IMDB_Movies!$D3450,SEARCH("|",IMDB_Movies!$D3450)-1),IMDB_Movies!$D3450)</f>
        <v>Biography</v>
      </c>
      <c r="V3450" s="2"/>
      <c r="W3450" s="2"/>
    </row>
    <row r="3451" spans="1:23" ht="12.5" x14ac:dyDescent="0.25">
      <c r="A3451" s="2" t="s">
        <v>5823</v>
      </c>
      <c r="B3451" s="2">
        <v>86</v>
      </c>
      <c r="C3451" s="2">
        <v>12555230</v>
      </c>
      <c r="D3451" s="2" t="s">
        <v>2061</v>
      </c>
      <c r="E3451" s="2" t="s">
        <v>5824</v>
      </c>
      <c r="F3451" s="2" t="s">
        <v>14</v>
      </c>
      <c r="G3451" s="2" t="s">
        <v>686</v>
      </c>
      <c r="H3451" s="2">
        <v>2000000</v>
      </c>
      <c r="I3451" s="2">
        <v>5.3</v>
      </c>
      <c r="J3451" s="2">
        <f t="shared" si="26"/>
        <v>10555230</v>
      </c>
      <c r="K3451" s="2">
        <f t="shared" si="27"/>
        <v>1.9140847930464725E-2</v>
      </c>
      <c r="L3451" s="2" t="str">
        <f>IF(ISNUMBER(SEARCH("|",IMDB_Movies!$D3451)),LEFT(IMDB_Movies!$D3451,SEARCH("|",IMDB_Movies!$D3451)-1),IMDB_Movies!$D3451)</f>
        <v>Drama</v>
      </c>
      <c r="V3451" s="2"/>
      <c r="W3451" s="2"/>
    </row>
    <row r="3452" spans="1:23" ht="12.5" x14ac:dyDescent="0.25">
      <c r="A3452" s="2" t="s">
        <v>646</v>
      </c>
      <c r="B3452" s="2">
        <v>137</v>
      </c>
      <c r="C3452" s="2">
        <v>11284657</v>
      </c>
      <c r="D3452" s="2" t="s">
        <v>1400</v>
      </c>
      <c r="E3452" s="2" t="s">
        <v>5825</v>
      </c>
      <c r="F3452" s="2" t="s">
        <v>3713</v>
      </c>
      <c r="G3452" s="2" t="s">
        <v>287</v>
      </c>
      <c r="H3452" s="2">
        <v>2000000</v>
      </c>
      <c r="I3452" s="2">
        <v>8.5</v>
      </c>
      <c r="J3452" s="2">
        <f t="shared" si="26"/>
        <v>9284657</v>
      </c>
      <c r="K3452" s="2">
        <f t="shared" si="27"/>
        <v>1.9187083185972176E-2</v>
      </c>
      <c r="L3452" s="2" t="str">
        <f>IF(ISNUMBER(SEARCH("|",IMDB_Movies!$D3452)),LEFT(IMDB_Movies!$D3452,SEARCH("|",IMDB_Movies!$D3452)-1),IMDB_Movies!$D3452)</f>
        <v>Drama</v>
      </c>
      <c r="V3452" s="2"/>
      <c r="W3452" s="2"/>
    </row>
    <row r="3453" spans="1:23" ht="12.5" x14ac:dyDescent="0.25">
      <c r="A3453" s="2" t="s">
        <v>5826</v>
      </c>
      <c r="B3453" s="2">
        <v>129</v>
      </c>
      <c r="C3453" s="2">
        <v>34522221</v>
      </c>
      <c r="D3453" s="2" t="s">
        <v>1180</v>
      </c>
      <c r="E3453" s="2" t="s">
        <v>5827</v>
      </c>
      <c r="F3453" s="2" t="s">
        <v>14</v>
      </c>
      <c r="G3453" s="2" t="s">
        <v>15</v>
      </c>
      <c r="H3453" s="2">
        <v>2000000</v>
      </c>
      <c r="I3453" s="2">
        <v>7</v>
      </c>
      <c r="J3453" s="2">
        <f t="shared" si="26"/>
        <v>32522221</v>
      </c>
      <c r="K3453" s="2">
        <f t="shared" si="27"/>
        <v>1.922389171702972E-2</v>
      </c>
      <c r="L3453" s="2" t="str">
        <f>IF(ISNUMBER(SEARCH("|",IMDB_Movies!$D3453)),LEFT(IMDB_Movies!$D3453,SEARCH("|",IMDB_Movies!$D3453)-1),IMDB_Movies!$D3453)</f>
        <v>Drama</v>
      </c>
      <c r="V3453" s="2"/>
      <c r="W3453" s="2"/>
    </row>
    <row r="3454" spans="1:23" ht="12.5" x14ac:dyDescent="0.25">
      <c r="A3454" s="2" t="s">
        <v>5828</v>
      </c>
      <c r="B3454" s="2">
        <v>80</v>
      </c>
      <c r="C3454" s="2">
        <v>7002255</v>
      </c>
      <c r="D3454" s="2" t="s">
        <v>5829</v>
      </c>
      <c r="E3454" s="2" t="s">
        <v>5830</v>
      </c>
      <c r="F3454" s="2" t="s">
        <v>1006</v>
      </c>
      <c r="G3454" s="2" t="s">
        <v>686</v>
      </c>
      <c r="H3454" s="2">
        <v>9500000</v>
      </c>
      <c r="I3454" s="2">
        <v>7.8</v>
      </c>
      <c r="J3454" s="2">
        <f t="shared" si="26"/>
        <v>-2497745</v>
      </c>
      <c r="K3454" s="2">
        <f t="shared" si="27"/>
        <v>1.9483177104137887E-2</v>
      </c>
      <c r="L3454" s="2" t="str">
        <f>IF(ISNUMBER(SEARCH("|",IMDB_Movies!$D3454)),LEFT(IMDB_Movies!$D3454,SEARCH("|",IMDB_Movies!$D3454)-1),IMDB_Movies!$D3454)</f>
        <v>Animation</v>
      </c>
      <c r="V3454" s="2"/>
      <c r="W3454" s="2"/>
    </row>
    <row r="3455" spans="1:23" ht="12.5" x14ac:dyDescent="0.25">
      <c r="A3455" s="2" t="s">
        <v>5831</v>
      </c>
      <c r="B3455" s="2">
        <v>89</v>
      </c>
      <c r="C3455" s="2">
        <v>6719300</v>
      </c>
      <c r="D3455" s="2" t="s">
        <v>891</v>
      </c>
      <c r="E3455" s="2" t="s">
        <v>5832</v>
      </c>
      <c r="F3455" s="2" t="s">
        <v>14</v>
      </c>
      <c r="G3455" s="2" t="s">
        <v>104</v>
      </c>
      <c r="H3455" s="2">
        <v>2000000</v>
      </c>
      <c r="I3455" s="2">
        <v>7.2</v>
      </c>
      <c r="J3455" s="2">
        <f t="shared" si="26"/>
        <v>4719300</v>
      </c>
      <c r="K3455" s="2">
        <f t="shared" si="27"/>
        <v>1.9468087991683532E-2</v>
      </c>
      <c r="L3455" s="2" t="str">
        <f>IF(ISNUMBER(SEARCH("|",IMDB_Movies!$D3455)),LEFT(IMDB_Movies!$D3455,SEARCH("|",IMDB_Movies!$D3455)-1),IMDB_Movies!$D3455)</f>
        <v>Comedy</v>
      </c>
      <c r="V3455" s="2"/>
      <c r="W3455" s="2"/>
    </row>
    <row r="3456" spans="1:23" ht="12.5" x14ac:dyDescent="0.25">
      <c r="A3456" s="2" t="s">
        <v>2991</v>
      </c>
      <c r="B3456" s="2">
        <v>80</v>
      </c>
      <c r="C3456" s="2">
        <v>5792822</v>
      </c>
      <c r="D3456" s="2" t="s">
        <v>85</v>
      </c>
      <c r="E3456" s="2" t="s">
        <v>5833</v>
      </c>
      <c r="F3456" s="2" t="s">
        <v>14</v>
      </c>
      <c r="G3456" s="2" t="s">
        <v>15</v>
      </c>
      <c r="H3456" s="2">
        <v>2700000</v>
      </c>
      <c r="I3456" s="2">
        <v>8</v>
      </c>
      <c r="J3456" s="2">
        <f t="shared" si="26"/>
        <v>3092822</v>
      </c>
      <c r="K3456" s="2">
        <f t="shared" si="27"/>
        <v>1.9472932711394563E-2</v>
      </c>
      <c r="L3456" s="2" t="str">
        <f>IF(ISNUMBER(SEARCH("|",IMDB_Movies!$D3456)),LEFT(IMDB_Movies!$D3456,SEARCH("|",IMDB_Movies!$D3456)-1),IMDB_Movies!$D3456)</f>
        <v>Drama</v>
      </c>
      <c r="V3456" s="2"/>
      <c r="W3456" s="2"/>
    </row>
    <row r="3457" spans="1:23" ht="12.5" x14ac:dyDescent="0.25">
      <c r="A3457" s="2" t="s">
        <v>416</v>
      </c>
      <c r="B3457" s="2">
        <v>115</v>
      </c>
      <c r="C3457" s="2">
        <v>5383834</v>
      </c>
      <c r="D3457" s="2" t="s">
        <v>1400</v>
      </c>
      <c r="E3457" s="2" t="s">
        <v>5834</v>
      </c>
      <c r="F3457" s="2" t="s">
        <v>971</v>
      </c>
      <c r="G3457" s="2" t="s">
        <v>3657</v>
      </c>
      <c r="H3457" s="2">
        <v>2000000</v>
      </c>
      <c r="I3457" s="2">
        <v>8.1</v>
      </c>
      <c r="J3457" s="2">
        <f t="shared" si="26"/>
        <v>3383834</v>
      </c>
      <c r="K3457" s="2">
        <f t="shared" si="27"/>
        <v>1.9471969814172364E-2</v>
      </c>
      <c r="L3457" s="2" t="str">
        <f>IF(ISNUMBER(SEARCH("|",IMDB_Movies!$D3457)),LEFT(IMDB_Movies!$D3457,SEARCH("|",IMDB_Movies!$D3457)-1),IMDB_Movies!$D3457)</f>
        <v>Drama</v>
      </c>
      <c r="V3457" s="2"/>
      <c r="W3457" s="2"/>
    </row>
    <row r="3458" spans="1:23" ht="12.5" x14ac:dyDescent="0.25">
      <c r="A3458" s="2" t="s">
        <v>2066</v>
      </c>
      <c r="B3458" s="2">
        <v>100</v>
      </c>
      <c r="C3458" s="2">
        <v>4599680</v>
      </c>
      <c r="D3458" s="2" t="s">
        <v>1180</v>
      </c>
      <c r="E3458" s="2" t="s">
        <v>5835</v>
      </c>
      <c r="F3458" s="2" t="s">
        <v>14</v>
      </c>
      <c r="G3458" s="2" t="s">
        <v>15</v>
      </c>
      <c r="H3458" s="2">
        <v>1500000</v>
      </c>
      <c r="I3458" s="2">
        <v>6.8</v>
      </c>
      <c r="J3458" s="2">
        <f t="shared" si="26"/>
        <v>3099680</v>
      </c>
      <c r="K3458" s="2">
        <f t="shared" si="27"/>
        <v>1.9467858670332676E-2</v>
      </c>
      <c r="L3458" s="2" t="str">
        <f>IF(ISNUMBER(SEARCH("|",IMDB_Movies!$D3458)),LEFT(IMDB_Movies!$D3458,SEARCH("|",IMDB_Movies!$D3458)-1),IMDB_Movies!$D3458)</f>
        <v>Drama</v>
      </c>
      <c r="V3458" s="2"/>
      <c r="W3458" s="2"/>
    </row>
    <row r="3459" spans="1:23" ht="12.5" x14ac:dyDescent="0.25">
      <c r="A3459" s="2" t="s">
        <v>5836</v>
      </c>
      <c r="B3459" s="2">
        <v>100</v>
      </c>
      <c r="C3459" s="2">
        <v>6531491</v>
      </c>
      <c r="D3459" s="2" t="s">
        <v>1180</v>
      </c>
      <c r="E3459" s="2" t="s">
        <v>5837</v>
      </c>
      <c r="F3459" s="2" t="s">
        <v>14</v>
      </c>
      <c r="G3459" s="2" t="s">
        <v>15</v>
      </c>
      <c r="H3459" s="2">
        <v>2000000</v>
      </c>
      <c r="I3459" s="2">
        <v>7.2</v>
      </c>
      <c r="J3459" s="2">
        <f t="shared" si="26"/>
        <v>4531491</v>
      </c>
      <c r="K3459" s="2">
        <f t="shared" si="27"/>
        <v>1.9456495560095505E-2</v>
      </c>
      <c r="L3459" s="2" t="str">
        <f>IF(ISNUMBER(SEARCH("|",IMDB_Movies!$D3459)),LEFT(IMDB_Movies!$D3459,SEARCH("|",IMDB_Movies!$D3459)-1),IMDB_Movies!$D3459)</f>
        <v>Drama</v>
      </c>
      <c r="V3459" s="2"/>
      <c r="W3459" s="2"/>
    </row>
    <row r="3460" spans="1:23" ht="12.5" x14ac:dyDescent="0.25">
      <c r="A3460" s="2" t="s">
        <v>5838</v>
      </c>
      <c r="B3460" s="2">
        <v>91</v>
      </c>
      <c r="C3460" s="2">
        <v>3885134</v>
      </c>
      <c r="D3460" s="2" t="s">
        <v>891</v>
      </c>
      <c r="E3460" s="2" t="s">
        <v>5839</v>
      </c>
      <c r="F3460" s="2" t="s">
        <v>14</v>
      </c>
      <c r="G3460" s="2" t="s">
        <v>15</v>
      </c>
      <c r="H3460" s="2">
        <v>2000000</v>
      </c>
      <c r="I3460" s="2">
        <v>7.4</v>
      </c>
      <c r="J3460" s="2">
        <f t="shared" si="26"/>
        <v>1885134</v>
      </c>
      <c r="K3460" s="2">
        <f t="shared" si="27"/>
        <v>1.9460074648830209E-2</v>
      </c>
      <c r="L3460" s="2" t="str">
        <f>IF(ISNUMBER(SEARCH("|",IMDB_Movies!$D3460)),LEFT(IMDB_Movies!$D3460,SEARCH("|",IMDB_Movies!$D3460)-1),IMDB_Movies!$D3460)</f>
        <v>Comedy</v>
      </c>
      <c r="V3460" s="2"/>
      <c r="W3460" s="2"/>
    </row>
    <row r="3461" spans="1:23" ht="12.5" x14ac:dyDescent="0.25">
      <c r="A3461" s="2" t="s">
        <v>5840</v>
      </c>
      <c r="B3461" s="2">
        <v>96</v>
      </c>
      <c r="C3461" s="2">
        <v>3590010</v>
      </c>
      <c r="D3461" s="2" t="s">
        <v>2586</v>
      </c>
      <c r="E3461" s="2" t="s">
        <v>5841</v>
      </c>
      <c r="F3461" s="2" t="s">
        <v>14</v>
      </c>
      <c r="G3461" s="2" t="s">
        <v>22</v>
      </c>
      <c r="H3461" s="2">
        <v>2000000</v>
      </c>
      <c r="I3461" s="2">
        <v>6.1</v>
      </c>
      <c r="J3461" s="2">
        <f t="shared" si="26"/>
        <v>1590010</v>
      </c>
      <c r="K3461" s="2">
        <f t="shared" si="27"/>
        <v>1.9446068010796316E-2</v>
      </c>
      <c r="L3461" s="2" t="str">
        <f>IF(ISNUMBER(SEARCH("|",IMDB_Movies!$D3461)),LEFT(IMDB_Movies!$D3461,SEARCH("|",IMDB_Movies!$D3461)-1),IMDB_Movies!$D3461)</f>
        <v>Drama</v>
      </c>
      <c r="V3461" s="2"/>
      <c r="W3461" s="2"/>
    </row>
    <row r="3462" spans="1:23" ht="12.5" x14ac:dyDescent="0.25">
      <c r="A3462" s="2" t="s">
        <v>200</v>
      </c>
      <c r="B3462" s="2">
        <v>116</v>
      </c>
      <c r="C3462" s="2">
        <v>3335839</v>
      </c>
      <c r="D3462" s="2" t="s">
        <v>177</v>
      </c>
      <c r="E3462" s="2" t="s">
        <v>5842</v>
      </c>
      <c r="F3462" s="2" t="s">
        <v>14</v>
      </c>
      <c r="G3462" s="2" t="s">
        <v>15</v>
      </c>
      <c r="H3462" s="2">
        <v>2000000</v>
      </c>
      <c r="I3462" s="2">
        <v>7</v>
      </c>
      <c r="J3462" s="2">
        <f t="shared" si="26"/>
        <v>1335839</v>
      </c>
      <c r="K3462" s="2">
        <f t="shared" si="27"/>
        <v>1.943007957645464E-2</v>
      </c>
      <c r="L3462" s="2" t="str">
        <f>IF(ISNUMBER(SEARCH("|",IMDB_Movies!$D3462)),LEFT(IMDB_Movies!$D3462,SEARCH("|",IMDB_Movies!$D3462)-1),IMDB_Movies!$D3462)</f>
        <v>Action</v>
      </c>
      <c r="V3462" s="2"/>
      <c r="W3462" s="2"/>
    </row>
    <row r="3463" spans="1:23" ht="12.5" x14ac:dyDescent="0.25">
      <c r="A3463" s="2" t="s">
        <v>2272</v>
      </c>
      <c r="B3463" s="2">
        <v>97</v>
      </c>
      <c r="C3463" s="2">
        <v>2557668</v>
      </c>
      <c r="D3463" s="2" t="s">
        <v>763</v>
      </c>
      <c r="E3463" s="2" t="s">
        <v>5843</v>
      </c>
      <c r="F3463" s="2" t="s">
        <v>14</v>
      </c>
      <c r="G3463" s="2" t="s">
        <v>15</v>
      </c>
      <c r="H3463" s="2">
        <v>2000000</v>
      </c>
      <c r="I3463" s="2">
        <v>5.3</v>
      </c>
      <c r="J3463" s="2">
        <f t="shared" si="26"/>
        <v>557668</v>
      </c>
      <c r="K3463" s="2">
        <f t="shared" si="27"/>
        <v>1.9412366392379313E-2</v>
      </c>
      <c r="L3463" s="2" t="str">
        <f>IF(ISNUMBER(SEARCH("|",IMDB_Movies!$D3463)),LEFT(IMDB_Movies!$D3463,SEARCH("|",IMDB_Movies!$D3463)-1),IMDB_Movies!$D3463)</f>
        <v>Crime</v>
      </c>
      <c r="V3463" s="2"/>
      <c r="W3463" s="2"/>
    </row>
    <row r="3464" spans="1:23" ht="12.5" x14ac:dyDescent="0.25">
      <c r="A3464" s="2" t="s">
        <v>549</v>
      </c>
      <c r="B3464" s="2">
        <v>101</v>
      </c>
      <c r="C3464" s="2">
        <v>2506446</v>
      </c>
      <c r="D3464" s="2" t="s">
        <v>600</v>
      </c>
      <c r="E3464" s="2" t="s">
        <v>5844</v>
      </c>
      <c r="F3464" s="2" t="s">
        <v>14</v>
      </c>
      <c r="G3464" s="2" t="s">
        <v>15</v>
      </c>
      <c r="H3464" s="2">
        <v>2000000</v>
      </c>
      <c r="I3464" s="2">
        <v>4.7</v>
      </c>
      <c r="J3464" s="2">
        <f t="shared" si="26"/>
        <v>506446</v>
      </c>
      <c r="K3464" s="2">
        <f t="shared" si="27"/>
        <v>1.938961892187565E-2</v>
      </c>
      <c r="L3464" s="2" t="str">
        <f>IF(ISNUMBER(SEARCH("|",IMDB_Movies!$D3464)),LEFT(IMDB_Movies!$D3464,SEARCH("|",IMDB_Movies!$D3464)-1),IMDB_Movies!$D3464)</f>
        <v>Comedy</v>
      </c>
      <c r="V3464" s="2"/>
      <c r="W3464" s="2"/>
    </row>
    <row r="3465" spans="1:23" ht="12.5" x14ac:dyDescent="0.25">
      <c r="A3465" s="2" t="s">
        <v>5845</v>
      </c>
      <c r="B3465" s="2">
        <v>98</v>
      </c>
      <c r="C3465" s="2">
        <v>7369373</v>
      </c>
      <c r="D3465" s="2" t="s">
        <v>1050</v>
      </c>
      <c r="E3465" s="2" t="s">
        <v>5846</v>
      </c>
      <c r="F3465" s="2" t="s">
        <v>14</v>
      </c>
      <c r="G3465" s="2" t="s">
        <v>22</v>
      </c>
      <c r="H3465" s="2">
        <v>2000000</v>
      </c>
      <c r="I3465" s="2">
        <v>5.7</v>
      </c>
      <c r="J3465" s="2">
        <f t="shared" si="26"/>
        <v>5369373</v>
      </c>
      <c r="K3465" s="2">
        <f t="shared" si="27"/>
        <v>1.9366406561685978E-2</v>
      </c>
      <c r="L3465" s="2" t="str">
        <f>IF(ISNUMBER(SEARCH("|",IMDB_Movies!$D3465)),LEFT(IMDB_Movies!$D3465,SEARCH("|",IMDB_Movies!$D3465)-1),IMDB_Movies!$D3465)</f>
        <v>Horror</v>
      </c>
      <c r="V3465" s="2"/>
      <c r="W3465" s="2"/>
    </row>
    <row r="3466" spans="1:23" ht="12.5" x14ac:dyDescent="0.25">
      <c r="A3466" s="2" t="s">
        <v>5253</v>
      </c>
      <c r="B3466" s="2">
        <v>101</v>
      </c>
      <c r="C3466" s="2">
        <v>1984378</v>
      </c>
      <c r="D3466" s="2" t="s">
        <v>514</v>
      </c>
      <c r="E3466" s="2" t="s">
        <v>5847</v>
      </c>
      <c r="F3466" s="2" t="s">
        <v>14</v>
      </c>
      <c r="G3466" s="2" t="s">
        <v>15</v>
      </c>
      <c r="H3466" s="2">
        <v>2000000</v>
      </c>
      <c r="I3466" s="2">
        <v>6.5</v>
      </c>
      <c r="J3466" s="2">
        <f t="shared" si="26"/>
        <v>-15622</v>
      </c>
      <c r="K3466" s="2">
        <f t="shared" si="27"/>
        <v>1.9375665392783577E-2</v>
      </c>
      <c r="L3466" s="2" t="str">
        <f>IF(ISNUMBER(SEARCH("|",IMDB_Movies!$D3466)),LEFT(IMDB_Movies!$D3466,SEARCH("|",IMDB_Movies!$D3466)-1),IMDB_Movies!$D3466)</f>
        <v>Comedy</v>
      </c>
      <c r="V3466" s="2"/>
      <c r="W3466" s="2"/>
    </row>
    <row r="3467" spans="1:23" ht="12.5" x14ac:dyDescent="0.25">
      <c r="A3467" s="2" t="s">
        <v>5848</v>
      </c>
      <c r="B3467" s="2">
        <v>90</v>
      </c>
      <c r="C3467" s="2">
        <v>2283276</v>
      </c>
      <c r="D3467" s="2" t="s">
        <v>5849</v>
      </c>
      <c r="E3467" s="2" t="s">
        <v>5850</v>
      </c>
      <c r="F3467" s="2" t="s">
        <v>5851</v>
      </c>
      <c r="G3467" s="2" t="s">
        <v>5852</v>
      </c>
      <c r="H3467" s="2">
        <v>1500000</v>
      </c>
      <c r="I3467" s="2">
        <v>8</v>
      </c>
      <c r="J3467" s="2">
        <f t="shared" si="26"/>
        <v>783276</v>
      </c>
      <c r="K3467" s="2">
        <f t="shared" si="27"/>
        <v>1.934898257897498E-2</v>
      </c>
      <c r="L3467" s="2" t="str">
        <f>IF(ISNUMBER(SEARCH("|",IMDB_Movies!$D3467)),LEFT(IMDB_Movies!$D3467,SEARCH("|",IMDB_Movies!$D3467)-1),IMDB_Movies!$D3467)</f>
        <v>Animation</v>
      </c>
      <c r="V3467" s="2"/>
      <c r="W3467" s="2"/>
    </row>
    <row r="3468" spans="1:23" ht="12.5" x14ac:dyDescent="0.25">
      <c r="A3468" s="2" t="s">
        <v>5853</v>
      </c>
      <c r="B3468" s="2">
        <v>120</v>
      </c>
      <c r="C3468" s="2">
        <v>1098224</v>
      </c>
      <c r="D3468" s="2" t="s">
        <v>352</v>
      </c>
      <c r="E3468" s="2" t="s">
        <v>5854</v>
      </c>
      <c r="F3468" s="2" t="s">
        <v>14</v>
      </c>
      <c r="G3468" s="2" t="s">
        <v>15</v>
      </c>
      <c r="H3468" s="2">
        <v>2000000</v>
      </c>
      <c r="I3468" s="2">
        <v>3.3</v>
      </c>
      <c r="J3468" s="2">
        <f t="shared" si="26"/>
        <v>-901776</v>
      </c>
      <c r="K3468" s="2">
        <f t="shared" si="27"/>
        <v>1.9318396432962341E-2</v>
      </c>
      <c r="L3468" s="2" t="str">
        <f>IF(ISNUMBER(SEARCH("|",IMDB_Movies!$D3468)),LEFT(IMDB_Movies!$D3468,SEARCH("|",IMDB_Movies!$D3468)-1),IMDB_Movies!$D3468)</f>
        <v>Adventure</v>
      </c>
      <c r="V3468" s="2"/>
      <c r="W3468" s="2"/>
    </row>
    <row r="3469" spans="1:23" ht="12.5" x14ac:dyDescent="0.25">
      <c r="A3469" s="2" t="s">
        <v>5630</v>
      </c>
      <c r="B3469" s="2">
        <v>102</v>
      </c>
      <c r="C3469" s="2">
        <v>1430185</v>
      </c>
      <c r="D3469" s="2" t="s">
        <v>5855</v>
      </c>
      <c r="E3469" s="2" t="s">
        <v>5856</v>
      </c>
      <c r="F3469" s="2" t="s">
        <v>14</v>
      </c>
      <c r="G3469" s="2" t="s">
        <v>15</v>
      </c>
      <c r="H3469" s="2">
        <v>2000000</v>
      </c>
      <c r="I3469" s="2">
        <v>8.3000000000000007</v>
      </c>
      <c r="J3469" s="2">
        <f t="shared" si="26"/>
        <v>-569815</v>
      </c>
      <c r="K3469" s="2">
        <f t="shared" si="27"/>
        <v>1.9285865064603783E-2</v>
      </c>
      <c r="L3469" s="2" t="str">
        <f>IF(ISNUMBER(SEARCH("|",IMDB_Movies!$D3469)),LEFT(IMDB_Movies!$D3469,SEARCH("|",IMDB_Movies!$D3469)-1),IMDB_Movies!$D3469)</f>
        <v>Documentary</v>
      </c>
      <c r="V3469" s="2"/>
      <c r="W3469" s="2"/>
    </row>
    <row r="3470" spans="1:23" ht="12.5" x14ac:dyDescent="0.25">
      <c r="A3470" s="2" t="s">
        <v>5857</v>
      </c>
      <c r="B3470" s="2">
        <v>102</v>
      </c>
      <c r="C3470" s="2">
        <v>1477002</v>
      </c>
      <c r="D3470" s="2" t="s">
        <v>85</v>
      </c>
      <c r="E3470" s="2" t="s">
        <v>5858</v>
      </c>
      <c r="F3470" s="2" t="s">
        <v>14</v>
      </c>
      <c r="G3470" s="2" t="s">
        <v>15</v>
      </c>
      <c r="H3470" s="2">
        <v>2000000</v>
      </c>
      <c r="I3470" s="2">
        <v>6.9</v>
      </c>
      <c r="J3470" s="2">
        <f t="shared" si="26"/>
        <v>-522998</v>
      </c>
      <c r="K3470" s="2">
        <f t="shared" si="27"/>
        <v>1.9255170848402167E-2</v>
      </c>
      <c r="L3470" s="2" t="str">
        <f>IF(ISNUMBER(SEARCH("|",IMDB_Movies!$D3470)),LEFT(IMDB_Movies!$D3470,SEARCH("|",IMDB_Movies!$D3470)-1),IMDB_Movies!$D3470)</f>
        <v>Drama</v>
      </c>
      <c r="V3470" s="2"/>
      <c r="W3470" s="2"/>
    </row>
    <row r="3471" spans="1:23" ht="12.5" x14ac:dyDescent="0.25">
      <c r="A3471" s="2" t="s">
        <v>5859</v>
      </c>
      <c r="B3471" s="2">
        <v>100</v>
      </c>
      <c r="C3471" s="2">
        <v>1134049</v>
      </c>
      <c r="D3471" s="2" t="s">
        <v>5860</v>
      </c>
      <c r="E3471" s="2" t="s">
        <v>5861</v>
      </c>
      <c r="F3471" s="2" t="s">
        <v>14</v>
      </c>
      <c r="G3471" s="2" t="s">
        <v>22</v>
      </c>
      <c r="H3471" s="2">
        <v>2000000</v>
      </c>
      <c r="I3471" s="2">
        <v>8.1</v>
      </c>
      <c r="J3471" s="2">
        <f t="shared" si="26"/>
        <v>-865951</v>
      </c>
      <c r="K3471" s="2">
        <f t="shared" si="27"/>
        <v>1.9224568494094329E-2</v>
      </c>
      <c r="L3471" s="2" t="str">
        <f>IF(ISNUMBER(SEARCH("|",IMDB_Movies!$D3471)),LEFT(IMDB_Movies!$D3471,SEARCH("|",IMDB_Movies!$D3471)-1),IMDB_Movies!$D3471)</f>
        <v>Documentary</v>
      </c>
      <c r="V3471" s="2"/>
      <c r="W3471" s="2"/>
    </row>
    <row r="3472" spans="1:23" ht="12.5" x14ac:dyDescent="0.25">
      <c r="A3472" s="2" t="s">
        <v>5430</v>
      </c>
      <c r="B3472" s="2">
        <v>89</v>
      </c>
      <c r="C3472" s="2">
        <v>653621</v>
      </c>
      <c r="D3472" s="2" t="s">
        <v>5862</v>
      </c>
      <c r="E3472" s="2" t="s">
        <v>5863</v>
      </c>
      <c r="F3472" s="2" t="s">
        <v>14</v>
      </c>
      <c r="G3472" s="2" t="s">
        <v>15</v>
      </c>
      <c r="H3472" s="2">
        <v>2000000</v>
      </c>
      <c r="I3472" s="2">
        <v>6.8</v>
      </c>
      <c r="J3472" s="2">
        <f t="shared" si="26"/>
        <v>-1346379</v>
      </c>
      <c r="K3472" s="2">
        <f t="shared" si="27"/>
        <v>1.9191632733206385E-2</v>
      </c>
      <c r="L3472" s="2" t="str">
        <f>IF(ISNUMBER(SEARCH("|",IMDB_Movies!$D3472)),LEFT(IMDB_Movies!$D3472,SEARCH("|",IMDB_Movies!$D3472)-1),IMDB_Movies!$D3472)</f>
        <v>Biography</v>
      </c>
      <c r="V3472" s="2"/>
      <c r="W3472" s="2"/>
    </row>
    <row r="3473" spans="1:23" ht="12.5" x14ac:dyDescent="0.25">
      <c r="A3473" s="2" t="s">
        <v>5864</v>
      </c>
      <c r="B3473" s="2">
        <v>86</v>
      </c>
      <c r="C3473" s="2">
        <v>535249</v>
      </c>
      <c r="D3473" s="2" t="s">
        <v>709</v>
      </c>
      <c r="E3473" s="2" t="s">
        <v>5865</v>
      </c>
      <c r="F3473" s="2" t="s">
        <v>14</v>
      </c>
      <c r="G3473" s="2" t="s">
        <v>15</v>
      </c>
      <c r="H3473" s="2">
        <v>3400000</v>
      </c>
      <c r="I3473" s="2">
        <v>4.5999999999999996</v>
      </c>
      <c r="J3473" s="2">
        <f t="shared" si="26"/>
        <v>-2864751</v>
      </c>
      <c r="K3473" s="2">
        <f t="shared" si="27"/>
        <v>1.915551427255844E-2</v>
      </c>
      <c r="L3473" s="2" t="str">
        <f>IF(ISNUMBER(SEARCH("|",IMDB_Movies!$D3473)),LEFT(IMDB_Movies!$D3473,SEARCH("|",IMDB_Movies!$D3473)-1),IMDB_Movies!$D3473)</f>
        <v>Comedy</v>
      </c>
      <c r="V3473" s="2"/>
      <c r="W3473" s="2"/>
    </row>
    <row r="3474" spans="1:23" ht="12.5" x14ac:dyDescent="0.25">
      <c r="A3474" s="2" t="s">
        <v>5866</v>
      </c>
      <c r="B3474" s="2">
        <v>96</v>
      </c>
      <c r="C3474" s="2">
        <v>371081</v>
      </c>
      <c r="D3474" s="2" t="s">
        <v>891</v>
      </c>
      <c r="E3474" s="2" t="s">
        <v>5867</v>
      </c>
      <c r="F3474" s="2" t="s">
        <v>14</v>
      </c>
      <c r="G3474" s="2" t="s">
        <v>15</v>
      </c>
      <c r="H3474" s="2">
        <v>6000000</v>
      </c>
      <c r="I3474" s="2">
        <v>7</v>
      </c>
      <c r="J3474" s="2">
        <f t="shared" si="26"/>
        <v>-5628919</v>
      </c>
      <c r="K3474" s="2">
        <f t="shared" si="27"/>
        <v>1.9141837667653816E-2</v>
      </c>
      <c r="L3474" s="2" t="str">
        <f>IF(ISNUMBER(SEARCH("|",IMDB_Movies!$D3474)),LEFT(IMDB_Movies!$D3474,SEARCH("|",IMDB_Movies!$D3474)-1),IMDB_Movies!$D3474)</f>
        <v>Comedy</v>
      </c>
      <c r="V3474" s="2"/>
      <c r="W3474" s="2"/>
    </row>
    <row r="3475" spans="1:23" ht="12.5" x14ac:dyDescent="0.25">
      <c r="A3475" s="2" t="s">
        <v>5868</v>
      </c>
      <c r="B3475" s="2">
        <v>91</v>
      </c>
      <c r="C3475" s="2">
        <v>124494</v>
      </c>
      <c r="D3475" s="2" t="s">
        <v>5869</v>
      </c>
      <c r="E3475" s="2" t="s">
        <v>5870</v>
      </c>
      <c r="F3475" s="2" t="s">
        <v>14</v>
      </c>
      <c r="G3475" s="2" t="s">
        <v>15</v>
      </c>
      <c r="H3475" s="2">
        <v>2000000</v>
      </c>
      <c r="I3475" s="2">
        <v>6.7</v>
      </c>
      <c r="J3475" s="2">
        <f t="shared" si="26"/>
        <v>-1875506</v>
      </c>
      <c r="K3475" s="2">
        <f t="shared" si="27"/>
        <v>1.9172741558244843E-2</v>
      </c>
      <c r="L3475" s="2" t="str">
        <f>IF(ISNUMBER(SEARCH("|",IMDB_Movies!$D3475)),LEFT(IMDB_Movies!$D3475,SEARCH("|",IMDB_Movies!$D3475)-1),IMDB_Movies!$D3475)</f>
        <v>Action</v>
      </c>
      <c r="V3475" s="2"/>
      <c r="W3475" s="2"/>
    </row>
    <row r="3476" spans="1:23" ht="12.5" x14ac:dyDescent="0.25">
      <c r="A3476" s="2" t="s">
        <v>5871</v>
      </c>
      <c r="B3476" s="2">
        <v>85</v>
      </c>
      <c r="C3476" s="2">
        <v>100669</v>
      </c>
      <c r="D3476" s="2" t="s">
        <v>891</v>
      </c>
      <c r="E3476" s="2" t="s">
        <v>5872</v>
      </c>
      <c r="F3476" s="2" t="s">
        <v>14</v>
      </c>
      <c r="G3476" s="2" t="s">
        <v>15</v>
      </c>
      <c r="H3476" s="2">
        <v>3800000</v>
      </c>
      <c r="I3476" s="2">
        <v>5.8</v>
      </c>
      <c r="J3476" s="2">
        <f t="shared" si="26"/>
        <v>-3699331</v>
      </c>
      <c r="K3476" s="2">
        <f t="shared" si="27"/>
        <v>1.9132957599421491E-2</v>
      </c>
      <c r="L3476" s="2" t="str">
        <f>IF(ISNUMBER(SEARCH("|",IMDB_Movies!$D3476)),LEFT(IMDB_Movies!$D3476,SEARCH("|",IMDB_Movies!$D3476)-1),IMDB_Movies!$D3476)</f>
        <v>Comedy</v>
      </c>
      <c r="V3476" s="2"/>
      <c r="W3476" s="2"/>
    </row>
    <row r="3477" spans="1:23" ht="12.5" x14ac:dyDescent="0.25">
      <c r="A3477" s="2" t="s">
        <v>155</v>
      </c>
      <c r="B3477" s="2">
        <v>129</v>
      </c>
      <c r="C3477" s="2">
        <v>186354</v>
      </c>
      <c r="D3477" s="2" t="s">
        <v>1180</v>
      </c>
      <c r="E3477" s="2" t="s">
        <v>5873</v>
      </c>
      <c r="F3477" s="2" t="s">
        <v>14</v>
      </c>
      <c r="G3477" s="2" t="s">
        <v>15</v>
      </c>
      <c r="H3477" s="2">
        <v>13500000</v>
      </c>
      <c r="I3477" s="2">
        <v>4.5</v>
      </c>
      <c r="J3477" s="2">
        <f t="shared" si="26"/>
        <v>-13313646</v>
      </c>
      <c r="K3477" s="2">
        <f t="shared" si="27"/>
        <v>1.912551302419075E-2</v>
      </c>
      <c r="L3477" s="2" t="str">
        <f>IF(ISNUMBER(SEARCH("|",IMDB_Movies!$D3477)),LEFT(IMDB_Movies!$D3477,SEARCH("|",IMDB_Movies!$D3477)-1),IMDB_Movies!$D3477)</f>
        <v>Drama</v>
      </c>
      <c r="V3477" s="2"/>
      <c r="W3477" s="2"/>
    </row>
    <row r="3478" spans="1:23" ht="12.5" x14ac:dyDescent="0.25">
      <c r="A3478" s="2" t="s">
        <v>5874</v>
      </c>
      <c r="B3478" s="2">
        <v>95</v>
      </c>
      <c r="C3478" s="2">
        <v>17580</v>
      </c>
      <c r="D3478" s="2" t="s">
        <v>1180</v>
      </c>
      <c r="E3478" s="2" t="s">
        <v>5875</v>
      </c>
      <c r="F3478" s="2" t="s">
        <v>14</v>
      </c>
      <c r="G3478" s="2" t="s">
        <v>15</v>
      </c>
      <c r="H3478" s="2">
        <v>1500000</v>
      </c>
      <c r="I3478" s="2">
        <v>6.2</v>
      </c>
      <c r="J3478" s="2">
        <f t="shared" si="26"/>
        <v>-1482420</v>
      </c>
      <c r="K3478" s="2">
        <f t="shared" si="27"/>
        <v>1.9293779920801498E-2</v>
      </c>
      <c r="L3478" s="2" t="str">
        <f>IF(ISNUMBER(SEARCH("|",IMDB_Movies!$D3478)),LEFT(IMDB_Movies!$D3478,SEARCH("|",IMDB_Movies!$D3478)-1),IMDB_Movies!$D3478)</f>
        <v>Drama</v>
      </c>
      <c r="V3478" s="2"/>
      <c r="W3478" s="2"/>
    </row>
    <row r="3479" spans="1:23" ht="12.5" x14ac:dyDescent="0.25">
      <c r="A3479" s="2" t="s">
        <v>5876</v>
      </c>
      <c r="B3479" s="2">
        <v>92</v>
      </c>
      <c r="C3479" s="2">
        <v>12667</v>
      </c>
      <c r="D3479" s="2" t="s">
        <v>85</v>
      </c>
      <c r="E3479" s="2" t="s">
        <v>5877</v>
      </c>
      <c r="F3479" s="2" t="s">
        <v>14</v>
      </c>
      <c r="G3479" s="2" t="s">
        <v>22</v>
      </c>
      <c r="H3479" s="2">
        <v>14000</v>
      </c>
      <c r="I3479" s="2">
        <v>6.6</v>
      </c>
      <c r="J3479" s="2">
        <f t="shared" si="26"/>
        <v>-1333</v>
      </c>
      <c r="K3479" s="2">
        <f t="shared" si="27"/>
        <v>1.9244092301637504E-2</v>
      </c>
      <c r="L3479" s="2" t="str">
        <f>IF(ISNUMBER(SEARCH("|",IMDB_Movies!$D3479)),LEFT(IMDB_Movies!$D3479,SEARCH("|",IMDB_Movies!$D3479)-1),IMDB_Movies!$D3479)</f>
        <v>Drama</v>
      </c>
      <c r="V3479" s="2"/>
      <c r="W3479" s="2"/>
    </row>
    <row r="3480" spans="1:23" ht="12.5" x14ac:dyDescent="0.25">
      <c r="A3480" s="2" t="s">
        <v>5878</v>
      </c>
      <c r="B3480" s="2">
        <v>96</v>
      </c>
      <c r="C3480" s="2">
        <v>198407</v>
      </c>
      <c r="D3480" s="2" t="s">
        <v>1180</v>
      </c>
      <c r="E3480" s="2" t="s">
        <v>5879</v>
      </c>
      <c r="F3480" s="2" t="s">
        <v>14</v>
      </c>
      <c r="G3480" s="2" t="s">
        <v>15</v>
      </c>
      <c r="H3480" s="2">
        <v>2000000</v>
      </c>
      <c r="I3480" s="2">
        <v>6.6</v>
      </c>
      <c r="J3480" s="2">
        <f t="shared" si="26"/>
        <v>-1801593</v>
      </c>
      <c r="K3480" s="2">
        <f t="shared" si="27"/>
        <v>1.9166380749322625E-2</v>
      </c>
      <c r="L3480" s="2" t="str">
        <f>IF(ISNUMBER(SEARCH("|",IMDB_Movies!$D3480)),LEFT(IMDB_Movies!$D3480,SEARCH("|",IMDB_Movies!$D3480)-1),IMDB_Movies!$D3480)</f>
        <v>Drama</v>
      </c>
      <c r="V3480" s="2"/>
      <c r="W3480" s="2"/>
    </row>
    <row r="3481" spans="1:23" ht="12.5" x14ac:dyDescent="0.25">
      <c r="A3481" s="2" t="s">
        <v>5880</v>
      </c>
      <c r="B3481" s="2">
        <v>119</v>
      </c>
      <c r="C3481" s="2">
        <v>4958</v>
      </c>
      <c r="D3481" s="2" t="s">
        <v>4762</v>
      </c>
      <c r="E3481" s="2" t="s">
        <v>5881</v>
      </c>
      <c r="F3481" s="2" t="s">
        <v>14</v>
      </c>
      <c r="G3481" s="2" t="s">
        <v>2695</v>
      </c>
      <c r="H3481" s="2">
        <v>2000000</v>
      </c>
      <c r="I3481" s="2">
        <v>7.8</v>
      </c>
      <c r="J3481" s="2">
        <f t="shared" si="26"/>
        <v>-1995042</v>
      </c>
      <c r="K3481" s="2">
        <f t="shared" si="27"/>
        <v>1.9126345852011346E-2</v>
      </c>
      <c r="L3481" s="2" t="str">
        <f>IF(ISNUMBER(SEARCH("|",IMDB_Movies!$D3481)),LEFT(IMDB_Movies!$D3481,SEARCH("|",IMDB_Movies!$D3481)-1),IMDB_Movies!$D3481)</f>
        <v>Action</v>
      </c>
      <c r="V3481" s="2"/>
      <c r="W3481" s="2"/>
    </row>
    <row r="3482" spans="1:23" ht="12.5" x14ac:dyDescent="0.25">
      <c r="A3482" s="2" t="s">
        <v>5882</v>
      </c>
      <c r="B3482" s="2">
        <v>92</v>
      </c>
      <c r="C3482" s="2">
        <v>7927</v>
      </c>
      <c r="D3482" s="2" t="s">
        <v>5883</v>
      </c>
      <c r="E3482" s="2" t="s">
        <v>5884</v>
      </c>
      <c r="F3482" s="2" t="s">
        <v>14</v>
      </c>
      <c r="G3482" s="2" t="s">
        <v>15</v>
      </c>
      <c r="H3482" s="2">
        <v>2300000</v>
      </c>
      <c r="I3482" s="2">
        <v>7.7</v>
      </c>
      <c r="J3482" s="2">
        <f t="shared" si="26"/>
        <v>-2292073</v>
      </c>
      <c r="K3482" s="2">
        <f t="shared" si="27"/>
        <v>1.9084861455696916E-2</v>
      </c>
      <c r="L3482" s="2" t="str">
        <f>IF(ISNUMBER(SEARCH("|",IMDB_Movies!$D3482)),LEFT(IMDB_Movies!$D3482,SEARCH("|",IMDB_Movies!$D3482)-1),IMDB_Movies!$D3482)</f>
        <v>Crime</v>
      </c>
      <c r="V3482" s="2"/>
      <c r="W3482" s="2"/>
    </row>
    <row r="3483" spans="1:23" ht="12.5" x14ac:dyDescent="0.25">
      <c r="A3483" s="2" t="s">
        <v>5885</v>
      </c>
      <c r="B3483" s="2">
        <v>106</v>
      </c>
      <c r="C3483" s="2">
        <v>2436</v>
      </c>
      <c r="D3483" s="2" t="s">
        <v>5886</v>
      </c>
      <c r="E3483" s="2" t="s">
        <v>5887</v>
      </c>
      <c r="F3483" s="2" t="s">
        <v>14</v>
      </c>
      <c r="G3483" s="2" t="s">
        <v>15</v>
      </c>
      <c r="H3483" s="2">
        <v>2000000</v>
      </c>
      <c r="I3483" s="2">
        <v>5.7</v>
      </c>
      <c r="J3483" s="2">
        <f t="shared" si="26"/>
        <v>-1997564</v>
      </c>
      <c r="K3483" s="2">
        <f t="shared" si="27"/>
        <v>1.9048760057175526E-2</v>
      </c>
      <c r="L3483" s="2" t="str">
        <f>IF(ISNUMBER(SEARCH("|",IMDB_Movies!$D3483)),LEFT(IMDB_Movies!$D3483,SEARCH("|",IMDB_Movies!$D3483)-1),IMDB_Movies!$D3483)</f>
        <v>Comedy</v>
      </c>
      <c r="V3483" s="2"/>
      <c r="W3483" s="2"/>
    </row>
    <row r="3484" spans="1:23" ht="12.5" x14ac:dyDescent="0.25">
      <c r="A3484" s="2" t="s">
        <v>5888</v>
      </c>
      <c r="B3484" s="2">
        <v>99</v>
      </c>
      <c r="C3484" s="2">
        <v>4600000</v>
      </c>
      <c r="D3484" s="2" t="s">
        <v>694</v>
      </c>
      <c r="E3484" s="2" t="s">
        <v>5889</v>
      </c>
      <c r="F3484" s="2" t="s">
        <v>14</v>
      </c>
      <c r="G3484" s="2" t="s">
        <v>15</v>
      </c>
      <c r="H3484" s="2">
        <v>1900000</v>
      </c>
      <c r="I3484" s="2">
        <v>7.1</v>
      </c>
      <c r="J3484" s="2">
        <f t="shared" si="26"/>
        <v>2700000</v>
      </c>
      <c r="K3484" s="2">
        <f t="shared" si="27"/>
        <v>1.9006704141963052E-2</v>
      </c>
      <c r="L3484" s="2" t="str">
        <f>IF(ISNUMBER(SEARCH("|",IMDB_Movies!$D3484)),LEFT(IMDB_Movies!$D3484,SEARCH("|",IMDB_Movies!$D3484)-1),IMDB_Movies!$D3484)</f>
        <v>Crime</v>
      </c>
      <c r="V3484" s="2"/>
      <c r="W3484" s="2"/>
    </row>
    <row r="3485" spans="1:23" ht="12.5" x14ac:dyDescent="0.25">
      <c r="A3485" s="2" t="s">
        <v>4358</v>
      </c>
      <c r="B3485" s="2">
        <v>103</v>
      </c>
      <c r="C3485" s="2">
        <v>1420578</v>
      </c>
      <c r="D3485" s="2" t="s">
        <v>1805</v>
      </c>
      <c r="E3485" s="2" t="s">
        <v>5890</v>
      </c>
      <c r="F3485" s="2" t="s">
        <v>14</v>
      </c>
      <c r="G3485" s="2" t="s">
        <v>15</v>
      </c>
      <c r="H3485" s="2">
        <v>1900000</v>
      </c>
      <c r="I3485" s="2">
        <v>6.4</v>
      </c>
      <c r="J3485" s="2">
        <f t="shared" si="26"/>
        <v>-479422</v>
      </c>
      <c r="K3485" s="2">
        <f t="shared" si="27"/>
        <v>1.8993753626602602E-2</v>
      </c>
      <c r="L3485" s="2" t="str">
        <f>IF(ISNUMBER(SEARCH("|",IMDB_Movies!$D3485)),LEFT(IMDB_Movies!$D3485,SEARCH("|",IMDB_Movies!$D3485)-1),IMDB_Movies!$D3485)</f>
        <v>Drama</v>
      </c>
      <c r="V3485" s="2"/>
      <c r="W3485" s="2"/>
    </row>
    <row r="3486" spans="1:23" ht="12.5" x14ac:dyDescent="0.25">
      <c r="A3486" s="2" t="s">
        <v>5891</v>
      </c>
      <c r="B3486" s="2">
        <v>95</v>
      </c>
      <c r="C3486" s="2">
        <v>1028658</v>
      </c>
      <c r="D3486" s="2" t="s">
        <v>690</v>
      </c>
      <c r="E3486" s="2" t="s">
        <v>5892</v>
      </c>
      <c r="F3486" s="2" t="s">
        <v>14</v>
      </c>
      <c r="G3486" s="2" t="s">
        <v>1239</v>
      </c>
      <c r="H3486" s="2">
        <v>3000000</v>
      </c>
      <c r="I3486" s="2">
        <v>7</v>
      </c>
      <c r="J3486" s="2">
        <f t="shared" si="26"/>
        <v>-1971342</v>
      </c>
      <c r="K3486" s="2">
        <f t="shared" si="27"/>
        <v>1.8958618938758755E-2</v>
      </c>
      <c r="L3486" s="2" t="str">
        <f>IF(ISNUMBER(SEARCH("|",IMDB_Movies!$D3486)),LEFT(IMDB_Movies!$D3486,SEARCH("|",IMDB_Movies!$D3486)-1),IMDB_Movies!$D3486)</f>
        <v>Drama</v>
      </c>
      <c r="V3486" s="2"/>
      <c r="W3486" s="2"/>
    </row>
    <row r="3487" spans="1:23" ht="12.5" x14ac:dyDescent="0.25">
      <c r="A3487" s="2" t="s">
        <v>5893</v>
      </c>
      <c r="B3487" s="2">
        <v>95</v>
      </c>
      <c r="C3487" s="2">
        <v>18435</v>
      </c>
      <c r="D3487" s="2" t="s">
        <v>1180</v>
      </c>
      <c r="E3487" s="2" t="s">
        <v>5894</v>
      </c>
      <c r="F3487" s="2" t="s">
        <v>1006</v>
      </c>
      <c r="G3487" s="2" t="s">
        <v>686</v>
      </c>
      <c r="H3487" s="2">
        <v>1400000</v>
      </c>
      <c r="I3487" s="2">
        <v>5.8</v>
      </c>
      <c r="J3487" s="2">
        <f t="shared" si="26"/>
        <v>-1381565</v>
      </c>
      <c r="K3487" s="2">
        <f t="shared" si="27"/>
        <v>1.8938219807466263E-2</v>
      </c>
      <c r="L3487" s="2" t="str">
        <f>IF(ISNUMBER(SEARCH("|",IMDB_Movies!$D3487)),LEFT(IMDB_Movies!$D3487,SEARCH("|",IMDB_Movies!$D3487)-1),IMDB_Movies!$D3487)</f>
        <v>Drama</v>
      </c>
      <c r="V3487" s="2"/>
      <c r="W3487" s="2"/>
    </row>
    <row r="3488" spans="1:23" ht="12.5" x14ac:dyDescent="0.25">
      <c r="A3488" s="2" t="s">
        <v>4068</v>
      </c>
      <c r="B3488" s="2">
        <v>90</v>
      </c>
      <c r="C3488" s="2">
        <v>2957978</v>
      </c>
      <c r="D3488" s="2" t="s">
        <v>5895</v>
      </c>
      <c r="E3488" s="2" t="s">
        <v>5896</v>
      </c>
      <c r="F3488" s="2" t="s">
        <v>14</v>
      </c>
      <c r="G3488" s="2" t="s">
        <v>22</v>
      </c>
      <c r="H3488" s="2">
        <v>1000000</v>
      </c>
      <c r="I3488" s="2">
        <v>7.8</v>
      </c>
      <c r="J3488" s="2">
        <f t="shared" si="26"/>
        <v>1957978</v>
      </c>
      <c r="K3488" s="2">
        <f t="shared" si="27"/>
        <v>1.8883860299301284E-2</v>
      </c>
      <c r="L3488" s="2" t="str">
        <f>IF(ISNUMBER(SEARCH("|",IMDB_Movies!$D3488)),LEFT(IMDB_Movies!$D3488,SEARCH("|",IMDB_Movies!$D3488)-1),IMDB_Movies!$D3488)</f>
        <v>Biography</v>
      </c>
      <c r="V3488" s="2"/>
      <c r="W3488" s="2"/>
    </row>
    <row r="3489" spans="1:23" ht="12.5" x14ac:dyDescent="0.25">
      <c r="A3489" s="2" t="s">
        <v>5897</v>
      </c>
      <c r="B3489" s="2">
        <v>89</v>
      </c>
      <c r="C3489" s="2">
        <v>444044</v>
      </c>
      <c r="D3489" s="2" t="s">
        <v>1180</v>
      </c>
      <c r="E3489" s="2" t="s">
        <v>5898</v>
      </c>
      <c r="F3489" s="2" t="s">
        <v>14</v>
      </c>
      <c r="G3489" s="2" t="s">
        <v>15</v>
      </c>
      <c r="H3489" s="2">
        <v>1900000</v>
      </c>
      <c r="I3489" s="2">
        <v>7.2</v>
      </c>
      <c r="J3489" s="2">
        <f t="shared" si="26"/>
        <v>-1455956</v>
      </c>
      <c r="K3489" s="2">
        <f t="shared" si="27"/>
        <v>1.8849260182251835E-2</v>
      </c>
      <c r="L3489" s="2" t="str">
        <f>IF(ISNUMBER(SEARCH("|",IMDB_Movies!$D3489)),LEFT(IMDB_Movies!$D3489,SEARCH("|",IMDB_Movies!$D3489)-1),IMDB_Movies!$D3489)</f>
        <v>Drama</v>
      </c>
      <c r="V3489" s="2"/>
      <c r="W3489" s="2"/>
    </row>
    <row r="3490" spans="1:23" ht="12.5" x14ac:dyDescent="0.25">
      <c r="A3490" s="2" t="s">
        <v>5899</v>
      </c>
      <c r="B3490" s="2">
        <v>87</v>
      </c>
      <c r="C3490" s="2">
        <v>40990055</v>
      </c>
      <c r="D3490" s="2" t="s">
        <v>1507</v>
      </c>
      <c r="E3490" s="2" t="s">
        <v>5900</v>
      </c>
      <c r="F3490" s="2" t="s">
        <v>14</v>
      </c>
      <c r="G3490" s="2" t="s">
        <v>686</v>
      </c>
      <c r="H3490" s="2">
        <v>1800000</v>
      </c>
      <c r="I3490" s="2">
        <v>5.6</v>
      </c>
      <c r="J3490" s="2">
        <f t="shared" si="26"/>
        <v>39190055</v>
      </c>
      <c r="K3490" s="2">
        <f t="shared" si="27"/>
        <v>1.8806576077798835E-2</v>
      </c>
      <c r="L3490" s="2" t="str">
        <f>IF(ISNUMBER(SEARCH("|",IMDB_Movies!$D3490)),LEFT(IMDB_Movies!$D3490,SEARCH("|",IMDB_Movies!$D3490)-1),IMDB_Movies!$D3490)</f>
        <v>Drama</v>
      </c>
      <c r="V3490" s="2"/>
      <c r="W3490" s="2"/>
    </row>
    <row r="3491" spans="1:23" ht="12.5" x14ac:dyDescent="0.25">
      <c r="A3491" s="2" t="s">
        <v>5901</v>
      </c>
      <c r="B3491" s="2">
        <v>118</v>
      </c>
      <c r="C3491" s="2">
        <v>5709616</v>
      </c>
      <c r="D3491" s="2" t="s">
        <v>85</v>
      </c>
      <c r="E3491" s="2" t="s">
        <v>5902</v>
      </c>
      <c r="F3491" s="2" t="s">
        <v>971</v>
      </c>
      <c r="G3491" s="2" t="s">
        <v>3657</v>
      </c>
      <c r="H3491" s="2">
        <v>1800000</v>
      </c>
      <c r="I3491" s="2">
        <v>6.8</v>
      </c>
      <c r="J3491" s="2">
        <f t="shared" si="26"/>
        <v>3909616</v>
      </c>
      <c r="K3491" s="2">
        <f t="shared" si="27"/>
        <v>1.9182805744526549E-2</v>
      </c>
      <c r="L3491" s="2" t="str">
        <f>IF(ISNUMBER(SEARCH("|",IMDB_Movies!$D3491)),LEFT(IMDB_Movies!$D3491,SEARCH("|",IMDB_Movies!$D3491)-1),IMDB_Movies!$D3491)</f>
        <v>Drama</v>
      </c>
      <c r="V3491" s="2"/>
      <c r="W3491" s="2"/>
    </row>
    <row r="3492" spans="1:23" ht="12.5" x14ac:dyDescent="0.25">
      <c r="A3492" s="2" t="s">
        <v>5903</v>
      </c>
      <c r="B3492" s="2">
        <v>93</v>
      </c>
      <c r="C3492" s="2">
        <v>12784397</v>
      </c>
      <c r="D3492" s="2" t="s">
        <v>1805</v>
      </c>
      <c r="E3492" s="2" t="s">
        <v>5904</v>
      </c>
      <c r="F3492" s="2" t="s">
        <v>14</v>
      </c>
      <c r="G3492" s="2" t="s">
        <v>15</v>
      </c>
      <c r="H3492" s="2">
        <v>1800000</v>
      </c>
      <c r="I3492" s="2">
        <v>7.3</v>
      </c>
      <c r="J3492" s="2">
        <f t="shared" si="26"/>
        <v>10984397</v>
      </c>
      <c r="K3492" s="2">
        <f t="shared" si="27"/>
        <v>1.9177782373299465E-2</v>
      </c>
      <c r="L3492" s="2" t="str">
        <f>IF(ISNUMBER(SEARCH("|",IMDB_Movies!$D3492)),LEFT(IMDB_Movies!$D3492,SEARCH("|",IMDB_Movies!$D3492)-1),IMDB_Movies!$D3492)</f>
        <v>Drama</v>
      </c>
      <c r="V3492" s="2"/>
      <c r="W3492" s="2"/>
    </row>
    <row r="3493" spans="1:23" ht="12.5" x14ac:dyDescent="0.25">
      <c r="A3493" s="2" t="s">
        <v>5905</v>
      </c>
      <c r="B3493" s="2">
        <v>109</v>
      </c>
      <c r="C3493" s="2">
        <v>3050934</v>
      </c>
      <c r="D3493" s="2" t="s">
        <v>2082</v>
      </c>
      <c r="E3493" s="2" t="s">
        <v>5906</v>
      </c>
      <c r="F3493" s="2" t="s">
        <v>14</v>
      </c>
      <c r="G3493" s="2" t="s">
        <v>15</v>
      </c>
      <c r="H3493" s="2">
        <v>1800000</v>
      </c>
      <c r="I3493" s="2">
        <v>7.3</v>
      </c>
      <c r="J3493" s="2">
        <f t="shared" si="26"/>
        <v>1250934</v>
      </c>
      <c r="K3493" s="2">
        <f t="shared" si="27"/>
        <v>1.9233183112458641E-2</v>
      </c>
      <c r="L3493" s="2" t="str">
        <f>IF(ISNUMBER(SEARCH("|",IMDB_Movies!$D3493)),LEFT(IMDB_Movies!$D3493,SEARCH("|",IMDB_Movies!$D3493)-1),IMDB_Movies!$D3493)</f>
        <v>Drama</v>
      </c>
      <c r="V3493" s="2"/>
      <c r="W3493" s="2"/>
    </row>
    <row r="3494" spans="1:23" ht="12.5" x14ac:dyDescent="0.25">
      <c r="A3494" s="2" t="s">
        <v>4721</v>
      </c>
      <c r="B3494" s="2">
        <v>90</v>
      </c>
      <c r="C3494" s="2">
        <v>638476</v>
      </c>
      <c r="D3494" s="2" t="s">
        <v>5324</v>
      </c>
      <c r="E3494" s="2" t="s">
        <v>5907</v>
      </c>
      <c r="F3494" s="2" t="s">
        <v>14</v>
      </c>
      <c r="G3494" s="2" t="s">
        <v>15</v>
      </c>
      <c r="H3494" s="2">
        <v>1500000</v>
      </c>
      <c r="I3494" s="2">
        <v>6.6</v>
      </c>
      <c r="J3494" s="2">
        <f t="shared" si="26"/>
        <v>-861524</v>
      </c>
      <c r="K3494" s="2">
        <f t="shared" si="27"/>
        <v>1.9207705855568198E-2</v>
      </c>
      <c r="L3494" s="2" t="str">
        <f>IF(ISNUMBER(SEARCH("|",IMDB_Movies!$D3494)),LEFT(IMDB_Movies!$D3494,SEARCH("|",IMDB_Movies!$D3494)-1),IMDB_Movies!$D3494)</f>
        <v>Comedy</v>
      </c>
      <c r="V3494" s="2"/>
      <c r="W3494" s="2"/>
    </row>
    <row r="3495" spans="1:23" ht="12.5" x14ac:dyDescent="0.25">
      <c r="A3495" s="2" t="s">
        <v>5908</v>
      </c>
      <c r="B3495" s="2">
        <v>108</v>
      </c>
      <c r="C3495" s="2">
        <v>505295</v>
      </c>
      <c r="D3495" s="2" t="s">
        <v>2349</v>
      </c>
      <c r="E3495" s="2" t="s">
        <v>5909</v>
      </c>
      <c r="F3495" s="2" t="s">
        <v>5910</v>
      </c>
      <c r="G3495" s="2" t="s">
        <v>135</v>
      </c>
      <c r="H3495" s="2">
        <v>1800000</v>
      </c>
      <c r="I3495" s="2">
        <v>7.5</v>
      </c>
      <c r="J3495" s="2">
        <f t="shared" si="26"/>
        <v>-1294705</v>
      </c>
      <c r="K3495" s="2">
        <f t="shared" si="27"/>
        <v>1.9159242164571769E-2</v>
      </c>
      <c r="L3495" s="2" t="str">
        <f>IF(ISNUMBER(SEARCH("|",IMDB_Movies!$D3495)),LEFT(IMDB_Movies!$D3495,SEARCH("|",IMDB_Movies!$D3495)-1),IMDB_Movies!$D3495)</f>
        <v>Adventure</v>
      </c>
      <c r="V3495" s="2"/>
      <c r="W3495" s="2"/>
    </row>
    <row r="3496" spans="1:23" ht="12.5" x14ac:dyDescent="0.25">
      <c r="A3496" s="2" t="s">
        <v>659</v>
      </c>
      <c r="B3496" s="2">
        <v>81</v>
      </c>
      <c r="C3496" s="2">
        <v>7267324</v>
      </c>
      <c r="D3496" s="2" t="s">
        <v>694</v>
      </c>
      <c r="E3496" s="2" t="s">
        <v>5911</v>
      </c>
      <c r="F3496" s="2" t="s">
        <v>3713</v>
      </c>
      <c r="G3496" s="2" t="s">
        <v>287</v>
      </c>
      <c r="H3496" s="2">
        <v>3500000</v>
      </c>
      <c r="I3496" s="2">
        <v>7.8</v>
      </c>
      <c r="J3496" s="2">
        <f t="shared" si="26"/>
        <v>3767324</v>
      </c>
      <c r="K3496" s="2">
        <f t="shared" si="27"/>
        <v>1.9114625501598183E-2</v>
      </c>
      <c r="L3496" s="2" t="str">
        <f>IF(ISNUMBER(SEARCH("|",IMDB_Movies!$D3496)),LEFT(IMDB_Movies!$D3496,SEARCH("|",IMDB_Movies!$D3496)-1),IMDB_Movies!$D3496)</f>
        <v>Crime</v>
      </c>
      <c r="V3496" s="2"/>
      <c r="W3496" s="2"/>
    </row>
    <row r="3497" spans="1:23" ht="12.5" x14ac:dyDescent="0.25">
      <c r="A3497" s="2" t="s">
        <v>5912</v>
      </c>
      <c r="B3497" s="2">
        <v>93</v>
      </c>
      <c r="C3497" s="2">
        <v>145540</v>
      </c>
      <c r="D3497" s="2" t="s">
        <v>4975</v>
      </c>
      <c r="E3497" s="2" t="s">
        <v>5913</v>
      </c>
      <c r="F3497" s="2" t="s">
        <v>14</v>
      </c>
      <c r="G3497" s="2" t="s">
        <v>15</v>
      </c>
      <c r="H3497" s="2">
        <v>500000</v>
      </c>
      <c r="I3497" s="2">
        <v>6.7</v>
      </c>
      <c r="J3497" s="2">
        <f t="shared" si="26"/>
        <v>-354460</v>
      </c>
      <c r="K3497" s="2">
        <f t="shared" si="27"/>
        <v>1.9117411390022682E-2</v>
      </c>
      <c r="L3497" s="2" t="str">
        <f>IF(ISNUMBER(SEARCH("|",IMDB_Movies!$D3497)),LEFT(IMDB_Movies!$D3497,SEARCH("|",IMDB_Movies!$D3497)-1),IMDB_Movies!$D3497)</f>
        <v>Drama</v>
      </c>
      <c r="V3497" s="2"/>
      <c r="W3497" s="2"/>
    </row>
    <row r="3498" spans="1:23" ht="12.5" x14ac:dyDescent="0.25">
      <c r="A3498" s="2" t="s">
        <v>4284</v>
      </c>
      <c r="B3498" s="2">
        <v>138</v>
      </c>
      <c r="C3498" s="2">
        <v>35918429</v>
      </c>
      <c r="D3498" s="2" t="s">
        <v>694</v>
      </c>
      <c r="E3498" s="2" t="s">
        <v>5914</v>
      </c>
      <c r="F3498" s="2" t="s">
        <v>14</v>
      </c>
      <c r="G3498" s="2" t="s">
        <v>15</v>
      </c>
      <c r="H3498" s="2">
        <v>1700000</v>
      </c>
      <c r="I3498" s="2">
        <v>7.5</v>
      </c>
      <c r="J3498" s="2">
        <f t="shared" si="26"/>
        <v>34218429</v>
      </c>
      <c r="K3498" s="2">
        <f t="shared" si="27"/>
        <v>1.9045586684305994E-2</v>
      </c>
      <c r="L3498" s="2" t="str">
        <f>IF(ISNUMBER(SEARCH("|",IMDB_Movies!$D3498)),LEFT(IMDB_Movies!$D3498,SEARCH("|",IMDB_Movies!$D3498)-1),IMDB_Movies!$D3498)</f>
        <v>Crime</v>
      </c>
      <c r="V3498" s="2"/>
      <c r="W3498" s="2"/>
    </row>
    <row r="3499" spans="1:23" ht="12.5" x14ac:dyDescent="0.25">
      <c r="A3499" s="2" t="s">
        <v>5915</v>
      </c>
      <c r="B3499" s="2">
        <v>105</v>
      </c>
      <c r="C3499" s="2">
        <v>92401</v>
      </c>
      <c r="D3499" s="2" t="s">
        <v>2228</v>
      </c>
      <c r="E3499" s="2" t="s">
        <v>5916</v>
      </c>
      <c r="F3499" s="2" t="s">
        <v>14</v>
      </c>
      <c r="G3499" s="2" t="s">
        <v>15</v>
      </c>
      <c r="H3499" s="2">
        <v>2000000</v>
      </c>
      <c r="I3499" s="2">
        <v>6.3</v>
      </c>
      <c r="J3499" s="2">
        <f t="shared" si="26"/>
        <v>-1907599</v>
      </c>
      <c r="K3499" s="2">
        <f t="shared" si="27"/>
        <v>1.9373102503130384E-2</v>
      </c>
      <c r="L3499" s="2" t="str">
        <f>IF(ISNUMBER(SEARCH("|",IMDB_Movies!$D3499)),LEFT(IMDB_Movies!$D3499,SEARCH("|",IMDB_Movies!$D3499)-1),IMDB_Movies!$D3499)</f>
        <v>Horror</v>
      </c>
      <c r="V3499" s="2"/>
      <c r="W3499" s="2"/>
    </row>
    <row r="3500" spans="1:23" ht="12.5" x14ac:dyDescent="0.25">
      <c r="A3500" s="2" t="s">
        <v>5917</v>
      </c>
      <c r="B3500" s="2">
        <v>98</v>
      </c>
      <c r="C3500" s="2">
        <v>1943649</v>
      </c>
      <c r="D3500" s="2" t="s">
        <v>1464</v>
      </c>
      <c r="E3500" s="2" t="s">
        <v>5918</v>
      </c>
      <c r="F3500" s="2" t="s">
        <v>14</v>
      </c>
      <c r="G3500" s="2" t="s">
        <v>15</v>
      </c>
      <c r="H3500" s="2">
        <v>1700000</v>
      </c>
      <c r="I3500" s="2">
        <v>6.3</v>
      </c>
      <c r="J3500" s="2">
        <f t="shared" si="26"/>
        <v>243649</v>
      </c>
      <c r="K3500" s="2">
        <f t="shared" si="27"/>
        <v>1.9328909925802711E-2</v>
      </c>
      <c r="L3500" s="2" t="str">
        <f>IF(ISNUMBER(SEARCH("|",IMDB_Movies!$D3500)),LEFT(IMDB_Movies!$D3500,SEARCH("|",IMDB_Movies!$D3500)-1),IMDB_Movies!$D3500)</f>
        <v>Comedy</v>
      </c>
      <c r="V3500" s="2"/>
      <c r="W3500" s="2"/>
    </row>
    <row r="3501" spans="1:23" ht="12.5" x14ac:dyDescent="0.25">
      <c r="A3501" s="2" t="s">
        <v>5919</v>
      </c>
      <c r="B3501" s="2">
        <v>86</v>
      </c>
      <c r="C3501" s="2">
        <v>992238</v>
      </c>
      <c r="D3501" s="2" t="s">
        <v>85</v>
      </c>
      <c r="E3501" s="2" t="s">
        <v>5920</v>
      </c>
      <c r="F3501" s="2" t="s">
        <v>14</v>
      </c>
      <c r="G3501" s="2" t="s">
        <v>22</v>
      </c>
      <c r="H3501" s="2">
        <v>1700000</v>
      </c>
      <c r="I3501" s="2">
        <v>6.8</v>
      </c>
      <c r="J3501" s="2">
        <f t="shared" si="26"/>
        <v>-707762</v>
      </c>
      <c r="K3501" s="2">
        <f t="shared" si="27"/>
        <v>1.9292996696530836E-2</v>
      </c>
      <c r="L3501" s="2" t="str">
        <f>IF(ISNUMBER(SEARCH("|",IMDB_Movies!$D3501)),LEFT(IMDB_Movies!$D3501,SEARCH("|",IMDB_Movies!$D3501)-1),IMDB_Movies!$D3501)</f>
        <v>Drama</v>
      </c>
      <c r="V3501" s="2"/>
      <c r="W3501" s="2"/>
    </row>
    <row r="3502" spans="1:23" ht="12.5" x14ac:dyDescent="0.25">
      <c r="A3502" s="2" t="s">
        <v>5921</v>
      </c>
      <c r="B3502" s="2">
        <v>104</v>
      </c>
      <c r="C3502" s="2">
        <v>4231500</v>
      </c>
      <c r="D3502" s="2" t="s">
        <v>85</v>
      </c>
      <c r="E3502" s="2" t="s">
        <v>5922</v>
      </c>
      <c r="F3502" s="2" t="s">
        <v>4629</v>
      </c>
      <c r="G3502" s="2" t="s">
        <v>2312</v>
      </c>
      <c r="H3502" s="2">
        <v>1000000</v>
      </c>
      <c r="I3502" s="2">
        <v>7.8</v>
      </c>
      <c r="J3502" s="2">
        <f t="shared" si="26"/>
        <v>3231500</v>
      </c>
      <c r="K3502" s="2">
        <f t="shared" si="27"/>
        <v>1.9249410905261988E-2</v>
      </c>
      <c r="L3502" s="2" t="str">
        <f>IF(ISNUMBER(SEARCH("|",IMDB_Movies!$D3502)),LEFT(IMDB_Movies!$D3502,SEARCH("|",IMDB_Movies!$D3502)-1),IMDB_Movies!$D3502)</f>
        <v>Drama</v>
      </c>
      <c r="V3502" s="2"/>
      <c r="W3502" s="2"/>
    </row>
    <row r="3503" spans="1:23" ht="12.5" x14ac:dyDescent="0.25">
      <c r="A3503" s="2" t="s">
        <v>5923</v>
      </c>
      <c r="B3503" s="2">
        <v>100</v>
      </c>
      <c r="C3503" s="2">
        <v>396035</v>
      </c>
      <c r="D3503" s="2" t="s">
        <v>85</v>
      </c>
      <c r="E3503" s="2" t="s">
        <v>5924</v>
      </c>
      <c r="F3503" s="2" t="s">
        <v>14</v>
      </c>
      <c r="G3503" s="2" t="s">
        <v>22</v>
      </c>
      <c r="H3503" s="2">
        <v>1000000</v>
      </c>
      <c r="I3503" s="2">
        <v>6.9</v>
      </c>
      <c r="J3503" s="2">
        <f t="shared" si="26"/>
        <v>-603965</v>
      </c>
      <c r="K3503" s="2">
        <f t="shared" si="27"/>
        <v>1.9227053825469253E-2</v>
      </c>
      <c r="L3503" s="2" t="str">
        <f>IF(ISNUMBER(SEARCH("|",IMDB_Movies!$D3503)),LEFT(IMDB_Movies!$D3503,SEARCH("|",IMDB_Movies!$D3503)-1),IMDB_Movies!$D3503)</f>
        <v>Drama</v>
      </c>
      <c r="V3503" s="2"/>
      <c r="W3503" s="2"/>
    </row>
    <row r="3504" spans="1:23" ht="12.5" x14ac:dyDescent="0.25">
      <c r="A3504" s="2" t="s">
        <v>5925</v>
      </c>
      <c r="B3504" s="2">
        <v>84</v>
      </c>
      <c r="C3504" s="2">
        <v>6026908</v>
      </c>
      <c r="D3504" s="2" t="s">
        <v>891</v>
      </c>
      <c r="E3504" s="2" t="s">
        <v>5926</v>
      </c>
      <c r="F3504" s="2" t="s">
        <v>14</v>
      </c>
      <c r="G3504" s="2" t="s">
        <v>15</v>
      </c>
      <c r="H3504" s="2">
        <v>2000000</v>
      </c>
      <c r="I3504" s="2">
        <v>4.3</v>
      </c>
      <c r="J3504" s="2">
        <f t="shared" si="26"/>
        <v>4026908</v>
      </c>
      <c r="K3504" s="2">
        <f t="shared" si="27"/>
        <v>1.9165710671135549E-2</v>
      </c>
      <c r="L3504" s="2" t="str">
        <f>IF(ISNUMBER(SEARCH("|",IMDB_Movies!$D3504)),LEFT(IMDB_Movies!$D3504,SEARCH("|",IMDB_Movies!$D3504)-1),IMDB_Movies!$D3504)</f>
        <v>Comedy</v>
      </c>
      <c r="V3504" s="2"/>
      <c r="W3504" s="2"/>
    </row>
    <row r="3505" spans="1:23" ht="12.5" x14ac:dyDescent="0.25">
      <c r="A3505" s="2" t="s">
        <v>5927</v>
      </c>
      <c r="B3505" s="2">
        <v>95</v>
      </c>
      <c r="C3505" s="2">
        <v>1060591</v>
      </c>
      <c r="D3505" s="2" t="s">
        <v>514</v>
      </c>
      <c r="E3505" s="2" t="s">
        <v>5928</v>
      </c>
      <c r="F3505" s="2" t="s">
        <v>5929</v>
      </c>
      <c r="G3505" s="2" t="s">
        <v>686</v>
      </c>
      <c r="H3505" s="2">
        <v>1300000</v>
      </c>
      <c r="I3505" s="2">
        <v>7.2</v>
      </c>
      <c r="J3505" s="2">
        <f t="shared" si="26"/>
        <v>-239409</v>
      </c>
      <c r="K3505" s="2">
        <f t="shared" si="27"/>
        <v>1.9163015058796022E-2</v>
      </c>
      <c r="L3505" s="2" t="str">
        <f>IF(ISNUMBER(SEARCH("|",IMDB_Movies!$D3505)),LEFT(IMDB_Movies!$D3505,SEARCH("|",IMDB_Movies!$D3505)-1),IMDB_Movies!$D3505)</f>
        <v>Comedy</v>
      </c>
      <c r="V3505" s="2"/>
      <c r="W3505" s="2"/>
    </row>
    <row r="3506" spans="1:23" ht="12.5" x14ac:dyDescent="0.25">
      <c r="A3506" s="2" t="s">
        <v>5930</v>
      </c>
      <c r="B3506" s="2">
        <v>90</v>
      </c>
      <c r="C3506" s="2">
        <v>155972</v>
      </c>
      <c r="D3506" s="2" t="s">
        <v>514</v>
      </c>
      <c r="E3506" s="2" t="s">
        <v>5931</v>
      </c>
      <c r="F3506" s="2" t="s">
        <v>5851</v>
      </c>
      <c r="G3506" s="2" t="s">
        <v>5852</v>
      </c>
      <c r="H3506" s="2">
        <v>1500000</v>
      </c>
      <c r="I3506" s="2">
        <v>7.3</v>
      </c>
      <c r="J3506" s="2">
        <f t="shared" si="26"/>
        <v>-1344028</v>
      </c>
      <c r="K3506" s="2">
        <f t="shared" si="27"/>
        <v>1.9112432488995114E-2</v>
      </c>
      <c r="L3506" s="2" t="str">
        <f>IF(ISNUMBER(SEARCH("|",IMDB_Movies!$D3506)),LEFT(IMDB_Movies!$D3506,SEARCH("|",IMDB_Movies!$D3506)-1),IMDB_Movies!$D3506)</f>
        <v>Comedy</v>
      </c>
      <c r="V3506" s="2"/>
      <c r="W3506" s="2"/>
    </row>
    <row r="3507" spans="1:23" ht="12.5" x14ac:dyDescent="0.25">
      <c r="A3507" s="2" t="s">
        <v>5932</v>
      </c>
      <c r="B3507" s="2">
        <v>123</v>
      </c>
      <c r="C3507" s="2">
        <v>26893</v>
      </c>
      <c r="D3507" s="2" t="s">
        <v>4542</v>
      </c>
      <c r="E3507" s="2" t="s">
        <v>5933</v>
      </c>
      <c r="F3507" s="2" t="s">
        <v>1006</v>
      </c>
      <c r="G3507" s="2" t="s">
        <v>686</v>
      </c>
      <c r="H3507" s="2">
        <v>1600000</v>
      </c>
      <c r="I3507" s="2">
        <v>7.2</v>
      </c>
      <c r="J3507" s="2">
        <f t="shared" si="26"/>
        <v>-1573107</v>
      </c>
      <c r="K3507" s="2">
        <f t="shared" si="27"/>
        <v>1.9057075048621041E-2</v>
      </c>
      <c r="L3507" s="2" t="str">
        <f>IF(ISNUMBER(SEARCH("|",IMDB_Movies!$D3507)),LEFT(IMDB_Movies!$D3507,SEARCH("|",IMDB_Movies!$D3507)-1),IMDB_Movies!$D3507)</f>
        <v>Crime</v>
      </c>
      <c r="V3507" s="2"/>
      <c r="W3507" s="2"/>
    </row>
    <row r="3508" spans="1:23" ht="12.5" x14ac:dyDescent="0.25">
      <c r="A3508" s="2" t="s">
        <v>5934</v>
      </c>
      <c r="B3508" s="2">
        <v>111</v>
      </c>
      <c r="C3508" s="2">
        <v>2580</v>
      </c>
      <c r="D3508" s="2" t="s">
        <v>2665</v>
      </c>
      <c r="E3508" s="2" t="s">
        <v>5935</v>
      </c>
      <c r="F3508" s="2" t="s">
        <v>14</v>
      </c>
      <c r="G3508" s="2" t="s">
        <v>15</v>
      </c>
      <c r="H3508" s="2">
        <v>1650000</v>
      </c>
      <c r="I3508" s="2">
        <v>5.4</v>
      </c>
      <c r="J3508" s="2">
        <f t="shared" si="26"/>
        <v>-1647420</v>
      </c>
      <c r="K3508" s="2">
        <f t="shared" si="27"/>
        <v>1.9002150199635155E-2</v>
      </c>
      <c r="L3508" s="2" t="str">
        <f>IF(ISNUMBER(SEARCH("|",IMDB_Movies!$D3508)),LEFT(IMDB_Movies!$D3508,SEARCH("|",IMDB_Movies!$D3508)-1),IMDB_Movies!$D3508)</f>
        <v>Drama</v>
      </c>
      <c r="V3508" s="2"/>
      <c r="W3508" s="2"/>
    </row>
    <row r="3509" spans="1:23" ht="12.5" x14ac:dyDescent="0.25">
      <c r="A3509" s="2" t="s">
        <v>5936</v>
      </c>
      <c r="B3509" s="2">
        <v>108</v>
      </c>
      <c r="C3509" s="2">
        <v>19067631</v>
      </c>
      <c r="D3509" s="2" t="s">
        <v>514</v>
      </c>
      <c r="E3509" s="2" t="s">
        <v>5937</v>
      </c>
      <c r="F3509" s="2" t="s">
        <v>14</v>
      </c>
      <c r="G3509" s="2" t="s">
        <v>15</v>
      </c>
      <c r="H3509" s="2">
        <v>2000000</v>
      </c>
      <c r="I3509" s="2">
        <v>7.1</v>
      </c>
      <c r="J3509" s="2">
        <f t="shared" si="26"/>
        <v>17067631</v>
      </c>
      <c r="K3509" s="2">
        <f t="shared" si="27"/>
        <v>1.894758578201787E-2</v>
      </c>
      <c r="L3509" s="2" t="str">
        <f>IF(ISNUMBER(SEARCH("|",IMDB_Movies!$D3509)),LEFT(IMDB_Movies!$D3509,SEARCH("|",IMDB_Movies!$D3509)-1),IMDB_Movies!$D3509)</f>
        <v>Comedy</v>
      </c>
      <c r="V3509" s="2"/>
      <c r="W3509" s="2"/>
    </row>
    <row r="3510" spans="1:23" ht="12.5" x14ac:dyDescent="0.25">
      <c r="A3510" s="2" t="s">
        <v>5938</v>
      </c>
      <c r="B3510" s="2">
        <v>92</v>
      </c>
      <c r="C3510" s="2">
        <v>11806119</v>
      </c>
      <c r="D3510" s="2" t="s">
        <v>2375</v>
      </c>
      <c r="E3510" s="2" t="s">
        <v>5939</v>
      </c>
      <c r="F3510" s="2" t="s">
        <v>14</v>
      </c>
      <c r="G3510" s="2" t="s">
        <v>15</v>
      </c>
      <c r="H3510" s="2">
        <v>1100000</v>
      </c>
      <c r="I3510" s="2">
        <v>6.8</v>
      </c>
      <c r="J3510" s="2">
        <f t="shared" si="26"/>
        <v>10706119</v>
      </c>
      <c r="K3510" s="2">
        <f t="shared" si="27"/>
        <v>1.9062334707473157E-2</v>
      </c>
      <c r="L3510" s="2" t="str">
        <f>IF(ISNUMBER(SEARCH("|",IMDB_Movies!$D3510)),LEFT(IMDB_Movies!$D3510,SEARCH("|",IMDB_Movies!$D3510)-1),IMDB_Movies!$D3510)</f>
        <v>Action</v>
      </c>
      <c r="V3510" s="2"/>
      <c r="W3510" s="2"/>
    </row>
    <row r="3511" spans="1:23" ht="12.5" x14ac:dyDescent="0.25">
      <c r="A3511" s="2" t="s">
        <v>5940</v>
      </c>
      <c r="B3511" s="2">
        <v>91</v>
      </c>
      <c r="C3511" s="2">
        <v>7417210</v>
      </c>
      <c r="D3511" s="2" t="s">
        <v>1180</v>
      </c>
      <c r="E3511" s="2" t="s">
        <v>5941</v>
      </c>
      <c r="F3511" s="2" t="s">
        <v>14</v>
      </c>
      <c r="G3511" s="2" t="s">
        <v>15</v>
      </c>
      <c r="H3511" s="2">
        <v>1500000</v>
      </c>
      <c r="I3511" s="2">
        <v>7</v>
      </c>
      <c r="J3511" s="2">
        <f t="shared" si="26"/>
        <v>5917210</v>
      </c>
      <c r="K3511" s="2">
        <f t="shared" si="27"/>
        <v>1.9122950129913545E-2</v>
      </c>
      <c r="L3511" s="2" t="str">
        <f>IF(ISNUMBER(SEARCH("|",IMDB_Movies!$D3511)),LEFT(IMDB_Movies!$D3511,SEARCH("|",IMDB_Movies!$D3511)-1),IMDB_Movies!$D3511)</f>
        <v>Drama</v>
      </c>
      <c r="V3511" s="2"/>
      <c r="W3511" s="2"/>
    </row>
    <row r="3512" spans="1:23" ht="12.5" x14ac:dyDescent="0.25">
      <c r="A3512" s="2" t="s">
        <v>4795</v>
      </c>
      <c r="B3512" s="2">
        <v>88</v>
      </c>
      <c r="C3512" s="2">
        <v>7362100</v>
      </c>
      <c r="D3512" s="2" t="s">
        <v>891</v>
      </c>
      <c r="E3512" s="2" t="s">
        <v>5942</v>
      </c>
      <c r="F3512" s="2" t="s">
        <v>14</v>
      </c>
      <c r="G3512" s="2" t="s">
        <v>15</v>
      </c>
      <c r="H3512" s="2">
        <v>1500000</v>
      </c>
      <c r="I3512" s="2">
        <v>7.4</v>
      </c>
      <c r="J3512" s="2">
        <f t="shared" si="26"/>
        <v>5862100</v>
      </c>
      <c r="K3512" s="2">
        <f t="shared" si="27"/>
        <v>1.9132865781748852E-2</v>
      </c>
      <c r="L3512" s="2" t="str">
        <f>IF(ISNUMBER(SEARCH("|",IMDB_Movies!$D3512)),LEFT(IMDB_Movies!$D3512,SEARCH("|",IMDB_Movies!$D3512)-1),IMDB_Movies!$D3512)</f>
        <v>Comedy</v>
      </c>
      <c r="V3512" s="2"/>
      <c r="W3512" s="2"/>
    </row>
    <row r="3513" spans="1:23" ht="12.5" x14ac:dyDescent="0.25">
      <c r="A3513" s="2" t="s">
        <v>3082</v>
      </c>
      <c r="B3513" s="2">
        <v>97</v>
      </c>
      <c r="C3513" s="2">
        <v>7022940</v>
      </c>
      <c r="D3513" s="2" t="s">
        <v>514</v>
      </c>
      <c r="E3513" s="2" t="s">
        <v>5943</v>
      </c>
      <c r="F3513" s="2" t="s">
        <v>14</v>
      </c>
      <c r="G3513" s="2" t="s">
        <v>15</v>
      </c>
      <c r="H3513" s="2">
        <v>1000000</v>
      </c>
      <c r="I3513" s="2">
        <v>6.7</v>
      </c>
      <c r="J3513" s="2">
        <f t="shared" si="26"/>
        <v>6022940</v>
      </c>
      <c r="K3513" s="2">
        <f t="shared" si="27"/>
        <v>1.9142313255749367E-2</v>
      </c>
      <c r="L3513" s="2" t="str">
        <f>IF(ISNUMBER(SEARCH("|",IMDB_Movies!$D3513)),LEFT(IMDB_Movies!$D3513,SEARCH("|",IMDB_Movies!$D3513)-1),IMDB_Movies!$D3513)</f>
        <v>Comedy</v>
      </c>
      <c r="V3513" s="2"/>
      <c r="W3513" s="2"/>
    </row>
    <row r="3514" spans="1:23" ht="12.5" x14ac:dyDescent="0.25">
      <c r="A3514" s="2" t="s">
        <v>3244</v>
      </c>
      <c r="B3514" s="2">
        <v>103</v>
      </c>
      <c r="C3514" s="2">
        <v>5132222</v>
      </c>
      <c r="D3514" s="2" t="s">
        <v>1320</v>
      </c>
      <c r="E3514" s="2" t="s">
        <v>5944</v>
      </c>
      <c r="F3514" s="2" t="s">
        <v>14</v>
      </c>
      <c r="G3514" s="2" t="s">
        <v>104</v>
      </c>
      <c r="H3514" s="2">
        <v>2000000</v>
      </c>
      <c r="I3514" s="2">
        <v>7.2</v>
      </c>
      <c r="J3514" s="2">
        <f t="shared" si="26"/>
        <v>3132222</v>
      </c>
      <c r="K3514" s="2">
        <f t="shared" si="27"/>
        <v>1.9149484138553038E-2</v>
      </c>
      <c r="L3514" s="2" t="str">
        <f>IF(ISNUMBER(SEARCH("|",IMDB_Movies!$D3514)),LEFT(IMDB_Movies!$D3514,SEARCH("|",IMDB_Movies!$D3514)-1),IMDB_Movies!$D3514)</f>
        <v>Drama</v>
      </c>
      <c r="V3514" s="2"/>
      <c r="W3514" s="2"/>
    </row>
    <row r="3515" spans="1:23" ht="12.5" x14ac:dyDescent="0.25">
      <c r="A3515" s="2" t="s">
        <v>4816</v>
      </c>
      <c r="B3515" s="2">
        <v>110</v>
      </c>
      <c r="C3515" s="2">
        <v>2365931</v>
      </c>
      <c r="D3515" s="2" t="s">
        <v>1082</v>
      </c>
      <c r="E3515" s="2" t="s">
        <v>5945</v>
      </c>
      <c r="F3515" s="2" t="s">
        <v>14</v>
      </c>
      <c r="G3515" s="2" t="s">
        <v>15</v>
      </c>
      <c r="H3515" s="2">
        <v>1500000</v>
      </c>
      <c r="I3515" s="2">
        <v>7.5</v>
      </c>
      <c r="J3515" s="2">
        <f t="shared" si="26"/>
        <v>865931</v>
      </c>
      <c r="K3515" s="2">
        <f t="shared" si="27"/>
        <v>1.9139346945588616E-2</v>
      </c>
      <c r="L3515" s="2" t="str">
        <f>IF(ISNUMBER(SEARCH("|",IMDB_Movies!$D3515)),LEFT(IMDB_Movies!$D3515,SEARCH("|",IMDB_Movies!$D3515)-1),IMDB_Movies!$D3515)</f>
        <v>Comedy</v>
      </c>
      <c r="V3515" s="2"/>
      <c r="W3515" s="2"/>
    </row>
    <row r="3516" spans="1:23" ht="12.5" x14ac:dyDescent="0.25">
      <c r="A3516" s="2" t="s">
        <v>124</v>
      </c>
      <c r="B3516" s="2">
        <v>103</v>
      </c>
      <c r="C3516" s="2">
        <v>53991137</v>
      </c>
      <c r="D3516" s="2" t="s">
        <v>934</v>
      </c>
      <c r="E3516" s="2" t="s">
        <v>5946</v>
      </c>
      <c r="F3516" s="2" t="s">
        <v>14</v>
      </c>
      <c r="G3516" s="2" t="s">
        <v>15</v>
      </c>
      <c r="H3516" s="2">
        <v>1500000</v>
      </c>
      <c r="I3516" s="2">
        <v>6.8</v>
      </c>
      <c r="J3516" s="2">
        <f t="shared" si="26"/>
        <v>52491137</v>
      </c>
      <c r="K3516" s="2">
        <f t="shared" si="27"/>
        <v>1.9101571299364437E-2</v>
      </c>
      <c r="L3516" s="2" t="str">
        <f>IF(ISNUMBER(SEARCH("|",IMDB_Movies!$D3516)),LEFT(IMDB_Movies!$D3516,SEARCH("|",IMDB_Movies!$D3516)-1),IMDB_Movies!$D3516)</f>
        <v>Fantasy</v>
      </c>
      <c r="V3516" s="2"/>
      <c r="W3516" s="2"/>
    </row>
    <row r="3517" spans="1:23" ht="12.5" x14ac:dyDescent="0.25">
      <c r="A3517" s="2" t="s">
        <v>5947</v>
      </c>
      <c r="B3517" s="2">
        <v>114</v>
      </c>
      <c r="C3517" s="2">
        <v>1221261</v>
      </c>
      <c r="D3517" s="2" t="s">
        <v>763</v>
      </c>
      <c r="E3517" s="2" t="s">
        <v>5948</v>
      </c>
      <c r="F3517" s="2" t="s">
        <v>971</v>
      </c>
      <c r="G3517" s="2" t="s">
        <v>5612</v>
      </c>
      <c r="H3517" s="2">
        <v>1500000</v>
      </c>
      <c r="I3517" s="2">
        <v>7.9</v>
      </c>
      <c r="J3517" s="2">
        <f t="shared" si="26"/>
        <v>-278739</v>
      </c>
      <c r="K3517" s="2">
        <f t="shared" si="27"/>
        <v>1.9771466975023456E-2</v>
      </c>
      <c r="L3517" s="2" t="str">
        <f>IF(ISNUMBER(SEARCH("|",IMDB_Movies!$D3517)),LEFT(IMDB_Movies!$D3517,SEARCH("|",IMDB_Movies!$D3517)-1),IMDB_Movies!$D3517)</f>
        <v>Crime</v>
      </c>
      <c r="V3517" s="2"/>
      <c r="W3517" s="2"/>
    </row>
    <row r="3518" spans="1:23" ht="12.5" x14ac:dyDescent="0.25">
      <c r="A3518" s="2" t="s">
        <v>5949</v>
      </c>
      <c r="B3518" s="2">
        <v>112</v>
      </c>
      <c r="C3518" s="2">
        <v>712294</v>
      </c>
      <c r="D3518" s="2" t="s">
        <v>1180</v>
      </c>
      <c r="E3518" s="2" t="s">
        <v>5950</v>
      </c>
      <c r="F3518" s="2" t="s">
        <v>14</v>
      </c>
      <c r="G3518" s="2" t="s">
        <v>15</v>
      </c>
      <c r="H3518" s="2">
        <v>1500000</v>
      </c>
      <c r="I3518" s="2">
        <v>6.7</v>
      </c>
      <c r="J3518" s="2">
        <f t="shared" si="26"/>
        <v>-787706</v>
      </c>
      <c r="K3518" s="2">
        <f t="shared" si="27"/>
        <v>1.9724122464797898E-2</v>
      </c>
      <c r="L3518" s="2" t="str">
        <f>IF(ISNUMBER(SEARCH("|",IMDB_Movies!$D3518)),LEFT(IMDB_Movies!$D3518,SEARCH("|",IMDB_Movies!$D3518)-1),IMDB_Movies!$D3518)</f>
        <v>Drama</v>
      </c>
      <c r="V3518" s="2"/>
      <c r="W3518" s="2"/>
    </row>
    <row r="3519" spans="1:23" ht="12.5" x14ac:dyDescent="0.25">
      <c r="A3519" s="2" t="s">
        <v>5951</v>
      </c>
      <c r="B3519" s="2">
        <v>104</v>
      </c>
      <c r="C3519" s="2">
        <v>3447339</v>
      </c>
      <c r="D3519" s="2" t="s">
        <v>600</v>
      </c>
      <c r="E3519" s="2" t="s">
        <v>5952</v>
      </c>
      <c r="F3519" s="2" t="s">
        <v>14</v>
      </c>
      <c r="G3519" s="2" t="s">
        <v>15</v>
      </c>
      <c r="H3519" s="2">
        <v>1500000</v>
      </c>
      <c r="I3519" s="2">
        <v>5.8</v>
      </c>
      <c r="J3519" s="2">
        <f t="shared" si="26"/>
        <v>1947339</v>
      </c>
      <c r="K3519" s="2">
        <f t="shared" si="27"/>
        <v>1.9671838994678247E-2</v>
      </c>
      <c r="L3519" s="2" t="str">
        <f>IF(ISNUMBER(SEARCH("|",IMDB_Movies!$D3519)),LEFT(IMDB_Movies!$D3519,SEARCH("|",IMDB_Movies!$D3519)-1),IMDB_Movies!$D3519)</f>
        <v>Comedy</v>
      </c>
      <c r="V3519" s="2"/>
      <c r="W3519" s="2"/>
    </row>
    <row r="3520" spans="1:23" ht="12.5" x14ac:dyDescent="0.25">
      <c r="A3520" s="2" t="s">
        <v>5530</v>
      </c>
      <c r="B3520" s="2">
        <v>99</v>
      </c>
      <c r="C3520" s="2">
        <v>418953</v>
      </c>
      <c r="D3520" s="2" t="s">
        <v>763</v>
      </c>
      <c r="E3520" s="2" t="s">
        <v>5953</v>
      </c>
      <c r="F3520" s="2" t="s">
        <v>14</v>
      </c>
      <c r="G3520" s="2" t="s">
        <v>686</v>
      </c>
      <c r="H3520" s="2">
        <v>1500000</v>
      </c>
      <c r="I3520" s="2">
        <v>6.5</v>
      </c>
      <c r="J3520" s="2">
        <f t="shared" si="26"/>
        <v>-1081047</v>
      </c>
      <c r="K3520" s="2">
        <f t="shared" si="27"/>
        <v>1.9644392270480687E-2</v>
      </c>
      <c r="L3520" s="2" t="str">
        <f>IF(ISNUMBER(SEARCH("|",IMDB_Movies!$D3520)),LEFT(IMDB_Movies!$D3520,SEARCH("|",IMDB_Movies!$D3520)-1),IMDB_Movies!$D3520)</f>
        <v>Crime</v>
      </c>
      <c r="V3520" s="2"/>
      <c r="W3520" s="2"/>
    </row>
    <row r="3521" spans="1:23" ht="12.5" x14ac:dyDescent="0.25">
      <c r="A3521" s="2" t="s">
        <v>5954</v>
      </c>
      <c r="B3521" s="2">
        <v>98</v>
      </c>
      <c r="C3521" s="2">
        <v>406035</v>
      </c>
      <c r="D3521" s="2" t="s">
        <v>1180</v>
      </c>
      <c r="E3521" s="2" t="s">
        <v>5955</v>
      </c>
      <c r="F3521" s="2" t="s">
        <v>14</v>
      </c>
      <c r="G3521" s="2" t="s">
        <v>15</v>
      </c>
      <c r="H3521" s="2">
        <v>1500000</v>
      </c>
      <c r="I3521" s="2">
        <v>7.2</v>
      </c>
      <c r="J3521" s="2">
        <f t="shared" si="26"/>
        <v>-1093965</v>
      </c>
      <c r="K3521" s="2">
        <f t="shared" si="27"/>
        <v>1.9588756749066818E-2</v>
      </c>
      <c r="L3521" s="2" t="str">
        <f>IF(ISNUMBER(SEARCH("|",IMDB_Movies!$D3521)),LEFT(IMDB_Movies!$D3521,SEARCH("|",IMDB_Movies!$D3521)-1),IMDB_Movies!$D3521)</f>
        <v>Drama</v>
      </c>
      <c r="V3521" s="2"/>
      <c r="W3521" s="2"/>
    </row>
    <row r="3522" spans="1:23" ht="12.5" x14ac:dyDescent="0.25">
      <c r="A3522" s="2" t="s">
        <v>4202</v>
      </c>
      <c r="B3522" s="2">
        <v>100</v>
      </c>
      <c r="C3522" s="2">
        <v>373967</v>
      </c>
      <c r="D3522" s="2" t="s">
        <v>2116</v>
      </c>
      <c r="E3522" s="2" t="s">
        <v>5956</v>
      </c>
      <c r="F3522" s="2" t="s">
        <v>14</v>
      </c>
      <c r="G3522" s="2" t="s">
        <v>15</v>
      </c>
      <c r="H3522" s="2">
        <v>1500000</v>
      </c>
      <c r="I3522" s="2">
        <v>6.5</v>
      </c>
      <c r="J3522" s="2">
        <f t="shared" si="26"/>
        <v>-1126033</v>
      </c>
      <c r="K3522" s="2">
        <f t="shared" si="27"/>
        <v>1.9532568477919763E-2</v>
      </c>
      <c r="L3522" s="2" t="str">
        <f>IF(ISNUMBER(SEARCH("|",IMDB_Movies!$D3522)),LEFT(IMDB_Movies!$D3522,SEARCH("|",IMDB_Movies!$D3522)-1),IMDB_Movies!$D3522)</f>
        <v>Horror</v>
      </c>
      <c r="V3522" s="2"/>
      <c r="W3522" s="2"/>
    </row>
    <row r="3523" spans="1:23" ht="12.5" x14ac:dyDescent="0.25">
      <c r="A3523" s="2" t="s">
        <v>5957</v>
      </c>
      <c r="B3523" s="2">
        <v>80</v>
      </c>
      <c r="C3523" s="2">
        <v>194568</v>
      </c>
      <c r="D3523" s="2" t="s">
        <v>600</v>
      </c>
      <c r="E3523" s="2" t="s">
        <v>5958</v>
      </c>
      <c r="F3523" s="2" t="s">
        <v>14</v>
      </c>
      <c r="G3523" s="2" t="s">
        <v>15</v>
      </c>
      <c r="H3523" s="2">
        <v>1500000</v>
      </c>
      <c r="I3523" s="2">
        <v>6.2</v>
      </c>
      <c r="J3523" s="2">
        <f t="shared" si="26"/>
        <v>-1305432</v>
      </c>
      <c r="K3523" s="2">
        <f t="shared" si="27"/>
        <v>1.9475647815020584E-2</v>
      </c>
      <c r="L3523" s="2" t="str">
        <f>IF(ISNUMBER(SEARCH("|",IMDB_Movies!$D3523)),LEFT(IMDB_Movies!$D3523,SEARCH("|",IMDB_Movies!$D3523)-1),IMDB_Movies!$D3523)</f>
        <v>Comedy</v>
      </c>
      <c r="V3523" s="2"/>
      <c r="W3523" s="2"/>
    </row>
    <row r="3524" spans="1:23" ht="12.5" x14ac:dyDescent="0.25">
      <c r="A3524" s="2" t="s">
        <v>5959</v>
      </c>
      <c r="B3524" s="2">
        <v>87</v>
      </c>
      <c r="C3524" s="2">
        <v>163245</v>
      </c>
      <c r="D3524" s="2" t="s">
        <v>1357</v>
      </c>
      <c r="E3524" s="2" t="s">
        <v>5960</v>
      </c>
      <c r="F3524" s="2" t="s">
        <v>14</v>
      </c>
      <c r="G3524" s="2" t="s">
        <v>15</v>
      </c>
      <c r="H3524" s="2">
        <v>1500000</v>
      </c>
      <c r="I3524" s="2">
        <v>8.6</v>
      </c>
      <c r="J3524" s="2">
        <f t="shared" si="26"/>
        <v>-1336755</v>
      </c>
      <c r="K3524" s="2">
        <f t="shared" si="27"/>
        <v>1.9416652147900358E-2</v>
      </c>
      <c r="L3524" s="2" t="str">
        <f>IF(ISNUMBER(SEARCH("|",IMDB_Movies!$D3524)),LEFT(IMDB_Movies!$D3524,SEARCH("|",IMDB_Movies!$D3524)-1),IMDB_Movies!$D3524)</f>
        <v>Comedy</v>
      </c>
      <c r="V3524" s="2"/>
      <c r="W3524" s="2"/>
    </row>
    <row r="3525" spans="1:23" ht="12.5" x14ac:dyDescent="0.25">
      <c r="A3525" s="2" t="s">
        <v>5961</v>
      </c>
      <c r="B3525" s="2">
        <v>91</v>
      </c>
      <c r="C3525" s="2">
        <v>119841</v>
      </c>
      <c r="D3525" s="2" t="s">
        <v>1180</v>
      </c>
      <c r="E3525" s="2" t="s">
        <v>5962</v>
      </c>
      <c r="F3525" s="2" t="s">
        <v>14</v>
      </c>
      <c r="G3525" s="2" t="s">
        <v>15</v>
      </c>
      <c r="H3525" s="2">
        <v>1500000</v>
      </c>
      <c r="I3525" s="2">
        <v>6.5</v>
      </c>
      <c r="J3525" s="2">
        <f t="shared" si="26"/>
        <v>-1380159</v>
      </c>
      <c r="K3525" s="2">
        <f t="shared" si="27"/>
        <v>1.9356902387331204E-2</v>
      </c>
      <c r="L3525" s="2" t="str">
        <f>IF(ISNUMBER(SEARCH("|",IMDB_Movies!$D3525)),LEFT(IMDB_Movies!$D3525,SEARCH("|",IMDB_Movies!$D3525)-1),IMDB_Movies!$D3525)</f>
        <v>Drama</v>
      </c>
      <c r="V3525" s="2"/>
      <c r="W3525" s="2"/>
    </row>
    <row r="3526" spans="1:23" ht="12.5" x14ac:dyDescent="0.25">
      <c r="A3526" s="2" t="s">
        <v>5963</v>
      </c>
      <c r="B3526" s="2">
        <v>84</v>
      </c>
      <c r="C3526" s="2">
        <v>173066</v>
      </c>
      <c r="D3526" s="2" t="s">
        <v>975</v>
      </c>
      <c r="E3526" s="2" t="s">
        <v>5964</v>
      </c>
      <c r="F3526" s="2" t="s">
        <v>14</v>
      </c>
      <c r="G3526" s="2" t="s">
        <v>15</v>
      </c>
      <c r="H3526" s="2">
        <v>1500000</v>
      </c>
      <c r="I3526" s="2">
        <v>6.3</v>
      </c>
      <c r="J3526" s="2">
        <f t="shared" si="26"/>
        <v>-1326934</v>
      </c>
      <c r="K3526" s="2">
        <f t="shared" si="27"/>
        <v>1.9296279329827522E-2</v>
      </c>
      <c r="L3526" s="2" t="str">
        <f>IF(ISNUMBER(SEARCH("|",IMDB_Movies!$D3526)),LEFT(IMDB_Movies!$D3526,SEARCH("|",IMDB_Movies!$D3526)-1),IMDB_Movies!$D3526)</f>
        <v>Comedy</v>
      </c>
      <c r="V3526" s="2"/>
      <c r="W3526" s="2"/>
    </row>
    <row r="3527" spans="1:23" ht="12.5" x14ac:dyDescent="0.25">
      <c r="A3527" s="2" t="s">
        <v>4352</v>
      </c>
      <c r="B3527" s="2">
        <v>90</v>
      </c>
      <c r="C3527" s="2">
        <v>92362</v>
      </c>
      <c r="D3527" s="2" t="s">
        <v>891</v>
      </c>
      <c r="E3527" s="2" t="s">
        <v>5965</v>
      </c>
      <c r="F3527" s="2" t="s">
        <v>14</v>
      </c>
      <c r="G3527" s="2" t="s">
        <v>15</v>
      </c>
      <c r="H3527" s="2">
        <v>1500000</v>
      </c>
      <c r="I3527" s="2">
        <v>4.3</v>
      </c>
      <c r="J3527" s="2">
        <f t="shared" si="26"/>
        <v>-1407638</v>
      </c>
      <c r="K3527" s="2">
        <f t="shared" si="27"/>
        <v>1.9235656142293618E-2</v>
      </c>
      <c r="L3527" s="2" t="str">
        <f>IF(ISNUMBER(SEARCH("|",IMDB_Movies!$D3527)),LEFT(IMDB_Movies!$D3527,SEARCH("|",IMDB_Movies!$D3527)-1),IMDB_Movies!$D3527)</f>
        <v>Comedy</v>
      </c>
      <c r="V3527" s="2"/>
      <c r="W3527" s="2"/>
    </row>
    <row r="3528" spans="1:23" ht="12.5" x14ac:dyDescent="0.25">
      <c r="A3528" s="2" t="s">
        <v>5966</v>
      </c>
      <c r="B3528" s="2">
        <v>98</v>
      </c>
      <c r="C3528" s="2">
        <v>105943</v>
      </c>
      <c r="D3528" s="2" t="s">
        <v>709</v>
      </c>
      <c r="E3528" s="2" t="s">
        <v>5967</v>
      </c>
      <c r="F3528" s="2" t="s">
        <v>14</v>
      </c>
      <c r="G3528" s="2" t="s">
        <v>15</v>
      </c>
      <c r="H3528" s="2">
        <v>1500000</v>
      </c>
      <c r="I3528" s="2">
        <v>6.1</v>
      </c>
      <c r="J3528" s="2">
        <f t="shared" si="26"/>
        <v>-1394057</v>
      </c>
      <c r="K3528" s="2">
        <f t="shared" si="27"/>
        <v>1.917380268041232E-2</v>
      </c>
      <c r="L3528" s="2" t="str">
        <f>IF(ISNUMBER(SEARCH("|",IMDB_Movies!$D3528)),LEFT(IMDB_Movies!$D3528,SEARCH("|",IMDB_Movies!$D3528)-1),IMDB_Movies!$D3528)</f>
        <v>Comedy</v>
      </c>
      <c r="V3528" s="2"/>
      <c r="W3528" s="2"/>
    </row>
    <row r="3529" spans="1:23" ht="12.5" x14ac:dyDescent="0.25">
      <c r="A3529" s="2" t="s">
        <v>4931</v>
      </c>
      <c r="B3529" s="2">
        <v>124</v>
      </c>
      <c r="C3529" s="2">
        <v>183490</v>
      </c>
      <c r="D3529" s="2" t="s">
        <v>1175</v>
      </c>
      <c r="E3529" s="2" t="s">
        <v>5968</v>
      </c>
      <c r="F3529" s="2" t="s">
        <v>14</v>
      </c>
      <c r="G3529" s="2" t="s">
        <v>15</v>
      </c>
      <c r="H3529" s="2">
        <v>1700000</v>
      </c>
      <c r="I3529" s="2">
        <v>5.8</v>
      </c>
      <c r="J3529" s="2">
        <f t="shared" si="26"/>
        <v>-1516510</v>
      </c>
      <c r="K3529" s="2">
        <f t="shared" si="27"/>
        <v>1.9111573205626897E-2</v>
      </c>
      <c r="L3529" s="2" t="str">
        <f>IF(ISNUMBER(SEARCH("|",IMDB_Movies!$D3529)),LEFT(IMDB_Movies!$D3529,SEARCH("|",IMDB_Movies!$D3529)-1),IMDB_Movies!$D3529)</f>
        <v>Drama</v>
      </c>
      <c r="V3529" s="2"/>
      <c r="W3529" s="2"/>
    </row>
    <row r="3530" spans="1:23" ht="12.5" x14ac:dyDescent="0.25">
      <c r="A3530" s="2" t="s">
        <v>5969</v>
      </c>
      <c r="B3530" s="2">
        <v>95</v>
      </c>
      <c r="C3530" s="2">
        <v>3478</v>
      </c>
      <c r="D3530" s="2" t="s">
        <v>2465</v>
      </c>
      <c r="E3530" s="2" t="s">
        <v>5970</v>
      </c>
      <c r="F3530" s="2" t="s">
        <v>14</v>
      </c>
      <c r="G3530" s="2" t="s">
        <v>104</v>
      </c>
      <c r="H3530" s="2">
        <v>1500000</v>
      </c>
      <c r="I3530" s="2">
        <v>6.7</v>
      </c>
      <c r="J3530" s="2">
        <f t="shared" si="26"/>
        <v>-1496522</v>
      </c>
      <c r="K3530" s="2">
        <f t="shared" si="27"/>
        <v>1.9053415884215767E-2</v>
      </c>
      <c r="L3530" s="2" t="str">
        <f>IF(ISNUMBER(SEARCH("|",IMDB_Movies!$D3530)),LEFT(IMDB_Movies!$D3530,SEARCH("|",IMDB_Movies!$D3530)-1),IMDB_Movies!$D3530)</f>
        <v>Fantasy</v>
      </c>
      <c r="V3530" s="2"/>
      <c r="W3530" s="2"/>
    </row>
    <row r="3531" spans="1:23" ht="12.5" x14ac:dyDescent="0.25">
      <c r="A3531" s="2" t="s">
        <v>5971</v>
      </c>
      <c r="B3531" s="2">
        <v>90</v>
      </c>
      <c r="C3531" s="2">
        <v>52166</v>
      </c>
      <c r="D3531" s="2" t="s">
        <v>1180</v>
      </c>
      <c r="E3531" s="2" t="s">
        <v>5972</v>
      </c>
      <c r="F3531" s="2" t="s">
        <v>14</v>
      </c>
      <c r="G3531" s="2" t="s">
        <v>15</v>
      </c>
      <c r="H3531" s="2">
        <v>2000000</v>
      </c>
      <c r="I3531" s="2">
        <v>6.7</v>
      </c>
      <c r="J3531" s="2">
        <f t="shared" si="26"/>
        <v>-1947834</v>
      </c>
      <c r="K3531" s="2">
        <f t="shared" si="27"/>
        <v>1.8989234458030076E-2</v>
      </c>
      <c r="L3531" s="2" t="str">
        <f>IF(ISNUMBER(SEARCH("|",IMDB_Movies!$D3531)),LEFT(IMDB_Movies!$D3531,SEARCH("|",IMDB_Movies!$D3531)-1),IMDB_Movies!$D3531)</f>
        <v>Drama</v>
      </c>
      <c r="V3531" s="2"/>
      <c r="W3531" s="2"/>
    </row>
    <row r="3532" spans="1:23" ht="12.5" x14ac:dyDescent="0.25">
      <c r="A3532" s="2" t="s">
        <v>4074</v>
      </c>
      <c r="B3532" s="2">
        <v>101</v>
      </c>
      <c r="C3532" s="2">
        <v>1163508</v>
      </c>
      <c r="D3532" s="2" t="s">
        <v>333</v>
      </c>
      <c r="E3532" s="2" t="s">
        <v>5973</v>
      </c>
      <c r="F3532" s="2" t="s">
        <v>14</v>
      </c>
      <c r="G3532" s="2" t="s">
        <v>15</v>
      </c>
      <c r="H3532" s="2">
        <v>2500000</v>
      </c>
      <c r="I3532" s="2">
        <v>5.0999999999999996</v>
      </c>
      <c r="J3532" s="2">
        <f t="shared" si="26"/>
        <v>-1336492</v>
      </c>
      <c r="K3532" s="2">
        <f t="shared" si="27"/>
        <v>1.8934912141450613E-2</v>
      </c>
      <c r="L3532" s="2" t="str">
        <f>IF(ISNUMBER(SEARCH("|",IMDB_Movies!$D3532)),LEFT(IMDB_Movies!$D3532,SEARCH("|",IMDB_Movies!$D3532)-1),IMDB_Movies!$D3532)</f>
        <v>Drama</v>
      </c>
      <c r="V3532" s="2"/>
      <c r="W3532" s="2"/>
    </row>
    <row r="3533" spans="1:23" ht="12.5" x14ac:dyDescent="0.25">
      <c r="A3533" s="2" t="s">
        <v>5974</v>
      </c>
      <c r="B3533" s="2">
        <v>83</v>
      </c>
      <c r="C3533" s="2">
        <v>184925485</v>
      </c>
      <c r="D3533" s="2" t="s">
        <v>2027</v>
      </c>
      <c r="E3533" s="2" t="s">
        <v>5975</v>
      </c>
      <c r="F3533" s="2" t="s">
        <v>14</v>
      </c>
      <c r="G3533" s="2" t="s">
        <v>15</v>
      </c>
      <c r="H3533" s="2">
        <v>2000000</v>
      </c>
      <c r="I3533" s="2">
        <v>7.7</v>
      </c>
      <c r="J3533" s="2">
        <f t="shared" si="26"/>
        <v>182925485</v>
      </c>
      <c r="K3533" s="2">
        <f t="shared" si="27"/>
        <v>1.8897233528884609E-2</v>
      </c>
      <c r="L3533" s="2" t="str">
        <f>IF(ISNUMBER(SEARCH("|",IMDB_Movies!$D3533)),LEFT(IMDB_Movies!$D3533,SEARCH("|",IMDB_Movies!$D3533)-1),IMDB_Movies!$D3533)</f>
        <v>Animation</v>
      </c>
      <c r="V3533" s="2"/>
      <c r="W3533" s="2"/>
    </row>
    <row r="3534" spans="1:23" ht="12.5" x14ac:dyDescent="0.25">
      <c r="A3534" s="2" t="s">
        <v>5976</v>
      </c>
      <c r="B3534" s="2">
        <v>106</v>
      </c>
      <c r="C3534" s="2">
        <v>304124</v>
      </c>
      <c r="D3534" s="2" t="s">
        <v>1180</v>
      </c>
      <c r="E3534" s="2" t="s">
        <v>5977</v>
      </c>
      <c r="F3534" s="2" t="s">
        <v>971</v>
      </c>
      <c r="G3534" s="2" t="s">
        <v>5612</v>
      </c>
      <c r="H3534" s="2">
        <v>1400000</v>
      </c>
      <c r="I3534" s="2">
        <v>6.7</v>
      </c>
      <c r="J3534" s="2">
        <f t="shared" si="26"/>
        <v>-1095876</v>
      </c>
      <c r="K3534" s="2">
        <f t="shared" si="27"/>
        <v>2.4454339224445946E-2</v>
      </c>
      <c r="L3534" s="2" t="str">
        <f>IF(ISNUMBER(SEARCH("|",IMDB_Movies!$D3534)),LEFT(IMDB_Movies!$D3534,SEARCH("|",IMDB_Movies!$D3534)-1),IMDB_Movies!$D3534)</f>
        <v>Drama</v>
      </c>
      <c r="V3534" s="2"/>
      <c r="W3534" s="2"/>
    </row>
    <row r="3535" spans="1:23" ht="12.5" x14ac:dyDescent="0.25">
      <c r="A3535" s="2" t="s">
        <v>5978</v>
      </c>
      <c r="B3535" s="2">
        <v>94</v>
      </c>
      <c r="C3535" s="2">
        <v>36830</v>
      </c>
      <c r="D3535" s="2" t="s">
        <v>5979</v>
      </c>
      <c r="E3535" s="2" t="s">
        <v>5980</v>
      </c>
      <c r="F3535" s="2" t="s">
        <v>14</v>
      </c>
      <c r="G3535" s="2" t="s">
        <v>22</v>
      </c>
      <c r="H3535" s="2">
        <v>1400000</v>
      </c>
      <c r="I3535" s="2">
        <v>6.6</v>
      </c>
      <c r="J3535" s="2">
        <f t="shared" si="26"/>
        <v>-1363170</v>
      </c>
      <c r="K3535" s="2">
        <f t="shared" si="27"/>
        <v>2.4386953449701154E-2</v>
      </c>
      <c r="L3535" s="2" t="str">
        <f>IF(ISNUMBER(SEARCH("|",IMDB_Movies!$D3535)),LEFT(IMDB_Movies!$D3535,SEARCH("|",IMDB_Movies!$D3535)-1),IMDB_Movies!$D3535)</f>
        <v>Adventure</v>
      </c>
      <c r="V3535" s="2"/>
      <c r="W3535" s="2"/>
    </row>
    <row r="3536" spans="1:23" ht="12.5" x14ac:dyDescent="0.25">
      <c r="A3536" s="2" t="s">
        <v>471</v>
      </c>
      <c r="B3536" s="2">
        <v>120</v>
      </c>
      <c r="C3536" s="2">
        <v>3650677</v>
      </c>
      <c r="D3536" s="2" t="s">
        <v>375</v>
      </c>
      <c r="E3536" s="2" t="s">
        <v>5981</v>
      </c>
      <c r="F3536" s="2" t="s">
        <v>14</v>
      </c>
      <c r="G3536" s="2" t="s">
        <v>22</v>
      </c>
      <c r="H3536" s="2">
        <v>960000</v>
      </c>
      <c r="I3536" s="2">
        <v>8.1999999999999993</v>
      </c>
      <c r="J3536" s="2">
        <f t="shared" si="26"/>
        <v>2690677</v>
      </c>
      <c r="K3536" s="2">
        <f t="shared" si="27"/>
        <v>2.431601345092323E-2</v>
      </c>
      <c r="L3536" s="2" t="str">
        <f>IF(ISNUMBER(SEARCH("|",IMDB_Movies!$D3536)),LEFT(IMDB_Movies!$D3536,SEARCH("|",IMDB_Movies!$D3536)-1),IMDB_Movies!$D3536)</f>
        <v>Comedy</v>
      </c>
      <c r="V3536" s="2"/>
      <c r="W3536" s="2"/>
    </row>
    <row r="3537" spans="1:23" ht="12.5" x14ac:dyDescent="0.25">
      <c r="A3537" s="2" t="s">
        <v>5016</v>
      </c>
      <c r="B3537" s="2">
        <v>105</v>
      </c>
      <c r="C3537" s="2">
        <v>1647780</v>
      </c>
      <c r="D3537" s="2" t="s">
        <v>1180</v>
      </c>
      <c r="E3537" s="2" t="s">
        <v>5982</v>
      </c>
      <c r="F3537" s="2" t="s">
        <v>4909</v>
      </c>
      <c r="G3537" s="2" t="s">
        <v>2553</v>
      </c>
      <c r="H3537" s="2">
        <v>1300000</v>
      </c>
      <c r="I3537" s="2">
        <v>8.1</v>
      </c>
      <c r="J3537" s="2">
        <f t="shared" si="26"/>
        <v>347780</v>
      </c>
      <c r="K3537" s="2">
        <f t="shared" si="27"/>
        <v>2.4283404854130001E-2</v>
      </c>
      <c r="L3537" s="2" t="str">
        <f>IF(ISNUMBER(SEARCH("|",IMDB_Movies!$D3537)),LEFT(IMDB_Movies!$D3537,SEARCH("|",IMDB_Movies!$D3537)-1),IMDB_Movies!$D3537)</f>
        <v>Drama</v>
      </c>
      <c r="V3537" s="2"/>
      <c r="W3537" s="2"/>
    </row>
    <row r="3538" spans="1:23" ht="12.5" x14ac:dyDescent="0.25">
      <c r="A3538" s="2" t="s">
        <v>5983</v>
      </c>
      <c r="B3538" s="2">
        <v>95</v>
      </c>
      <c r="C3538" s="2">
        <v>695229</v>
      </c>
      <c r="D3538" s="2" t="s">
        <v>891</v>
      </c>
      <c r="E3538" s="2" t="s">
        <v>5984</v>
      </c>
      <c r="F3538" s="2" t="s">
        <v>14</v>
      </c>
      <c r="G3538" s="2" t="s">
        <v>15</v>
      </c>
      <c r="H3538" s="2">
        <v>1300000</v>
      </c>
      <c r="I3538" s="2">
        <v>7.2</v>
      </c>
      <c r="J3538" s="2">
        <f t="shared" si="26"/>
        <v>-604771</v>
      </c>
      <c r="K3538" s="2">
        <f t="shared" si="27"/>
        <v>2.422839639201203E-2</v>
      </c>
      <c r="L3538" s="2" t="str">
        <f>IF(ISNUMBER(SEARCH("|",IMDB_Movies!$D3538)),LEFT(IMDB_Movies!$D3538,SEARCH("|",IMDB_Movies!$D3538)-1),IMDB_Movies!$D3538)</f>
        <v>Comedy</v>
      </c>
      <c r="V3538" s="2"/>
      <c r="W3538" s="2"/>
    </row>
    <row r="3539" spans="1:23" ht="12.5" x14ac:dyDescent="0.25">
      <c r="A3539" s="2" t="s">
        <v>5985</v>
      </c>
      <c r="B3539" s="2">
        <v>135</v>
      </c>
      <c r="C3539" s="2">
        <v>638951</v>
      </c>
      <c r="D3539" s="2" t="s">
        <v>1180</v>
      </c>
      <c r="E3539" s="2" t="s">
        <v>5986</v>
      </c>
      <c r="F3539" s="2" t="s">
        <v>5987</v>
      </c>
      <c r="G3539" s="2" t="s">
        <v>15</v>
      </c>
      <c r="H3539" s="2">
        <v>1592000</v>
      </c>
      <c r="I3539" s="2">
        <v>7.4</v>
      </c>
      <c r="J3539" s="2">
        <f t="shared" si="26"/>
        <v>-953049</v>
      </c>
      <c r="K3539" s="2">
        <f t="shared" si="27"/>
        <v>2.416146073605336E-2</v>
      </c>
      <c r="L3539" s="2" t="str">
        <f>IF(ISNUMBER(SEARCH("|",IMDB_Movies!$D3539)),LEFT(IMDB_Movies!$D3539,SEARCH("|",IMDB_Movies!$D3539)-1),IMDB_Movies!$D3539)</f>
        <v>Drama</v>
      </c>
      <c r="V3539" s="2"/>
      <c r="W3539" s="2"/>
    </row>
    <row r="3540" spans="1:23" ht="12.5" x14ac:dyDescent="0.25">
      <c r="A3540" s="2" t="s">
        <v>5988</v>
      </c>
      <c r="B3540" s="2">
        <v>105</v>
      </c>
      <c r="C3540" s="2">
        <v>609042</v>
      </c>
      <c r="D3540" s="2" t="s">
        <v>1180</v>
      </c>
      <c r="E3540" s="2" t="s">
        <v>5989</v>
      </c>
      <c r="F3540" s="2" t="s">
        <v>14</v>
      </c>
      <c r="G3540" s="2" t="s">
        <v>15</v>
      </c>
      <c r="H3540" s="2">
        <v>1300000</v>
      </c>
      <c r="I3540" s="2">
        <v>6.5</v>
      </c>
      <c r="J3540" s="2">
        <f t="shared" si="26"/>
        <v>-690958</v>
      </c>
      <c r="K3540" s="2">
        <f t="shared" si="27"/>
        <v>2.4098981060722866E-2</v>
      </c>
      <c r="L3540" s="2" t="str">
        <f>IF(ISNUMBER(SEARCH("|",IMDB_Movies!$D3540)),LEFT(IMDB_Movies!$D3540,SEARCH("|",IMDB_Movies!$D3540)-1),IMDB_Movies!$D3540)</f>
        <v>Drama</v>
      </c>
      <c r="V3540" s="2"/>
      <c r="W3540" s="2"/>
    </row>
    <row r="3541" spans="1:23" ht="12.5" x14ac:dyDescent="0.25">
      <c r="A3541" s="2" t="s">
        <v>5990</v>
      </c>
      <c r="B3541" s="2">
        <v>83</v>
      </c>
      <c r="C3541" s="2">
        <v>1521</v>
      </c>
      <c r="D3541" s="2" t="s">
        <v>2514</v>
      </c>
      <c r="E3541" s="2" t="s">
        <v>5991</v>
      </c>
      <c r="F3541" s="2" t="s">
        <v>14</v>
      </c>
      <c r="G3541" s="2" t="s">
        <v>104</v>
      </c>
      <c r="H3541" s="2">
        <v>1500000</v>
      </c>
      <c r="I3541" s="2">
        <v>5.7</v>
      </c>
      <c r="J3541" s="2">
        <f t="shared" si="26"/>
        <v>-1498479</v>
      </c>
      <c r="K3541" s="2">
        <f t="shared" si="27"/>
        <v>2.4029896435677135E-2</v>
      </c>
      <c r="L3541" s="2" t="str">
        <f>IF(ISNUMBER(SEARCH("|",IMDB_Movies!$D3541)),LEFT(IMDB_Movies!$D3541,SEARCH("|",IMDB_Movies!$D3541)-1),IMDB_Movies!$D3541)</f>
        <v>Comedy</v>
      </c>
      <c r="V3541" s="2"/>
      <c r="W3541" s="2"/>
    </row>
    <row r="3542" spans="1:23" ht="12.5" x14ac:dyDescent="0.25">
      <c r="A3542" s="2" t="s">
        <v>5992</v>
      </c>
      <c r="B3542" s="2">
        <v>87</v>
      </c>
      <c r="C3542" s="2">
        <v>19539</v>
      </c>
      <c r="D3542" s="2" t="s">
        <v>709</v>
      </c>
      <c r="E3542" s="2" t="s">
        <v>5993</v>
      </c>
      <c r="F3542" s="2" t="s">
        <v>14</v>
      </c>
      <c r="G3542" s="2" t="s">
        <v>15</v>
      </c>
      <c r="H3542" s="2">
        <v>1000000</v>
      </c>
      <c r="I3542" s="2">
        <v>6.2</v>
      </c>
      <c r="J3542" s="2">
        <f t="shared" si="26"/>
        <v>-980461</v>
      </c>
      <c r="K3542" s="2">
        <f t="shared" si="27"/>
        <v>2.3957376423949434E-2</v>
      </c>
      <c r="L3542" s="2" t="str">
        <f>IF(ISNUMBER(SEARCH("|",IMDB_Movies!$D3542)),LEFT(IMDB_Movies!$D3542,SEARCH("|",IMDB_Movies!$D3542)-1),IMDB_Movies!$D3542)</f>
        <v>Comedy</v>
      </c>
      <c r="V3542" s="2"/>
      <c r="W3542" s="2"/>
    </row>
    <row r="3543" spans="1:23" ht="12.5" x14ac:dyDescent="0.25">
      <c r="A3543" s="2" t="s">
        <v>5994</v>
      </c>
      <c r="B3543" s="2">
        <v>97</v>
      </c>
      <c r="C3543" s="2">
        <v>100358</v>
      </c>
      <c r="D3543" s="2" t="s">
        <v>3631</v>
      </c>
      <c r="E3543" s="2" t="s">
        <v>5995</v>
      </c>
      <c r="F3543" s="2" t="s">
        <v>14</v>
      </c>
      <c r="G3543" s="2" t="s">
        <v>2312</v>
      </c>
      <c r="H3543" s="2">
        <v>1500000</v>
      </c>
      <c r="I3543" s="2">
        <v>3.3</v>
      </c>
      <c r="J3543" s="2">
        <f t="shared" si="26"/>
        <v>-1399642</v>
      </c>
      <c r="K3543" s="2">
        <f t="shared" si="27"/>
        <v>2.387341804610468E-2</v>
      </c>
      <c r="L3543" s="2" t="str">
        <f>IF(ISNUMBER(SEARCH("|",IMDB_Movies!$D3543)),LEFT(IMDB_Movies!$D3543,SEARCH("|",IMDB_Movies!$D3543)-1),IMDB_Movies!$D3543)</f>
        <v>Comedy</v>
      </c>
      <c r="V3543" s="2"/>
      <c r="W3543" s="2"/>
    </row>
    <row r="3544" spans="1:23" ht="12.5" x14ac:dyDescent="0.25">
      <c r="A3544" s="2" t="s">
        <v>2356</v>
      </c>
      <c r="B3544" s="2">
        <v>87</v>
      </c>
      <c r="C3544" s="2">
        <v>19100000</v>
      </c>
      <c r="D3544" s="2" t="s">
        <v>1050</v>
      </c>
      <c r="E3544" s="2" t="s">
        <v>5996</v>
      </c>
      <c r="F3544" s="2" t="s">
        <v>14</v>
      </c>
      <c r="G3544" s="2" t="s">
        <v>15</v>
      </c>
      <c r="H3544" s="2">
        <v>1250000</v>
      </c>
      <c r="I3544" s="2">
        <v>6.1</v>
      </c>
      <c r="J3544" s="2">
        <f t="shared" si="26"/>
        <v>17850000</v>
      </c>
      <c r="K3544" s="2">
        <f t="shared" si="27"/>
        <v>2.3800698241280435E-2</v>
      </c>
      <c r="L3544" s="2" t="str">
        <f>IF(ISNUMBER(SEARCH("|",IMDB_Movies!$D3544)),LEFT(IMDB_Movies!$D3544,SEARCH("|",IMDB_Movies!$D3544)-1),IMDB_Movies!$D3544)</f>
        <v>Horror</v>
      </c>
      <c r="V3544" s="2"/>
      <c r="W3544" s="2"/>
    </row>
    <row r="3545" spans="1:23" ht="12.5" x14ac:dyDescent="0.25">
      <c r="A3545" s="2" t="s">
        <v>5997</v>
      </c>
      <c r="B3545" s="2">
        <v>80</v>
      </c>
      <c r="C3545" s="2">
        <v>2833383</v>
      </c>
      <c r="D3545" s="2" t="s">
        <v>2082</v>
      </c>
      <c r="E3545" s="2" t="s">
        <v>5998</v>
      </c>
      <c r="F3545" s="2" t="s">
        <v>14</v>
      </c>
      <c r="G3545" s="2" t="s">
        <v>15</v>
      </c>
      <c r="H3545" s="2">
        <v>427000</v>
      </c>
      <c r="I3545" s="2">
        <v>5.7</v>
      </c>
      <c r="J3545" s="2">
        <f t="shared" si="26"/>
        <v>2406383</v>
      </c>
      <c r="K3545" s="2">
        <f t="shared" si="27"/>
        <v>2.401134981130644E-2</v>
      </c>
      <c r="L3545" s="2" t="str">
        <f>IF(ISNUMBER(SEARCH("|",IMDB_Movies!$D3545)),LEFT(IMDB_Movies!$D3545,SEARCH("|",IMDB_Movies!$D3545)-1),IMDB_Movies!$D3545)</f>
        <v>Drama</v>
      </c>
      <c r="V3545" s="2"/>
      <c r="W3545" s="2"/>
    </row>
    <row r="3546" spans="1:23" ht="12.5" x14ac:dyDescent="0.25">
      <c r="A3546" s="2" t="s">
        <v>549</v>
      </c>
      <c r="B3546" s="2">
        <v>100</v>
      </c>
      <c r="C3546" s="2">
        <v>24741700</v>
      </c>
      <c r="D3546" s="2" t="s">
        <v>1180</v>
      </c>
      <c r="E3546" s="2" t="s">
        <v>5999</v>
      </c>
      <c r="F3546" s="2" t="s">
        <v>14</v>
      </c>
      <c r="G3546" s="2" t="s">
        <v>15</v>
      </c>
      <c r="H3546" s="2">
        <v>1200000</v>
      </c>
      <c r="I3546" s="2">
        <v>7.2</v>
      </c>
      <c r="J3546" s="2">
        <f t="shared" si="26"/>
        <v>23541700</v>
      </c>
      <c r="K3546" s="2">
        <f t="shared" si="27"/>
        <v>2.3957932357490479E-2</v>
      </c>
      <c r="L3546" s="2" t="str">
        <f>IF(ISNUMBER(SEARCH("|",IMDB_Movies!$D3546)),LEFT(IMDB_Movies!$D3546,SEARCH("|",IMDB_Movies!$D3546)-1),IMDB_Movies!$D3546)</f>
        <v>Drama</v>
      </c>
      <c r="V3546" s="2"/>
      <c r="W3546" s="2"/>
    </row>
    <row r="3547" spans="1:23" ht="12.5" x14ac:dyDescent="0.25">
      <c r="A3547" s="2" t="s">
        <v>124</v>
      </c>
      <c r="B3547" s="2">
        <v>103</v>
      </c>
      <c r="C3547" s="2">
        <v>55153403</v>
      </c>
      <c r="D3547" s="2" t="s">
        <v>1050</v>
      </c>
      <c r="E3547" s="2" t="s">
        <v>6000</v>
      </c>
      <c r="F3547" s="2" t="s">
        <v>14</v>
      </c>
      <c r="G3547" s="2" t="s">
        <v>15</v>
      </c>
      <c r="H3547" s="2">
        <v>1200000</v>
      </c>
      <c r="I3547" s="2">
        <v>7.7</v>
      </c>
      <c r="J3547" s="2">
        <f t="shared" si="26"/>
        <v>53953403</v>
      </c>
      <c r="K3547" s="2">
        <f t="shared" si="27"/>
        <v>2.4284580294276895E-2</v>
      </c>
      <c r="L3547" s="2" t="str">
        <f>IF(ISNUMBER(SEARCH("|",IMDB_Movies!$D3547)),LEFT(IMDB_Movies!$D3547,SEARCH("|",IMDB_Movies!$D3547)-1),IMDB_Movies!$D3547)</f>
        <v>Horror</v>
      </c>
      <c r="V3547" s="2"/>
      <c r="W3547" s="2"/>
    </row>
    <row r="3548" spans="1:23" ht="12.5" x14ac:dyDescent="0.25">
      <c r="A3548" s="2" t="s">
        <v>1681</v>
      </c>
      <c r="B3548" s="2">
        <v>100</v>
      </c>
      <c r="C3548" s="2">
        <v>18488314</v>
      </c>
      <c r="D3548" s="2" t="s">
        <v>3980</v>
      </c>
      <c r="E3548" s="2" t="s">
        <v>6001</v>
      </c>
      <c r="F3548" s="2" t="s">
        <v>14</v>
      </c>
      <c r="G3548" s="2" t="s">
        <v>15</v>
      </c>
      <c r="H3548" s="2">
        <v>1200000</v>
      </c>
      <c r="I3548" s="2">
        <v>7.1</v>
      </c>
      <c r="J3548" s="2">
        <f t="shared" si="26"/>
        <v>17288314</v>
      </c>
      <c r="K3548" s="2">
        <f t="shared" si="27"/>
        <v>2.5415410336149722E-2</v>
      </c>
      <c r="L3548" s="2" t="str">
        <f>IF(ISNUMBER(SEARCH("|",IMDB_Movies!$D3548)),LEFT(IMDB_Movies!$D3548,SEARCH("|",IMDB_Movies!$D3548)-1),IMDB_Movies!$D3548)</f>
        <v>Comedy</v>
      </c>
      <c r="V3548" s="2"/>
      <c r="W3548" s="2"/>
    </row>
    <row r="3549" spans="1:23" ht="12.5" x14ac:dyDescent="0.25">
      <c r="A3549" s="2" t="s">
        <v>6002</v>
      </c>
      <c r="B3549" s="2">
        <v>89</v>
      </c>
      <c r="C3549" s="2">
        <v>11278</v>
      </c>
      <c r="D3549" s="2" t="s">
        <v>891</v>
      </c>
      <c r="E3549" s="2" t="s">
        <v>6003</v>
      </c>
      <c r="F3549" s="2" t="s">
        <v>971</v>
      </c>
      <c r="G3549" s="2" t="s">
        <v>3657</v>
      </c>
      <c r="H3549" s="2">
        <v>1300000</v>
      </c>
      <c r="I3549" s="2">
        <v>7</v>
      </c>
      <c r="J3549" s="2">
        <f t="shared" si="26"/>
        <v>-1288722</v>
      </c>
      <c r="K3549" s="2">
        <f t="shared" si="27"/>
        <v>2.5632949785784644E-2</v>
      </c>
      <c r="L3549" s="2" t="str">
        <f>IF(ISNUMBER(SEARCH("|",IMDB_Movies!$D3549)),LEFT(IMDB_Movies!$D3549,SEARCH("|",IMDB_Movies!$D3549)-1),IMDB_Movies!$D3549)</f>
        <v>Comedy</v>
      </c>
      <c r="V3549" s="2"/>
      <c r="W3549" s="2"/>
    </row>
    <row r="3550" spans="1:23" ht="12.5" x14ac:dyDescent="0.25">
      <c r="A3550" s="2" t="s">
        <v>3340</v>
      </c>
      <c r="B3550" s="2">
        <v>114</v>
      </c>
      <c r="C3550" s="2">
        <v>13876974</v>
      </c>
      <c r="D3550" s="2" t="s">
        <v>514</v>
      </c>
      <c r="E3550" s="2" t="s">
        <v>6004</v>
      </c>
      <c r="F3550" s="2" t="s">
        <v>4629</v>
      </c>
      <c r="G3550" s="2" t="s">
        <v>2312</v>
      </c>
      <c r="H3550" s="2">
        <v>7000000</v>
      </c>
      <c r="I3550" s="2">
        <v>7.4</v>
      </c>
      <c r="J3550" s="2">
        <f t="shared" si="26"/>
        <v>6876974</v>
      </c>
      <c r="K3550" s="2">
        <f t="shared" si="27"/>
        <v>2.5555812217266969E-2</v>
      </c>
      <c r="L3550" s="2" t="str">
        <f>IF(ISNUMBER(SEARCH("|",IMDB_Movies!$D3550)),LEFT(IMDB_Movies!$D3550,SEARCH("|",IMDB_Movies!$D3550)-1),IMDB_Movies!$D3550)</f>
        <v>Comedy</v>
      </c>
      <c r="V3550" s="2"/>
      <c r="W3550" s="2"/>
    </row>
    <row r="3551" spans="1:23" ht="12.5" x14ac:dyDescent="0.25">
      <c r="A3551" s="2" t="s">
        <v>4300</v>
      </c>
      <c r="B3551" s="2">
        <v>111</v>
      </c>
      <c r="C3551" s="2">
        <v>9180275</v>
      </c>
      <c r="D3551" s="2" t="s">
        <v>1180</v>
      </c>
      <c r="E3551" s="2" t="s">
        <v>6005</v>
      </c>
      <c r="F3551" s="2" t="s">
        <v>14</v>
      </c>
      <c r="G3551" s="2" t="s">
        <v>15</v>
      </c>
      <c r="H3551" s="2">
        <v>1200000</v>
      </c>
      <c r="I3551" s="2">
        <v>7.7</v>
      </c>
      <c r="J3551" s="2">
        <f t="shared" si="26"/>
        <v>7980275</v>
      </c>
      <c r="K3551" s="2">
        <f t="shared" si="27"/>
        <v>2.5512791351150695E-2</v>
      </c>
      <c r="L3551" s="2" t="str">
        <f>IF(ISNUMBER(SEARCH("|",IMDB_Movies!$D3551)),LEFT(IMDB_Movies!$D3551,SEARCH("|",IMDB_Movies!$D3551)-1),IMDB_Movies!$D3551)</f>
        <v>Drama</v>
      </c>
      <c r="V3551" s="2"/>
      <c r="W3551" s="2"/>
    </row>
    <row r="3552" spans="1:23" ht="12.5" x14ac:dyDescent="0.25">
      <c r="A3552" s="2" t="s">
        <v>6006</v>
      </c>
      <c r="B3552" s="2">
        <v>85</v>
      </c>
      <c r="C3552" s="2">
        <v>2199853</v>
      </c>
      <c r="D3552" s="2" t="s">
        <v>891</v>
      </c>
      <c r="E3552" s="2" t="s">
        <v>6007</v>
      </c>
      <c r="F3552" s="2" t="s">
        <v>14</v>
      </c>
      <c r="G3552" s="2" t="s">
        <v>15</v>
      </c>
      <c r="H3552" s="2">
        <v>1200000</v>
      </c>
      <c r="I3552" s="2">
        <v>6.6</v>
      </c>
      <c r="J3552" s="2">
        <f t="shared" si="26"/>
        <v>999853</v>
      </c>
      <c r="K3552" s="2">
        <f t="shared" si="27"/>
        <v>2.5566958845856875E-2</v>
      </c>
      <c r="L3552" s="2" t="str">
        <f>IF(ISNUMBER(SEARCH("|",IMDB_Movies!$D3552)),LEFT(IMDB_Movies!$D3552,SEARCH("|",IMDB_Movies!$D3552)-1),IMDB_Movies!$D3552)</f>
        <v>Comedy</v>
      </c>
      <c r="V3552" s="2"/>
      <c r="W3552" s="2"/>
    </row>
    <row r="3553" spans="1:23" ht="12.5" x14ac:dyDescent="0.25">
      <c r="A3553" s="2" t="s">
        <v>6008</v>
      </c>
      <c r="B3553" s="2">
        <v>113</v>
      </c>
      <c r="C3553" s="2">
        <v>2859955</v>
      </c>
      <c r="D3553" s="2" t="s">
        <v>1307</v>
      </c>
      <c r="E3553" s="2" t="s">
        <v>6009</v>
      </c>
      <c r="F3553" s="2" t="s">
        <v>14</v>
      </c>
      <c r="G3553" s="2" t="s">
        <v>15</v>
      </c>
      <c r="H3553" s="2">
        <v>1200000</v>
      </c>
      <c r="I3553" s="2">
        <v>6</v>
      </c>
      <c r="J3553" s="2">
        <f t="shared" si="26"/>
        <v>1659955</v>
      </c>
      <c r="K3553" s="2">
        <f t="shared" si="27"/>
        <v>2.5516711554493931E-2</v>
      </c>
      <c r="L3553" s="2" t="str">
        <f>IF(ISNUMBER(SEARCH("|",IMDB_Movies!$D3553)),LEFT(IMDB_Movies!$D3553,SEARCH("|",IMDB_Movies!$D3553)-1),IMDB_Movies!$D3553)</f>
        <v>Drama</v>
      </c>
      <c r="V3553" s="2"/>
      <c r="W3553" s="2"/>
    </row>
    <row r="3554" spans="1:23" ht="12.5" x14ac:dyDescent="0.25">
      <c r="A3554" s="2" t="s">
        <v>628</v>
      </c>
      <c r="B3554" s="2">
        <v>99</v>
      </c>
      <c r="C3554" s="2">
        <v>2812029</v>
      </c>
      <c r="D3554" s="2" t="s">
        <v>763</v>
      </c>
      <c r="E3554" s="2" t="s">
        <v>6010</v>
      </c>
      <c r="F3554" s="2" t="s">
        <v>14</v>
      </c>
      <c r="G3554" s="2" t="s">
        <v>15</v>
      </c>
      <c r="H3554" s="2">
        <v>1200000</v>
      </c>
      <c r="I3554" s="2">
        <v>8.4</v>
      </c>
      <c r="J3554" s="2">
        <f t="shared" si="26"/>
        <v>1612029</v>
      </c>
      <c r="K3554" s="2">
        <f t="shared" si="27"/>
        <v>2.5475243254779685E-2</v>
      </c>
      <c r="L3554" s="2" t="str">
        <f>IF(ISNUMBER(SEARCH("|",IMDB_Movies!$D3554)),LEFT(IMDB_Movies!$D3554,SEARCH("|",IMDB_Movies!$D3554)-1),IMDB_Movies!$D3554)</f>
        <v>Crime</v>
      </c>
      <c r="V3554" s="2"/>
      <c r="W3554" s="2"/>
    </row>
    <row r="3555" spans="1:23" ht="12.5" x14ac:dyDescent="0.25">
      <c r="A3555" s="2" t="s">
        <v>2860</v>
      </c>
      <c r="B3555" s="2">
        <v>142</v>
      </c>
      <c r="C3555" s="2">
        <v>6100000</v>
      </c>
      <c r="D3555" s="2" t="s">
        <v>5138</v>
      </c>
      <c r="E3555" s="2" t="s">
        <v>6011</v>
      </c>
      <c r="F3555" s="2" t="s">
        <v>3189</v>
      </c>
      <c r="G3555" s="2" t="s">
        <v>2862</v>
      </c>
      <c r="H3555" s="2">
        <v>1200000</v>
      </c>
      <c r="I3555" s="2">
        <v>8.9</v>
      </c>
      <c r="J3555" s="2">
        <f t="shared" si="26"/>
        <v>4900000</v>
      </c>
      <c r="K3555" s="2">
        <f t="shared" si="27"/>
        <v>2.5432736140631802E-2</v>
      </c>
      <c r="L3555" s="2" t="str">
        <f>IF(ISNUMBER(SEARCH("|",IMDB_Movies!$D3555)),LEFT(IMDB_Movies!$D3555,SEARCH("|",IMDB_Movies!$D3555)-1),IMDB_Movies!$D3555)</f>
        <v>Western</v>
      </c>
      <c r="V3555" s="2"/>
      <c r="W3555" s="2"/>
    </row>
    <row r="3556" spans="1:23" ht="12.5" x14ac:dyDescent="0.25">
      <c r="A3556" s="2" t="s">
        <v>6012</v>
      </c>
      <c r="B3556" s="2">
        <v>112</v>
      </c>
      <c r="C3556" s="2">
        <v>375723</v>
      </c>
      <c r="D3556" s="2" t="s">
        <v>891</v>
      </c>
      <c r="E3556" s="2" t="s">
        <v>6013</v>
      </c>
      <c r="F3556" s="2" t="s">
        <v>5153</v>
      </c>
      <c r="G3556" s="2" t="s">
        <v>5154</v>
      </c>
      <c r="H3556" s="2">
        <v>4000000</v>
      </c>
      <c r="I3556" s="2">
        <v>7.9</v>
      </c>
      <c r="J3556" s="2">
        <f t="shared" si="26"/>
        <v>-3624277</v>
      </c>
      <c r="K3556" s="2">
        <f t="shared" si="27"/>
        <v>2.5438425333103643E-2</v>
      </c>
      <c r="L3556" s="2" t="str">
        <f>IF(ISNUMBER(SEARCH("|",IMDB_Movies!$D3556)),LEFT(IMDB_Movies!$D3556,SEARCH("|",IMDB_Movies!$D3556)-1),IMDB_Movies!$D3556)</f>
        <v>Comedy</v>
      </c>
      <c r="V3556" s="2"/>
      <c r="W3556" s="2"/>
    </row>
    <row r="3557" spans="1:23" ht="12.5" x14ac:dyDescent="0.25">
      <c r="A3557" s="2" t="s">
        <v>6014</v>
      </c>
      <c r="B3557" s="2">
        <v>108</v>
      </c>
      <c r="C3557" s="2">
        <v>594904</v>
      </c>
      <c r="D3557" s="2" t="s">
        <v>891</v>
      </c>
      <c r="E3557" s="2" t="s">
        <v>6015</v>
      </c>
      <c r="F3557" s="2" t="s">
        <v>14</v>
      </c>
      <c r="G3557" s="2" t="s">
        <v>15</v>
      </c>
      <c r="H3557" s="2">
        <v>1200000</v>
      </c>
      <c r="I3557" s="2">
        <v>6</v>
      </c>
      <c r="J3557" s="2">
        <f t="shared" si="26"/>
        <v>-605096</v>
      </c>
      <c r="K3557" s="2">
        <f t="shared" si="27"/>
        <v>2.5417825938445136E-2</v>
      </c>
      <c r="L3557" s="2" t="str">
        <f>IF(ISNUMBER(SEARCH("|",IMDB_Movies!$D3557)),LEFT(IMDB_Movies!$D3557,SEARCH("|",IMDB_Movies!$D3557)-1),IMDB_Movies!$D3557)</f>
        <v>Comedy</v>
      </c>
      <c r="V3557" s="2"/>
      <c r="W3557" s="2"/>
    </row>
    <row r="3558" spans="1:23" ht="12.5" x14ac:dyDescent="0.25">
      <c r="A3558" s="2" t="s">
        <v>6016</v>
      </c>
      <c r="B3558" s="2">
        <v>88</v>
      </c>
      <c r="C3558" s="2">
        <v>58936</v>
      </c>
      <c r="D3558" s="2" t="s">
        <v>2525</v>
      </c>
      <c r="E3558" s="2" t="s">
        <v>6017</v>
      </c>
      <c r="F3558" s="2" t="s">
        <v>14</v>
      </c>
      <c r="G3558" s="2" t="s">
        <v>15</v>
      </c>
      <c r="H3558" s="2">
        <v>1200000</v>
      </c>
      <c r="I3558" s="2">
        <v>6.1</v>
      </c>
      <c r="J3558" s="2">
        <f t="shared" si="26"/>
        <v>-1141064</v>
      </c>
      <c r="K3558" s="2">
        <f t="shared" si="27"/>
        <v>2.5343595224715191E-2</v>
      </c>
      <c r="L3558" s="2" t="str">
        <f>IF(ISNUMBER(SEARCH("|",IMDB_Movies!$D3558)),LEFT(IMDB_Movies!$D3558,SEARCH("|",IMDB_Movies!$D3558)-1),IMDB_Movies!$D3558)</f>
        <v>Comedy</v>
      </c>
      <c r="V3558" s="2"/>
      <c r="W3558" s="2"/>
    </row>
    <row r="3559" spans="1:23" ht="12.5" x14ac:dyDescent="0.25">
      <c r="A3559" s="2" t="s">
        <v>6018</v>
      </c>
      <c r="B3559" s="2">
        <v>97</v>
      </c>
      <c r="C3559" s="2">
        <v>24784</v>
      </c>
      <c r="D3559" s="2" t="s">
        <v>2943</v>
      </c>
      <c r="E3559" s="2" t="s">
        <v>6019</v>
      </c>
      <c r="F3559" s="2" t="s">
        <v>14</v>
      </c>
      <c r="G3559" s="2" t="s">
        <v>104</v>
      </c>
      <c r="H3559" s="2">
        <v>1200000</v>
      </c>
      <c r="I3559" s="2">
        <v>7.4</v>
      </c>
      <c r="J3559" s="2">
        <f t="shared" si="26"/>
        <v>-1175216</v>
      </c>
      <c r="K3559" s="2">
        <f t="shared" si="27"/>
        <v>2.5261470809754317E-2</v>
      </c>
      <c r="L3559" s="2" t="str">
        <f>IF(ISNUMBER(SEARCH("|",IMDB_Movies!$D3559)),LEFT(IMDB_Movies!$D3559,SEARCH("|",IMDB_Movies!$D3559)-1),IMDB_Movies!$D3559)</f>
        <v>Documentary</v>
      </c>
      <c r="V3559" s="2"/>
      <c r="W3559" s="2"/>
    </row>
    <row r="3560" spans="1:23" ht="12.5" x14ac:dyDescent="0.25">
      <c r="A3560" s="2" t="s">
        <v>6020</v>
      </c>
      <c r="B3560" s="2">
        <v>85</v>
      </c>
      <c r="C3560" s="2">
        <v>7826</v>
      </c>
      <c r="D3560" s="2" t="s">
        <v>5324</v>
      </c>
      <c r="E3560" s="2" t="s">
        <v>6021</v>
      </c>
      <c r="F3560" s="2" t="s">
        <v>14</v>
      </c>
      <c r="G3560" s="2" t="s">
        <v>15</v>
      </c>
      <c r="H3560" s="2">
        <v>1200000</v>
      </c>
      <c r="I3560" s="2">
        <v>6.2</v>
      </c>
      <c r="J3560" s="2">
        <f t="shared" si="26"/>
        <v>-1192174</v>
      </c>
      <c r="K3560" s="2">
        <f t="shared" si="27"/>
        <v>2.5178128967090874E-2</v>
      </c>
      <c r="L3560" s="2" t="str">
        <f>IF(ISNUMBER(SEARCH("|",IMDB_Movies!$D3560)),LEFT(IMDB_Movies!$D3560,SEARCH("|",IMDB_Movies!$D3560)-1),IMDB_Movies!$D3560)</f>
        <v>Comedy</v>
      </c>
      <c r="V3560" s="2"/>
      <c r="W3560" s="2"/>
    </row>
    <row r="3561" spans="1:23" ht="12.5" x14ac:dyDescent="0.25">
      <c r="A3561" s="2" t="s">
        <v>6022</v>
      </c>
      <c r="B3561" s="2">
        <v>110</v>
      </c>
      <c r="C3561" s="2">
        <v>3830</v>
      </c>
      <c r="D3561" s="2" t="s">
        <v>891</v>
      </c>
      <c r="E3561" s="2" t="s">
        <v>6023</v>
      </c>
      <c r="F3561" s="2" t="s">
        <v>971</v>
      </c>
      <c r="G3561" s="2" t="s">
        <v>15</v>
      </c>
      <c r="H3561" s="2">
        <v>1200000</v>
      </c>
      <c r="I3561" s="2">
        <v>7.2</v>
      </c>
      <c r="J3561" s="2">
        <f t="shared" si="26"/>
        <v>-1196170</v>
      </c>
      <c r="K3561" s="2">
        <f t="shared" si="27"/>
        <v>2.5093784381853057E-2</v>
      </c>
      <c r="L3561" s="2" t="str">
        <f>IF(ISNUMBER(SEARCH("|",IMDB_Movies!$D3561)),LEFT(IMDB_Movies!$D3561,SEARCH("|",IMDB_Movies!$D3561)-1),IMDB_Movies!$D3561)</f>
        <v>Comedy</v>
      </c>
      <c r="V3561" s="2"/>
      <c r="W3561" s="2"/>
    </row>
    <row r="3562" spans="1:23" ht="12.5" x14ac:dyDescent="0.25">
      <c r="A3562" s="2" t="s">
        <v>1248</v>
      </c>
      <c r="B3562" s="2">
        <v>91</v>
      </c>
      <c r="C3562" s="2">
        <v>2850263</v>
      </c>
      <c r="D3562" s="2" t="s">
        <v>6024</v>
      </c>
      <c r="E3562" s="2" t="s">
        <v>6025</v>
      </c>
      <c r="F3562" s="2" t="s">
        <v>14</v>
      </c>
      <c r="G3562" s="2" t="s">
        <v>15</v>
      </c>
      <c r="H3562" s="2">
        <v>2600000</v>
      </c>
      <c r="I3562" s="2">
        <v>6.2</v>
      </c>
      <c r="J3562" s="2">
        <f t="shared" si="26"/>
        <v>250263</v>
      </c>
      <c r="K3562" s="2">
        <f t="shared" si="27"/>
        <v>2.5008598488073536E-2</v>
      </c>
      <c r="L3562" s="2" t="str">
        <f>IF(ISNUMBER(SEARCH("|",IMDB_Movies!$D3562)),LEFT(IMDB_Movies!$D3562,SEARCH("|",IMDB_Movies!$D3562)-1),IMDB_Movies!$D3562)</f>
        <v>Adventure</v>
      </c>
      <c r="V3562" s="2"/>
      <c r="W3562" s="2"/>
    </row>
    <row r="3563" spans="1:23" ht="12.5" x14ac:dyDescent="0.25">
      <c r="A3563" s="2" t="s">
        <v>6026</v>
      </c>
      <c r="B3563" s="2">
        <v>94</v>
      </c>
      <c r="C3563" s="2">
        <v>16101109</v>
      </c>
      <c r="D3563" s="2" t="s">
        <v>709</v>
      </c>
      <c r="E3563" s="2" t="s">
        <v>6027</v>
      </c>
      <c r="F3563" s="2" t="s">
        <v>14</v>
      </c>
      <c r="G3563" s="2" t="s">
        <v>15</v>
      </c>
      <c r="H3563" s="2">
        <v>3000000</v>
      </c>
      <c r="I3563" s="2">
        <v>6.8</v>
      </c>
      <c r="J3563" s="2">
        <f t="shared" si="26"/>
        <v>13101109</v>
      </c>
      <c r="K3563" s="2">
        <f t="shared" si="27"/>
        <v>2.4978659233020856E-2</v>
      </c>
      <c r="L3563" s="2" t="str">
        <f>IF(ISNUMBER(SEARCH("|",IMDB_Movies!$D3563)),LEFT(IMDB_Movies!$D3563,SEARCH("|",IMDB_Movies!$D3563)-1),IMDB_Movies!$D3563)</f>
        <v>Comedy</v>
      </c>
      <c r="V3563" s="2"/>
      <c r="W3563" s="2"/>
    </row>
    <row r="3564" spans="1:23" ht="12.5" x14ac:dyDescent="0.25">
      <c r="A3564" s="2" t="s">
        <v>5795</v>
      </c>
      <c r="B3564" s="2">
        <v>90</v>
      </c>
      <c r="C3564" s="2">
        <v>6013</v>
      </c>
      <c r="D3564" s="2" t="s">
        <v>763</v>
      </c>
      <c r="E3564" s="2" t="s">
        <v>6028</v>
      </c>
      <c r="F3564" s="2" t="s">
        <v>14</v>
      </c>
      <c r="G3564" s="2" t="s">
        <v>22</v>
      </c>
      <c r="H3564" s="2">
        <v>695393</v>
      </c>
      <c r="I3564" s="2">
        <v>7.7</v>
      </c>
      <c r="J3564" s="2">
        <f t="shared" si="26"/>
        <v>-689380</v>
      </c>
      <c r="K3564" s="2">
        <f t="shared" si="27"/>
        <v>2.5088403934316134E-2</v>
      </c>
      <c r="L3564" s="2" t="str">
        <f>IF(ISNUMBER(SEARCH("|",IMDB_Movies!$D3564)),LEFT(IMDB_Movies!$D3564,SEARCH("|",IMDB_Movies!$D3564)-1),IMDB_Movies!$D3564)</f>
        <v>Crime</v>
      </c>
      <c r="V3564" s="2"/>
      <c r="W3564" s="2"/>
    </row>
    <row r="3565" spans="1:23" ht="12.5" x14ac:dyDescent="0.25">
      <c r="A3565" s="2" t="s">
        <v>6029</v>
      </c>
      <c r="B3565" s="2">
        <v>92</v>
      </c>
      <c r="C3565" s="2">
        <v>1400000</v>
      </c>
      <c r="D3565" s="2" t="s">
        <v>6030</v>
      </c>
      <c r="E3565" s="2" t="s">
        <v>6031</v>
      </c>
      <c r="F3565" s="2" t="s">
        <v>14</v>
      </c>
      <c r="G3565" s="2" t="s">
        <v>15</v>
      </c>
      <c r="H3565" s="2">
        <v>1100000</v>
      </c>
      <c r="I3565" s="2">
        <v>5.9</v>
      </c>
      <c r="J3565" s="2">
        <f t="shared" si="26"/>
        <v>300000</v>
      </c>
      <c r="K3565" s="2">
        <f t="shared" si="27"/>
        <v>2.4991295720856569E-2</v>
      </c>
      <c r="L3565" s="2" t="str">
        <f>IF(ISNUMBER(SEARCH("|",IMDB_Movies!$D3565)),LEFT(IMDB_Movies!$D3565,SEARCH("|",IMDB_Movies!$D3565)-1),IMDB_Movies!$D3565)</f>
        <v>Action</v>
      </c>
      <c r="V3565" s="2"/>
      <c r="W3565" s="2"/>
    </row>
    <row r="3566" spans="1:23" ht="12.5" x14ac:dyDescent="0.25">
      <c r="A3566" s="2" t="s">
        <v>6032</v>
      </c>
      <c r="B3566" s="2">
        <v>73</v>
      </c>
      <c r="C3566" s="2">
        <v>39659</v>
      </c>
      <c r="D3566" s="2" t="s">
        <v>6033</v>
      </c>
      <c r="E3566" s="2" t="s">
        <v>6034</v>
      </c>
      <c r="F3566" s="2" t="s">
        <v>14</v>
      </c>
      <c r="G3566" s="2" t="s">
        <v>104</v>
      </c>
      <c r="H3566" s="2">
        <v>1600000</v>
      </c>
      <c r="I3566" s="2">
        <v>7</v>
      </c>
      <c r="J3566" s="2">
        <f t="shared" si="26"/>
        <v>-1560341</v>
      </c>
      <c r="K3566" s="2">
        <f t="shared" si="27"/>
        <v>2.4922273190517902E-2</v>
      </c>
      <c r="L3566" s="2" t="str">
        <f>IF(ISNUMBER(SEARCH("|",IMDB_Movies!$D3566)),LEFT(IMDB_Movies!$D3566,SEARCH("|",IMDB_Movies!$D3566)-1),IMDB_Movies!$D3566)</f>
        <v>Comedy</v>
      </c>
      <c r="V3566" s="2"/>
      <c r="W3566" s="2"/>
    </row>
    <row r="3567" spans="1:23" ht="12.5" x14ac:dyDescent="0.25">
      <c r="A3567" s="2" t="s">
        <v>6035</v>
      </c>
      <c r="B3567" s="2">
        <v>110</v>
      </c>
      <c r="C3567" s="2">
        <v>56129</v>
      </c>
      <c r="D3567" s="2" t="s">
        <v>1025</v>
      </c>
      <c r="E3567" s="2" t="s">
        <v>6036</v>
      </c>
      <c r="F3567" s="2" t="s">
        <v>14</v>
      </c>
      <c r="G3567" s="2" t="s">
        <v>104</v>
      </c>
      <c r="H3567" s="2">
        <v>1100000</v>
      </c>
      <c r="I3567" s="2">
        <v>6.1</v>
      </c>
      <c r="J3567" s="2">
        <f t="shared" si="26"/>
        <v>-1043871</v>
      </c>
      <c r="K3567" s="2">
        <f t="shared" si="27"/>
        <v>2.484384078095277E-2</v>
      </c>
      <c r="L3567" s="2" t="str">
        <f>IF(ISNUMBER(SEARCH("|",IMDB_Movies!$D3567)),LEFT(IMDB_Movies!$D3567,SEARCH("|",IMDB_Movies!$D3567)-1),IMDB_Movies!$D3567)</f>
        <v>Sci-Fi</v>
      </c>
      <c r="V3567" s="2"/>
      <c r="W3567" s="2"/>
    </row>
    <row r="3568" spans="1:23" ht="12.5" x14ac:dyDescent="0.25">
      <c r="A3568" s="2" t="s">
        <v>6037</v>
      </c>
      <c r="B3568" s="2">
        <v>102</v>
      </c>
      <c r="C3568" s="2">
        <v>4105123</v>
      </c>
      <c r="D3568" s="2" t="s">
        <v>125</v>
      </c>
      <c r="E3568" s="2" t="s">
        <v>6038</v>
      </c>
      <c r="F3568" s="2" t="s">
        <v>6039</v>
      </c>
      <c r="G3568" s="2" t="s">
        <v>6040</v>
      </c>
      <c r="H3568" s="2">
        <v>1100000</v>
      </c>
      <c r="I3568" s="2">
        <v>7.6</v>
      </c>
      <c r="J3568" s="2">
        <f t="shared" si="26"/>
        <v>3005123</v>
      </c>
      <c r="K3568" s="2">
        <f t="shared" si="27"/>
        <v>2.4753868041825017E-2</v>
      </c>
      <c r="L3568" s="2" t="str">
        <f>IF(ISNUMBER(SEARCH("|",IMDB_Movies!$D3568)),LEFT(IMDB_Movies!$D3568,SEARCH("|",IMDB_Movies!$D3568)-1),IMDB_Movies!$D3568)</f>
        <v>Action</v>
      </c>
      <c r="V3568" s="2"/>
      <c r="W3568" s="2"/>
    </row>
    <row r="3569" spans="1:23" ht="12.5" x14ac:dyDescent="0.25">
      <c r="A3569" s="2" t="s">
        <v>2091</v>
      </c>
      <c r="B3569" s="2">
        <v>145</v>
      </c>
      <c r="C3569" s="2">
        <v>117235247</v>
      </c>
      <c r="D3569" s="2" t="s">
        <v>1307</v>
      </c>
      <c r="E3569" s="2" t="s">
        <v>6041</v>
      </c>
      <c r="F3569" s="2" t="s">
        <v>14</v>
      </c>
      <c r="G3569" s="2" t="s">
        <v>15</v>
      </c>
      <c r="H3569" s="2">
        <v>960000</v>
      </c>
      <c r="I3569" s="2">
        <v>8.1</v>
      </c>
      <c r="J3569" s="2">
        <f t="shared" si="26"/>
        <v>116275247</v>
      </c>
      <c r="K3569" s="2">
        <f t="shared" si="27"/>
        <v>2.4724245548560887E-2</v>
      </c>
      <c r="L3569" s="2" t="str">
        <f>IF(ISNUMBER(SEARCH("|",IMDB_Movies!$D3569)),LEFT(IMDB_Movies!$D3569,SEARCH("|",IMDB_Movies!$D3569)-1),IMDB_Movies!$D3569)</f>
        <v>Drama</v>
      </c>
      <c r="V3569" s="2"/>
      <c r="W3569" s="2"/>
    </row>
    <row r="3570" spans="1:23" ht="12.5" x14ac:dyDescent="0.25">
      <c r="A3570" s="2" t="s">
        <v>6042</v>
      </c>
      <c r="B3570" s="2">
        <v>83</v>
      </c>
      <c r="C3570" s="2">
        <v>31537320</v>
      </c>
      <c r="D3570" s="2" t="s">
        <v>1050</v>
      </c>
      <c r="E3570" s="2" t="s">
        <v>6043</v>
      </c>
      <c r="F3570" s="2" t="s">
        <v>14</v>
      </c>
      <c r="G3570" s="2" t="s">
        <v>15</v>
      </c>
      <c r="H3570" s="2">
        <v>1000000</v>
      </c>
      <c r="I3570" s="2">
        <v>5.7</v>
      </c>
      <c r="J3570" s="2">
        <f t="shared" si="26"/>
        <v>30537320</v>
      </c>
      <c r="K3570" s="2">
        <f t="shared" si="27"/>
        <v>2.9286917221931427E-2</v>
      </c>
      <c r="L3570" s="2" t="str">
        <f>IF(ISNUMBER(SEARCH("|",IMDB_Movies!$D3570)),LEFT(IMDB_Movies!$D3570,SEARCH("|",IMDB_Movies!$D3570)-1),IMDB_Movies!$D3570)</f>
        <v>Horror</v>
      </c>
      <c r="V3570" s="2"/>
      <c r="W3570" s="2"/>
    </row>
    <row r="3571" spans="1:23" ht="12.5" x14ac:dyDescent="0.25">
      <c r="A3571" s="2" t="s">
        <v>991</v>
      </c>
      <c r="B3571" s="2">
        <v>91</v>
      </c>
      <c r="C3571" s="2">
        <v>17986000</v>
      </c>
      <c r="D3571" s="2" t="s">
        <v>2148</v>
      </c>
      <c r="E3571" s="2" t="s">
        <v>6044</v>
      </c>
      <c r="F3571" s="2" t="s">
        <v>14</v>
      </c>
      <c r="G3571" s="2" t="s">
        <v>15</v>
      </c>
      <c r="H3571" s="2">
        <v>1000000</v>
      </c>
      <c r="I3571" s="2">
        <v>6.6</v>
      </c>
      <c r="J3571" s="2">
        <f t="shared" si="26"/>
        <v>16986000</v>
      </c>
      <c r="K3571" s="2">
        <f t="shared" si="27"/>
        <v>2.9948139938672347E-2</v>
      </c>
      <c r="L3571" s="2" t="str">
        <f>IF(ISNUMBER(SEARCH("|",IMDB_Movies!$D3571)),LEFT(IMDB_Movies!$D3571,SEARCH("|",IMDB_Movies!$D3571)-1),IMDB_Movies!$D3571)</f>
        <v>Horror</v>
      </c>
      <c r="V3571" s="2"/>
      <c r="W3571" s="2"/>
    </row>
    <row r="3572" spans="1:23" ht="12.5" x14ac:dyDescent="0.25">
      <c r="A3572" s="2" t="s">
        <v>4874</v>
      </c>
      <c r="B3572" s="2">
        <v>110</v>
      </c>
      <c r="C3572" s="2">
        <v>16067035</v>
      </c>
      <c r="D3572" s="2" t="s">
        <v>20</v>
      </c>
      <c r="E3572" s="2" t="s">
        <v>6045</v>
      </c>
      <c r="F3572" s="2" t="s">
        <v>14</v>
      </c>
      <c r="G3572" s="2" t="s">
        <v>22</v>
      </c>
      <c r="H3572" s="2">
        <v>1100000</v>
      </c>
      <c r="I3572" s="2">
        <v>7.3</v>
      </c>
      <c r="J3572" s="2">
        <f t="shared" ref="J3572:J3787" si="28">(C3572-H3572)</f>
        <v>14967035</v>
      </c>
      <c r="K3572" s="2">
        <f t="shared" si="27"/>
        <v>3.0228988312267353E-2</v>
      </c>
      <c r="L3572" s="2" t="str">
        <f>IF(ISNUMBER(SEARCH("|",IMDB_Movies!$D3572)),LEFT(IMDB_Movies!$D3572,SEARCH("|",IMDB_Movies!$D3572)-1),IMDB_Movies!$D3572)</f>
        <v>Action</v>
      </c>
      <c r="V3572" s="2"/>
      <c r="W3572" s="2"/>
    </row>
    <row r="3573" spans="1:23" ht="12.5" x14ac:dyDescent="0.25">
      <c r="A3573" s="2" t="s">
        <v>6046</v>
      </c>
      <c r="B3573" s="2">
        <v>86</v>
      </c>
      <c r="C3573" s="2">
        <v>18112929</v>
      </c>
      <c r="D3573" s="2" t="s">
        <v>1467</v>
      </c>
      <c r="E3573" s="2" t="s">
        <v>6047</v>
      </c>
      <c r="F3573" s="2" t="s">
        <v>14</v>
      </c>
      <c r="G3573" s="2" t="s">
        <v>15</v>
      </c>
      <c r="H3573" s="2">
        <v>1000000</v>
      </c>
      <c r="I3573" s="2">
        <v>5</v>
      </c>
      <c r="J3573" s="2">
        <f t="shared" si="28"/>
        <v>17112929</v>
      </c>
      <c r="K3573" s="2">
        <f t="shared" ref="K3573:K3787" si="29">CORREL(H3573:H7358,C3573:C7358)</f>
        <v>3.0460409201427899E-2</v>
      </c>
      <c r="L3573" s="2" t="str">
        <f>IF(ISNUMBER(SEARCH("|",IMDB_Movies!$D3573)),LEFT(IMDB_Movies!$D3573,SEARCH("|",IMDB_Movies!$D3573)-1),IMDB_Movies!$D3573)</f>
        <v>Horror</v>
      </c>
      <c r="V3573" s="2"/>
      <c r="W3573" s="2"/>
    </row>
    <row r="3574" spans="1:23" ht="12.5" x14ac:dyDescent="0.25">
      <c r="A3574" s="2" t="s">
        <v>6048</v>
      </c>
      <c r="B3574" s="2">
        <v>86</v>
      </c>
      <c r="C3574" s="2">
        <v>14564027</v>
      </c>
      <c r="D3574" s="2" t="s">
        <v>2465</v>
      </c>
      <c r="E3574" s="2" t="s">
        <v>6049</v>
      </c>
      <c r="F3574" s="2" t="s">
        <v>14</v>
      </c>
      <c r="G3574" s="2" t="s">
        <v>22</v>
      </c>
      <c r="H3574" s="2">
        <v>1000000</v>
      </c>
      <c r="I3574" s="2">
        <v>7</v>
      </c>
      <c r="J3574" s="2">
        <f t="shared" si="28"/>
        <v>13564027</v>
      </c>
      <c r="K3574" s="2">
        <f t="shared" si="29"/>
        <v>3.0751081851387974E-2</v>
      </c>
      <c r="L3574" s="2" t="str">
        <f>IF(ISNUMBER(SEARCH("|",IMDB_Movies!$D3574)),LEFT(IMDB_Movies!$D3574,SEARCH("|",IMDB_Movies!$D3574)-1),IMDB_Movies!$D3574)</f>
        <v>Fantasy</v>
      </c>
      <c r="V3574" s="2"/>
      <c r="W3574" s="2"/>
    </row>
    <row r="3575" spans="1:23" ht="12.5" x14ac:dyDescent="0.25">
      <c r="A3575" s="2" t="s">
        <v>6050</v>
      </c>
      <c r="B3575" s="2">
        <v>120</v>
      </c>
      <c r="C3575" s="2">
        <v>20773070</v>
      </c>
      <c r="D3575" s="2" t="s">
        <v>1180</v>
      </c>
      <c r="E3575" s="2" t="s">
        <v>6051</v>
      </c>
      <c r="F3575" s="2" t="s">
        <v>14</v>
      </c>
      <c r="G3575" s="2" t="s">
        <v>15</v>
      </c>
      <c r="H3575" s="2">
        <v>5000000</v>
      </c>
      <c r="I3575" s="2">
        <v>3.4</v>
      </c>
      <c r="J3575" s="2">
        <f t="shared" si="28"/>
        <v>15773070</v>
      </c>
      <c r="K3575" s="2">
        <f t="shared" si="29"/>
        <v>3.095578271763175E-2</v>
      </c>
      <c r="L3575" s="2" t="str">
        <f>IF(ISNUMBER(SEARCH("|",IMDB_Movies!$D3575)),LEFT(IMDB_Movies!$D3575,SEARCH("|",IMDB_Movies!$D3575)-1),IMDB_Movies!$D3575)</f>
        <v>Drama</v>
      </c>
      <c r="V3575" s="2"/>
      <c r="W3575" s="2"/>
    </row>
    <row r="3576" spans="1:23" ht="12.5" x14ac:dyDescent="0.25">
      <c r="A3576" s="2" t="s">
        <v>2958</v>
      </c>
      <c r="B3576" s="2">
        <v>90</v>
      </c>
      <c r="C3576" s="2">
        <v>10042266</v>
      </c>
      <c r="D3576" s="2" t="s">
        <v>2061</v>
      </c>
      <c r="E3576" s="2" t="s">
        <v>6052</v>
      </c>
      <c r="F3576" s="2" t="s">
        <v>14</v>
      </c>
      <c r="G3576" s="2" t="s">
        <v>15</v>
      </c>
      <c r="H3576" s="2">
        <v>1000000</v>
      </c>
      <c r="I3576" s="2">
        <v>5.9</v>
      </c>
      <c r="J3576" s="2">
        <f t="shared" si="28"/>
        <v>9042266</v>
      </c>
      <c r="K3576" s="2">
        <f t="shared" si="29"/>
        <v>3.1062499181917412E-2</v>
      </c>
      <c r="L3576" s="2" t="str">
        <f>IF(ISNUMBER(SEARCH("|",IMDB_Movies!$D3576)),LEFT(IMDB_Movies!$D3576,SEARCH("|",IMDB_Movies!$D3576)-1),IMDB_Movies!$D3576)</f>
        <v>Drama</v>
      </c>
      <c r="V3576" s="2"/>
      <c r="W3576" s="2"/>
    </row>
    <row r="3577" spans="1:23" ht="12.5" x14ac:dyDescent="0.25">
      <c r="A3577" s="2" t="s">
        <v>6053</v>
      </c>
      <c r="B3577" s="2">
        <v>99</v>
      </c>
      <c r="C3577" s="2">
        <v>10037390</v>
      </c>
      <c r="D3577" s="2" t="s">
        <v>1906</v>
      </c>
      <c r="E3577" s="2" t="s">
        <v>6054</v>
      </c>
      <c r="F3577" s="2" t="s">
        <v>2568</v>
      </c>
      <c r="G3577" s="2" t="s">
        <v>1032</v>
      </c>
      <c r="H3577" s="2">
        <v>1000000000</v>
      </c>
      <c r="I3577" s="2">
        <v>6</v>
      </c>
      <c r="J3577" s="2">
        <f t="shared" si="28"/>
        <v>-989962610</v>
      </c>
      <c r="K3577" s="2">
        <f t="shared" si="29"/>
        <v>3.1166443214335194E-2</v>
      </c>
      <c r="L3577" s="2" t="str">
        <f>IF(ISNUMBER(SEARCH("|",IMDB_Movies!$D3577)),LEFT(IMDB_Movies!$D3577,SEARCH("|",IMDB_Movies!$D3577)-1),IMDB_Movies!$D3577)</f>
        <v>Action</v>
      </c>
      <c r="V3577" s="2"/>
      <c r="W3577" s="2"/>
    </row>
    <row r="3578" spans="1:23" ht="12.5" x14ac:dyDescent="0.25">
      <c r="A3578" s="2" t="s">
        <v>4126</v>
      </c>
      <c r="B3578" s="2">
        <v>112</v>
      </c>
      <c r="C3578" s="2">
        <v>9701559</v>
      </c>
      <c r="D3578" s="2" t="s">
        <v>85</v>
      </c>
      <c r="E3578" s="2" t="s">
        <v>6055</v>
      </c>
      <c r="F3578" s="2" t="s">
        <v>14</v>
      </c>
      <c r="G3578" s="2" t="s">
        <v>15</v>
      </c>
      <c r="H3578" s="2">
        <v>3500000</v>
      </c>
      <c r="I3578" s="2">
        <v>7.4</v>
      </c>
      <c r="J3578" s="2">
        <f t="shared" si="28"/>
        <v>6201559</v>
      </c>
      <c r="K3578" s="2">
        <f t="shared" si="29"/>
        <v>0.23392263286011833</v>
      </c>
      <c r="L3578" s="2" t="str">
        <f>IF(ISNUMBER(SEARCH("|",IMDB_Movies!$D3578)),LEFT(IMDB_Movies!$D3578,SEARCH("|",IMDB_Movies!$D3578)-1),IMDB_Movies!$D3578)</f>
        <v>Drama</v>
      </c>
      <c r="V3578" s="2"/>
      <c r="W3578" s="2"/>
    </row>
    <row r="3579" spans="1:23" ht="12.5" x14ac:dyDescent="0.25">
      <c r="A3579" s="2" t="s">
        <v>6056</v>
      </c>
      <c r="B3579" s="2">
        <v>103</v>
      </c>
      <c r="C3579" s="2">
        <v>9013113</v>
      </c>
      <c r="D3579" s="2" t="s">
        <v>1822</v>
      </c>
      <c r="E3579" s="2" t="s">
        <v>6057</v>
      </c>
      <c r="F3579" s="2" t="s">
        <v>14</v>
      </c>
      <c r="G3579" s="2" t="s">
        <v>15</v>
      </c>
      <c r="H3579" s="2">
        <v>1000000</v>
      </c>
      <c r="I3579" s="2">
        <v>7.4</v>
      </c>
      <c r="J3579" s="2">
        <f t="shared" si="28"/>
        <v>8013113</v>
      </c>
      <c r="K3579" s="2">
        <f t="shared" si="29"/>
        <v>0.23321404301905577</v>
      </c>
      <c r="L3579" s="2" t="str">
        <f>IF(ISNUMBER(SEARCH("|",IMDB_Movies!$D3579)),LEFT(IMDB_Movies!$D3579,SEARCH("|",IMDB_Movies!$D3579)-1),IMDB_Movies!$D3579)</f>
        <v>Adventure</v>
      </c>
      <c r="V3579" s="2"/>
      <c r="W3579" s="2"/>
    </row>
    <row r="3580" spans="1:23" ht="12.5" x14ac:dyDescent="0.25">
      <c r="A3580" s="2" t="s">
        <v>3546</v>
      </c>
      <c r="B3580" s="2">
        <v>83</v>
      </c>
      <c r="C3580" s="2">
        <v>53245055</v>
      </c>
      <c r="D3580" s="2" t="s">
        <v>2148</v>
      </c>
      <c r="E3580" s="2" t="s">
        <v>6058</v>
      </c>
      <c r="F3580" s="2" t="s">
        <v>14</v>
      </c>
      <c r="G3580" s="2" t="s">
        <v>15</v>
      </c>
      <c r="H3580" s="2">
        <v>1000000</v>
      </c>
      <c r="I3580" s="2">
        <v>4.2</v>
      </c>
      <c r="J3580" s="2">
        <f t="shared" si="28"/>
        <v>52245055</v>
      </c>
      <c r="K3580" s="2">
        <f t="shared" si="29"/>
        <v>0.23320873971675887</v>
      </c>
      <c r="L3580" s="2" t="str">
        <f>IF(ISNUMBER(SEARCH("|",IMDB_Movies!$D3580)),LEFT(IMDB_Movies!$D3580,SEARCH("|",IMDB_Movies!$D3580)-1),IMDB_Movies!$D3580)</f>
        <v>Horror</v>
      </c>
      <c r="V3580" s="2"/>
      <c r="W3580" s="2"/>
    </row>
    <row r="3581" spans="1:23" ht="12.5" x14ac:dyDescent="0.25">
      <c r="A3581" s="2" t="s">
        <v>6059</v>
      </c>
      <c r="B3581" s="2">
        <v>109</v>
      </c>
      <c r="C3581" s="2">
        <v>9000000</v>
      </c>
      <c r="D3581" s="2" t="s">
        <v>2912</v>
      </c>
      <c r="E3581" s="2" t="s">
        <v>6060</v>
      </c>
      <c r="F3581" s="2" t="s">
        <v>14</v>
      </c>
      <c r="G3581" s="2" t="s">
        <v>15</v>
      </c>
      <c r="H3581" s="2">
        <v>900000</v>
      </c>
      <c r="I3581" s="2">
        <v>6.2</v>
      </c>
      <c r="J3581" s="2">
        <f t="shared" si="28"/>
        <v>8100000</v>
      </c>
      <c r="K3581" s="2">
        <f t="shared" si="29"/>
        <v>0.23761967743328496</v>
      </c>
      <c r="L3581" s="2" t="str">
        <f>IF(ISNUMBER(SEARCH("|",IMDB_Movies!$D3581)),LEFT(IMDB_Movies!$D3581,SEARCH("|",IMDB_Movies!$D3581)-1),IMDB_Movies!$D3581)</f>
        <v>Comedy</v>
      </c>
      <c r="V3581" s="2"/>
      <c r="W3581" s="2"/>
    </row>
    <row r="3582" spans="1:23" ht="12.5" x14ac:dyDescent="0.25">
      <c r="A3582" s="2" t="s">
        <v>5031</v>
      </c>
      <c r="B3582" s="2">
        <v>100</v>
      </c>
      <c r="C3582" s="2">
        <v>7186670</v>
      </c>
      <c r="D3582" s="2" t="s">
        <v>5368</v>
      </c>
      <c r="E3582" s="2" t="s">
        <v>6061</v>
      </c>
      <c r="F3582" s="2" t="s">
        <v>14</v>
      </c>
      <c r="G3582" s="2" t="s">
        <v>15</v>
      </c>
      <c r="H3582" s="2">
        <v>6000000</v>
      </c>
      <c r="I3582" s="2">
        <v>5.4</v>
      </c>
      <c r="J3582" s="2">
        <f t="shared" si="28"/>
        <v>1186670</v>
      </c>
      <c r="K3582" s="2">
        <f t="shared" si="29"/>
        <v>0.23765834423094656</v>
      </c>
      <c r="L3582" s="2" t="str">
        <f>IF(ISNUMBER(SEARCH("|",IMDB_Movies!$D3582)),LEFT(IMDB_Movies!$D3582,SEARCH("|",IMDB_Movies!$D3582)-1),IMDB_Movies!$D3582)</f>
        <v>Adventure</v>
      </c>
      <c r="V3582" s="2"/>
      <c r="W3582" s="2"/>
    </row>
    <row r="3583" spans="1:23" ht="12.5" x14ac:dyDescent="0.25">
      <c r="A3583" s="2" t="s">
        <v>6062</v>
      </c>
      <c r="B3583" s="2">
        <v>95</v>
      </c>
      <c r="C3583" s="2">
        <v>5997134</v>
      </c>
      <c r="D3583" s="2" t="s">
        <v>1706</v>
      </c>
      <c r="E3583" s="2" t="s">
        <v>6063</v>
      </c>
      <c r="F3583" s="2" t="s">
        <v>14</v>
      </c>
      <c r="G3583" s="2" t="s">
        <v>15</v>
      </c>
      <c r="H3583" s="2">
        <v>1000000</v>
      </c>
      <c r="I3583" s="2">
        <v>7.2</v>
      </c>
      <c r="J3583" s="2">
        <f t="shared" si="28"/>
        <v>4997134</v>
      </c>
      <c r="K3583" s="2">
        <f t="shared" si="29"/>
        <v>0.23806846383010266</v>
      </c>
      <c r="L3583" s="2" t="str">
        <f>IF(ISNUMBER(SEARCH("|",IMDB_Movies!$D3583)),LEFT(IMDB_Movies!$D3583,SEARCH("|",IMDB_Movies!$D3583)-1),IMDB_Movies!$D3583)</f>
        <v>Biography</v>
      </c>
      <c r="V3583" s="2"/>
      <c r="W3583" s="2"/>
    </row>
    <row r="3584" spans="1:23" ht="12.5" x14ac:dyDescent="0.25">
      <c r="A3584" s="2" t="s">
        <v>4202</v>
      </c>
      <c r="B3584" s="2">
        <v>104</v>
      </c>
      <c r="C3584" s="2">
        <v>3386698</v>
      </c>
      <c r="D3584" s="2" t="s">
        <v>514</v>
      </c>
      <c r="E3584" s="2" t="s">
        <v>6064</v>
      </c>
      <c r="F3584" s="2" t="s">
        <v>14</v>
      </c>
      <c r="G3584" s="2" t="s">
        <v>15</v>
      </c>
      <c r="H3584" s="2">
        <v>1000000</v>
      </c>
      <c r="I3584" s="2">
        <v>6.7</v>
      </c>
      <c r="J3584" s="2">
        <f t="shared" si="28"/>
        <v>2386698</v>
      </c>
      <c r="K3584" s="2">
        <f t="shared" si="29"/>
        <v>0.23805685350794001</v>
      </c>
      <c r="L3584" s="2" t="str">
        <f>IF(ISNUMBER(SEARCH("|",IMDB_Movies!$D3584)),LEFT(IMDB_Movies!$D3584,SEARCH("|",IMDB_Movies!$D3584)-1),IMDB_Movies!$D3584)</f>
        <v>Comedy</v>
      </c>
      <c r="V3584" s="2"/>
      <c r="W3584" s="2"/>
    </row>
    <row r="3585" spans="1:23" ht="12.5" x14ac:dyDescent="0.25">
      <c r="A3585" s="2" t="s">
        <v>6065</v>
      </c>
      <c r="B3585" s="2">
        <v>97</v>
      </c>
      <c r="C3585" s="2">
        <v>2508841</v>
      </c>
      <c r="D3585" s="2" t="s">
        <v>694</v>
      </c>
      <c r="E3585" s="2" t="s">
        <v>6066</v>
      </c>
      <c r="F3585" s="2" t="s">
        <v>14</v>
      </c>
      <c r="G3585" s="2" t="s">
        <v>15</v>
      </c>
      <c r="H3585" s="2">
        <v>1000000</v>
      </c>
      <c r="I3585" s="2">
        <v>7.2</v>
      </c>
      <c r="J3585" s="2">
        <f t="shared" si="28"/>
        <v>1508841</v>
      </c>
      <c r="K3585" s="2">
        <f t="shared" si="29"/>
        <v>0.23807782770320346</v>
      </c>
      <c r="L3585" s="2" t="str">
        <f>IF(ISNUMBER(SEARCH("|",IMDB_Movies!$D3585)),LEFT(IMDB_Movies!$D3585,SEARCH("|",IMDB_Movies!$D3585)-1),IMDB_Movies!$D3585)</f>
        <v>Crime</v>
      </c>
      <c r="V3585" s="2"/>
      <c r="W3585" s="2"/>
    </row>
    <row r="3586" spans="1:23" ht="12.5" x14ac:dyDescent="0.25">
      <c r="A3586" s="2" t="s">
        <v>6067</v>
      </c>
      <c r="B3586" s="2">
        <v>91</v>
      </c>
      <c r="C3586" s="2">
        <v>4946250</v>
      </c>
      <c r="D3586" s="2" t="s">
        <v>1398</v>
      </c>
      <c r="E3586" s="2" t="s">
        <v>6068</v>
      </c>
      <c r="F3586" s="2" t="s">
        <v>14</v>
      </c>
      <c r="G3586" s="2" t="s">
        <v>15</v>
      </c>
      <c r="H3586" s="2">
        <v>1000000</v>
      </c>
      <c r="I3586" s="2">
        <v>7.4</v>
      </c>
      <c r="J3586" s="2">
        <f t="shared" si="28"/>
        <v>3946250</v>
      </c>
      <c r="K3586" s="2">
        <f t="shared" si="29"/>
        <v>0.2381167155199749</v>
      </c>
      <c r="L3586" s="2" t="str">
        <f>IF(ISNUMBER(SEARCH("|",IMDB_Movies!$D3586)),LEFT(IMDB_Movies!$D3586,SEARCH("|",IMDB_Movies!$D3586)-1),IMDB_Movies!$D3586)</f>
        <v>Documentary</v>
      </c>
      <c r="V3586" s="2"/>
      <c r="W3586" s="2"/>
    </row>
    <row r="3587" spans="1:23" ht="12.5" x14ac:dyDescent="0.25">
      <c r="A3587" s="2" t="s">
        <v>5303</v>
      </c>
      <c r="B3587" s="2">
        <v>84</v>
      </c>
      <c r="C3587" s="2">
        <v>1950218</v>
      </c>
      <c r="D3587" s="2" t="s">
        <v>891</v>
      </c>
      <c r="E3587" s="2" t="s">
        <v>6069</v>
      </c>
      <c r="F3587" s="2" t="s">
        <v>14</v>
      </c>
      <c r="G3587" s="2" t="s">
        <v>15</v>
      </c>
      <c r="H3587" s="2">
        <v>1000000</v>
      </c>
      <c r="I3587" s="2">
        <v>5.6</v>
      </c>
      <c r="J3587" s="2">
        <f t="shared" si="28"/>
        <v>950218</v>
      </c>
      <c r="K3587" s="2">
        <f t="shared" si="29"/>
        <v>0.2381147943944954</v>
      </c>
      <c r="L3587" s="2" t="str">
        <f>IF(ISNUMBER(SEARCH("|",IMDB_Movies!$D3587)),LEFT(IMDB_Movies!$D3587,SEARCH("|",IMDB_Movies!$D3587)-1),IMDB_Movies!$D3587)</f>
        <v>Comedy</v>
      </c>
      <c r="V3587" s="2"/>
      <c r="W3587" s="2"/>
    </row>
    <row r="3588" spans="1:23" ht="12.5" x14ac:dyDescent="0.25">
      <c r="A3588" s="2" t="s">
        <v>4972</v>
      </c>
      <c r="B3588" s="2">
        <v>86</v>
      </c>
      <c r="C3588" s="2">
        <v>1277257</v>
      </c>
      <c r="D3588" s="2" t="s">
        <v>514</v>
      </c>
      <c r="E3588" s="2" t="s">
        <v>6070</v>
      </c>
      <c r="F3588" s="2" t="s">
        <v>14</v>
      </c>
      <c r="G3588" s="2" t="s">
        <v>22</v>
      </c>
      <c r="H3588" s="2">
        <v>1000000</v>
      </c>
      <c r="I3588" s="2">
        <v>6.8</v>
      </c>
      <c r="J3588" s="2">
        <f t="shared" si="28"/>
        <v>277257</v>
      </c>
      <c r="K3588" s="2">
        <f t="shared" si="29"/>
        <v>0.23816729671169207</v>
      </c>
      <c r="L3588" s="2" t="str">
        <f>IF(ISNUMBER(SEARCH("|",IMDB_Movies!$D3588)),LEFT(IMDB_Movies!$D3588,SEARCH("|",IMDB_Movies!$D3588)-1),IMDB_Movies!$D3588)</f>
        <v>Comedy</v>
      </c>
      <c r="V3588" s="2"/>
      <c r="W3588" s="2"/>
    </row>
    <row r="3589" spans="1:23" ht="12.5" x14ac:dyDescent="0.25">
      <c r="A3589" s="2" t="s">
        <v>6071</v>
      </c>
      <c r="B3589" s="2">
        <v>92</v>
      </c>
      <c r="C3589" s="2">
        <v>1677838</v>
      </c>
      <c r="D3589" s="2" t="s">
        <v>2943</v>
      </c>
      <c r="E3589" s="2" t="s">
        <v>6072</v>
      </c>
      <c r="F3589" s="2" t="s">
        <v>14</v>
      </c>
      <c r="G3589" s="2" t="s">
        <v>15</v>
      </c>
      <c r="H3589" s="2">
        <v>1000000</v>
      </c>
      <c r="I3589" s="2">
        <v>7.7</v>
      </c>
      <c r="J3589" s="2">
        <f t="shared" si="28"/>
        <v>677838</v>
      </c>
      <c r="K3589" s="2">
        <f t="shared" si="29"/>
        <v>0.23823800127497255</v>
      </c>
      <c r="L3589" s="2" t="str">
        <f>IF(ISNUMBER(SEARCH("|",IMDB_Movies!$D3589)),LEFT(IMDB_Movies!$D3589,SEARCH("|",IMDB_Movies!$D3589)-1),IMDB_Movies!$D3589)</f>
        <v>Documentary</v>
      </c>
      <c r="V3589" s="2"/>
      <c r="W3589" s="2"/>
    </row>
    <row r="3590" spans="1:23" ht="12.5" x14ac:dyDescent="0.25">
      <c r="A3590" s="2" t="s">
        <v>6073</v>
      </c>
      <c r="B3590" s="2">
        <v>94</v>
      </c>
      <c r="C3590" s="2">
        <v>1744858</v>
      </c>
      <c r="D3590" s="2" t="s">
        <v>1537</v>
      </c>
      <c r="E3590" s="2" t="s">
        <v>6074</v>
      </c>
      <c r="F3590" s="2" t="s">
        <v>14</v>
      </c>
      <c r="G3590" s="2" t="s">
        <v>15</v>
      </c>
      <c r="H3590" s="2">
        <v>1000000</v>
      </c>
      <c r="I3590" s="2">
        <v>7</v>
      </c>
      <c r="J3590" s="2">
        <f t="shared" si="28"/>
        <v>744858</v>
      </c>
      <c r="K3590" s="2">
        <f t="shared" si="29"/>
        <v>0.23829862689650358</v>
      </c>
      <c r="L3590" s="2" t="str">
        <f>IF(ISNUMBER(SEARCH("|",IMDB_Movies!$D3590)),LEFT(IMDB_Movies!$D3590,SEARCH("|",IMDB_Movies!$D3590)-1),IMDB_Movies!$D3590)</f>
        <v>Comedy</v>
      </c>
      <c r="V3590" s="2"/>
      <c r="W3590" s="2"/>
    </row>
    <row r="3591" spans="1:23" ht="12.5" x14ac:dyDescent="0.25">
      <c r="A3591" s="2" t="s">
        <v>6075</v>
      </c>
      <c r="B3591" s="2">
        <v>100</v>
      </c>
      <c r="C3591" s="2">
        <v>982214</v>
      </c>
      <c r="D3591" s="2" t="s">
        <v>1180</v>
      </c>
      <c r="E3591" s="2" t="s">
        <v>6076</v>
      </c>
      <c r="F3591" s="2" t="s">
        <v>14</v>
      </c>
      <c r="G3591" s="2" t="s">
        <v>15</v>
      </c>
      <c r="H3591" s="2">
        <v>1000000</v>
      </c>
      <c r="I3591" s="2">
        <v>7.2</v>
      </c>
      <c r="J3591" s="2">
        <f t="shared" si="28"/>
        <v>-17786</v>
      </c>
      <c r="K3591" s="2">
        <f t="shared" si="29"/>
        <v>0.23835813035054457</v>
      </c>
      <c r="L3591" s="2" t="str">
        <f>IF(ISNUMBER(SEARCH("|",IMDB_Movies!$D3591)),LEFT(IMDB_Movies!$D3591,SEARCH("|",IMDB_Movies!$D3591)-1),IMDB_Movies!$D3591)</f>
        <v>Drama</v>
      </c>
      <c r="V3591" s="2"/>
      <c r="W3591" s="2"/>
    </row>
    <row r="3592" spans="1:23" ht="12.5" x14ac:dyDescent="0.25">
      <c r="A3592" s="2" t="s">
        <v>6077</v>
      </c>
      <c r="B3592" s="2">
        <v>119</v>
      </c>
      <c r="C3592" s="2">
        <v>798341</v>
      </c>
      <c r="D3592" s="2" t="s">
        <v>3708</v>
      </c>
      <c r="E3592" s="2" t="s">
        <v>6078</v>
      </c>
      <c r="F3592" s="2" t="s">
        <v>14</v>
      </c>
      <c r="G3592" s="2" t="s">
        <v>15</v>
      </c>
      <c r="H3592" s="2">
        <v>1000000</v>
      </c>
      <c r="I3592" s="2">
        <v>7.2</v>
      </c>
      <c r="J3592" s="2">
        <f t="shared" si="28"/>
        <v>-201659</v>
      </c>
      <c r="K3592" s="2">
        <f t="shared" si="29"/>
        <v>0.23843942777857391</v>
      </c>
      <c r="L3592" s="2" t="str">
        <f>IF(ISNUMBER(SEARCH("|",IMDB_Movies!$D3592)),LEFT(IMDB_Movies!$D3592,SEARCH("|",IMDB_Movies!$D3592)-1),IMDB_Movies!$D3592)</f>
        <v>Crime</v>
      </c>
      <c r="V3592" s="2"/>
      <c r="W3592" s="2"/>
    </row>
    <row r="3593" spans="1:23" ht="12.5" x14ac:dyDescent="0.25">
      <c r="A3593" s="2" t="s">
        <v>6079</v>
      </c>
      <c r="B3593" s="2">
        <v>167</v>
      </c>
      <c r="C3593" s="2">
        <v>610991</v>
      </c>
      <c r="D3593" s="2" t="s">
        <v>85</v>
      </c>
      <c r="E3593" s="2" t="s">
        <v>6080</v>
      </c>
      <c r="F3593" s="2" t="s">
        <v>4629</v>
      </c>
      <c r="G3593" s="2" t="s">
        <v>2312</v>
      </c>
      <c r="H3593" s="2">
        <v>1000000</v>
      </c>
      <c r="I3593" s="2">
        <v>6.2</v>
      </c>
      <c r="J3593" s="2">
        <f t="shared" si="28"/>
        <v>-389009</v>
      </c>
      <c r="K3593" s="2">
        <f t="shared" si="29"/>
        <v>0.23852709841253339</v>
      </c>
      <c r="L3593" s="2" t="str">
        <f>IF(ISNUMBER(SEARCH("|",IMDB_Movies!$D3593)),LEFT(IMDB_Movies!$D3593,SEARCH("|",IMDB_Movies!$D3593)-1),IMDB_Movies!$D3593)</f>
        <v>Drama</v>
      </c>
      <c r="V3593" s="2"/>
      <c r="W3593" s="2"/>
    </row>
    <row r="3594" spans="1:23" ht="12.5" x14ac:dyDescent="0.25">
      <c r="A3594" s="2" t="s">
        <v>3413</v>
      </c>
      <c r="B3594" s="2">
        <v>92</v>
      </c>
      <c r="C3594" s="2">
        <v>582024</v>
      </c>
      <c r="D3594" s="2" t="s">
        <v>1858</v>
      </c>
      <c r="E3594" s="2" t="s">
        <v>6081</v>
      </c>
      <c r="F3594" s="2" t="s">
        <v>14</v>
      </c>
      <c r="G3594" s="2" t="s">
        <v>15</v>
      </c>
      <c r="H3594" s="2">
        <v>1000000</v>
      </c>
      <c r="I3594" s="2">
        <v>6.2</v>
      </c>
      <c r="J3594" s="2">
        <f t="shared" si="28"/>
        <v>-417976</v>
      </c>
      <c r="K3594" s="2">
        <f t="shared" si="29"/>
        <v>0.23862150492891812</v>
      </c>
      <c r="L3594" s="2" t="str">
        <f>IF(ISNUMBER(SEARCH("|",IMDB_Movies!$D3594)),LEFT(IMDB_Movies!$D3594,SEARCH("|",IMDB_Movies!$D3594)-1),IMDB_Movies!$D3594)</f>
        <v>Comedy</v>
      </c>
      <c r="V3594" s="2"/>
      <c r="W3594" s="2"/>
    </row>
    <row r="3595" spans="1:23" ht="12.5" x14ac:dyDescent="0.25">
      <c r="A3595" s="2" t="s">
        <v>1834</v>
      </c>
      <c r="B3595" s="2">
        <v>108</v>
      </c>
      <c r="C3595" s="2">
        <v>548712</v>
      </c>
      <c r="D3595" s="2" t="s">
        <v>85</v>
      </c>
      <c r="E3595" s="2" t="s">
        <v>6082</v>
      </c>
      <c r="F3595" s="2" t="s">
        <v>14</v>
      </c>
      <c r="G3595" s="2" t="s">
        <v>15</v>
      </c>
      <c r="H3595" s="2">
        <v>2500000</v>
      </c>
      <c r="I3595" s="2">
        <v>6.9</v>
      </c>
      <c r="J3595" s="2">
        <f t="shared" si="28"/>
        <v>-1951288</v>
      </c>
      <c r="K3595" s="2">
        <f t="shared" si="29"/>
        <v>0.2387178428578583</v>
      </c>
      <c r="L3595" s="2" t="str">
        <f>IF(ISNUMBER(SEARCH("|",IMDB_Movies!$D3595)),LEFT(IMDB_Movies!$D3595,SEARCH("|",IMDB_Movies!$D3595)-1),IMDB_Movies!$D3595)</f>
        <v>Drama</v>
      </c>
      <c r="V3595" s="2"/>
      <c r="W3595" s="2"/>
    </row>
    <row r="3596" spans="1:23" ht="12.5" x14ac:dyDescent="0.25">
      <c r="A3596" s="2" t="s">
        <v>6083</v>
      </c>
      <c r="B3596" s="2">
        <v>97</v>
      </c>
      <c r="C3596" s="2">
        <v>464655</v>
      </c>
      <c r="D3596" s="2" t="s">
        <v>891</v>
      </c>
      <c r="E3596" s="2" t="s">
        <v>6084</v>
      </c>
      <c r="F3596" s="2" t="s">
        <v>14</v>
      </c>
      <c r="G3596" s="2" t="s">
        <v>15</v>
      </c>
      <c r="H3596" s="2">
        <v>1000000</v>
      </c>
      <c r="I3596" s="2">
        <v>7</v>
      </c>
      <c r="J3596" s="2">
        <f t="shared" si="28"/>
        <v>-535345</v>
      </c>
      <c r="K3596" s="2">
        <f t="shared" si="29"/>
        <v>0.23962192641589425</v>
      </c>
      <c r="L3596" s="2" t="str">
        <f>IF(ISNUMBER(SEARCH("|",IMDB_Movies!$D3596)),LEFT(IMDB_Movies!$D3596,SEARCH("|",IMDB_Movies!$D3596)-1),IMDB_Movies!$D3596)</f>
        <v>Comedy</v>
      </c>
      <c r="V3596" s="2"/>
      <c r="W3596" s="2"/>
    </row>
    <row r="3597" spans="1:23" ht="12.5" x14ac:dyDescent="0.25">
      <c r="A3597" s="2" t="s">
        <v>6085</v>
      </c>
      <c r="B3597" s="2">
        <v>88</v>
      </c>
      <c r="C3597" s="2">
        <v>464126</v>
      </c>
      <c r="D3597" s="2" t="s">
        <v>1180</v>
      </c>
      <c r="E3597" s="2" t="s">
        <v>6086</v>
      </c>
      <c r="F3597" s="2" t="s">
        <v>14</v>
      </c>
      <c r="G3597" s="2" t="s">
        <v>15</v>
      </c>
      <c r="H3597" s="2">
        <v>1000000</v>
      </c>
      <c r="I3597" s="2">
        <v>6.7</v>
      </c>
      <c r="J3597" s="2">
        <f t="shared" si="28"/>
        <v>-535874</v>
      </c>
      <c r="K3597" s="2">
        <f t="shared" si="29"/>
        <v>0.23972788921733953</v>
      </c>
      <c r="L3597" s="2" t="str">
        <f>IF(ISNUMBER(SEARCH("|",IMDB_Movies!$D3597)),LEFT(IMDB_Movies!$D3597,SEARCH("|",IMDB_Movies!$D3597)-1),IMDB_Movies!$D3597)</f>
        <v>Drama</v>
      </c>
      <c r="V3597" s="2"/>
      <c r="W3597" s="2"/>
    </row>
    <row r="3598" spans="1:23" ht="12.5" x14ac:dyDescent="0.25">
      <c r="A3598" s="2" t="s">
        <v>6087</v>
      </c>
      <c r="B3598" s="2">
        <v>100</v>
      </c>
      <c r="C3598" s="2">
        <v>428535</v>
      </c>
      <c r="D3598" s="2" t="s">
        <v>600</v>
      </c>
      <c r="E3598" s="2" t="s">
        <v>6088</v>
      </c>
      <c r="F3598" s="2" t="s">
        <v>14</v>
      </c>
      <c r="G3598" s="2" t="s">
        <v>15</v>
      </c>
      <c r="H3598" s="2">
        <v>1000000</v>
      </c>
      <c r="I3598" s="2">
        <v>3.6</v>
      </c>
      <c r="J3598" s="2">
        <f t="shared" si="28"/>
        <v>-571465</v>
      </c>
      <c r="K3598" s="2">
        <f t="shared" si="29"/>
        <v>0.23983503157849556</v>
      </c>
      <c r="L3598" s="2" t="str">
        <f>IF(ISNUMBER(SEARCH("|",IMDB_Movies!$D3598)),LEFT(IMDB_Movies!$D3598,SEARCH("|",IMDB_Movies!$D3598)-1),IMDB_Movies!$D3598)</f>
        <v>Comedy</v>
      </c>
      <c r="V3598" s="2"/>
      <c r="W3598" s="2"/>
    </row>
    <row r="3599" spans="1:23" ht="12.5" x14ac:dyDescent="0.25">
      <c r="A3599" s="2" t="s">
        <v>6089</v>
      </c>
      <c r="B3599" s="2">
        <v>88</v>
      </c>
      <c r="C3599" s="2">
        <v>104077</v>
      </c>
      <c r="D3599" s="2" t="s">
        <v>881</v>
      </c>
      <c r="E3599" s="2" t="s">
        <v>6090</v>
      </c>
      <c r="F3599" s="2" t="s">
        <v>14</v>
      </c>
      <c r="G3599" s="2" t="s">
        <v>15</v>
      </c>
      <c r="H3599" s="2">
        <v>1000000</v>
      </c>
      <c r="I3599" s="2">
        <v>7.4</v>
      </c>
      <c r="J3599" s="2">
        <f t="shared" si="28"/>
        <v>-895923</v>
      </c>
      <c r="K3599" s="2">
        <f t="shared" si="29"/>
        <v>0.23994456054479391</v>
      </c>
      <c r="L3599" s="2" t="str">
        <f>IF(ISNUMBER(SEARCH("|",IMDB_Movies!$D3599)),LEFT(IMDB_Movies!$D3599,SEARCH("|",IMDB_Movies!$D3599)-1),IMDB_Movies!$D3599)</f>
        <v>Comedy</v>
      </c>
      <c r="V3599" s="2"/>
      <c r="W3599" s="2"/>
    </row>
    <row r="3600" spans="1:23" ht="12.5" x14ac:dyDescent="0.25">
      <c r="A3600" s="2" t="s">
        <v>6091</v>
      </c>
      <c r="B3600" s="2">
        <v>79</v>
      </c>
      <c r="C3600" s="2">
        <v>279282</v>
      </c>
      <c r="D3600" s="2" t="s">
        <v>514</v>
      </c>
      <c r="E3600" s="2" t="s">
        <v>6092</v>
      </c>
      <c r="F3600" s="2" t="s">
        <v>14</v>
      </c>
      <c r="G3600" s="2" t="s">
        <v>15</v>
      </c>
      <c r="H3600" s="2">
        <v>1000000</v>
      </c>
      <c r="I3600" s="2">
        <v>6.1</v>
      </c>
      <c r="J3600" s="2">
        <f t="shared" si="28"/>
        <v>-720718</v>
      </c>
      <c r="K3600" s="2">
        <f t="shared" si="29"/>
        <v>0.24006661446965316</v>
      </c>
      <c r="L3600" s="2" t="str">
        <f>IF(ISNUMBER(SEARCH("|",IMDB_Movies!$D3600)),LEFT(IMDB_Movies!$D3600,SEARCH("|",IMDB_Movies!$D3600)-1),IMDB_Movies!$D3600)</f>
        <v>Comedy</v>
      </c>
      <c r="V3600" s="2"/>
      <c r="W3600" s="2"/>
    </row>
    <row r="3601" spans="1:23" ht="12.5" x14ac:dyDescent="0.25">
      <c r="A3601" s="2" t="s">
        <v>6093</v>
      </c>
      <c r="B3601" s="2">
        <v>96</v>
      </c>
      <c r="C3601" s="2">
        <v>484221</v>
      </c>
      <c r="D3601" s="2" t="s">
        <v>6094</v>
      </c>
      <c r="E3601" s="2" t="s">
        <v>6095</v>
      </c>
      <c r="F3601" s="2" t="s">
        <v>6039</v>
      </c>
      <c r="G3601" s="2" t="s">
        <v>22</v>
      </c>
      <c r="H3601" s="2">
        <v>1000000</v>
      </c>
      <c r="I3601" s="2">
        <v>8.1999999999999993</v>
      </c>
      <c r="J3601" s="2">
        <f t="shared" si="28"/>
        <v>-515779</v>
      </c>
      <c r="K3601" s="2">
        <f t="shared" si="29"/>
        <v>0.24018383659678116</v>
      </c>
      <c r="L3601" s="2" t="str">
        <f>IF(ISNUMBER(SEARCH("|",IMDB_Movies!$D3601)),LEFT(IMDB_Movies!$D3601,SEARCH("|",IMDB_Movies!$D3601)-1),IMDB_Movies!$D3601)</f>
        <v>Biography</v>
      </c>
      <c r="V3601" s="2"/>
      <c r="W3601" s="2"/>
    </row>
    <row r="3602" spans="1:23" ht="12.5" x14ac:dyDescent="0.25">
      <c r="A3602" s="2" t="s">
        <v>6096</v>
      </c>
      <c r="B3602" s="2">
        <v>53</v>
      </c>
      <c r="C3602" s="2">
        <v>274661</v>
      </c>
      <c r="D3602" s="2" t="s">
        <v>6097</v>
      </c>
      <c r="E3602" s="2" t="s">
        <v>6098</v>
      </c>
      <c r="F3602" s="2" t="s">
        <v>14</v>
      </c>
      <c r="G3602" s="2" t="s">
        <v>15</v>
      </c>
      <c r="H3602" s="2">
        <v>1000000</v>
      </c>
      <c r="I3602" s="2">
        <v>7.7</v>
      </c>
      <c r="J3602" s="2">
        <f t="shared" si="28"/>
        <v>-725339</v>
      </c>
      <c r="K3602" s="2">
        <f t="shared" si="29"/>
        <v>0.24029525125724668</v>
      </c>
      <c r="L3602" s="2" t="str">
        <f>IF(ISNUMBER(SEARCH("|",IMDB_Movies!$D3602)),LEFT(IMDB_Movies!$D3602,SEARCH("|",IMDB_Movies!$D3602)-1),IMDB_Movies!$D3602)</f>
        <v>Crime</v>
      </c>
      <c r="V3602" s="2"/>
      <c r="W3602" s="2"/>
    </row>
    <row r="3603" spans="1:23" ht="12.5" x14ac:dyDescent="0.25">
      <c r="A3603" s="2" t="s">
        <v>6099</v>
      </c>
      <c r="B3603" s="2">
        <v>97</v>
      </c>
      <c r="C3603" s="2">
        <v>144431</v>
      </c>
      <c r="D3603" s="2" t="s">
        <v>6100</v>
      </c>
      <c r="E3603" s="2" t="s">
        <v>6101</v>
      </c>
      <c r="F3603" s="2" t="s">
        <v>14</v>
      </c>
      <c r="G3603" s="2" t="s">
        <v>22</v>
      </c>
      <c r="H3603" s="2">
        <v>1000000</v>
      </c>
      <c r="I3603" s="2">
        <v>7.3</v>
      </c>
      <c r="J3603" s="2">
        <f t="shared" si="28"/>
        <v>-855569</v>
      </c>
      <c r="K3603" s="2">
        <f t="shared" si="29"/>
        <v>0.24041525375781192</v>
      </c>
      <c r="L3603" s="2" t="str">
        <f>IF(ISNUMBER(SEARCH("|",IMDB_Movies!$D3603)),LEFT(IMDB_Movies!$D3603,SEARCH("|",IMDB_Movies!$D3603)-1),IMDB_Movies!$D3603)</f>
        <v>Documentary</v>
      </c>
      <c r="V3603" s="2"/>
      <c r="W3603" s="2"/>
    </row>
    <row r="3604" spans="1:23" ht="12.5" x14ac:dyDescent="0.25">
      <c r="A3604" s="2" t="s">
        <v>6102</v>
      </c>
      <c r="B3604" s="2">
        <v>91</v>
      </c>
      <c r="C3604" s="2">
        <v>287761</v>
      </c>
      <c r="D3604" s="2" t="s">
        <v>6103</v>
      </c>
      <c r="E3604" s="2" t="s">
        <v>6104</v>
      </c>
      <c r="F3604" s="2" t="s">
        <v>14</v>
      </c>
      <c r="G3604" s="2" t="s">
        <v>73</v>
      </c>
      <c r="H3604" s="2">
        <v>1000000</v>
      </c>
      <c r="I3604" s="2">
        <v>7.6</v>
      </c>
      <c r="J3604" s="2">
        <f t="shared" si="28"/>
        <v>-712239</v>
      </c>
      <c r="K3604" s="2">
        <f t="shared" si="29"/>
        <v>0.24054130385754888</v>
      </c>
      <c r="L3604" s="2" t="str">
        <f>IF(ISNUMBER(SEARCH("|",IMDB_Movies!$D3604)),LEFT(IMDB_Movies!$D3604,SEARCH("|",IMDB_Movies!$D3604)-1),IMDB_Movies!$D3604)</f>
        <v>Adventure</v>
      </c>
      <c r="V3604" s="2"/>
      <c r="W3604" s="2"/>
    </row>
    <row r="3605" spans="1:23" ht="12.5" x14ac:dyDescent="0.25">
      <c r="A3605" s="2" t="s">
        <v>6105</v>
      </c>
      <c r="B3605" s="2">
        <v>93</v>
      </c>
      <c r="C3605" s="2">
        <v>100240</v>
      </c>
      <c r="D3605" s="2" t="s">
        <v>2943</v>
      </c>
      <c r="E3605" s="2" t="s">
        <v>6106</v>
      </c>
      <c r="F3605" s="2" t="s">
        <v>14</v>
      </c>
      <c r="G3605" s="2" t="s">
        <v>2553</v>
      </c>
      <c r="H3605" s="2">
        <v>1000000</v>
      </c>
      <c r="I3605" s="2">
        <v>6.8</v>
      </c>
      <c r="J3605" s="2">
        <f t="shared" si="28"/>
        <v>-899760</v>
      </c>
      <c r="K3605" s="2">
        <f t="shared" si="29"/>
        <v>0.24066361963423133</v>
      </c>
      <c r="L3605" s="2" t="str">
        <f>IF(ISNUMBER(SEARCH("|",IMDB_Movies!$D3605)),LEFT(IMDB_Movies!$D3605,SEARCH("|",IMDB_Movies!$D3605)-1),IMDB_Movies!$D3605)</f>
        <v>Documentary</v>
      </c>
      <c r="V3605" s="2"/>
      <c r="W3605" s="2"/>
    </row>
    <row r="3606" spans="1:23" ht="12.5" x14ac:dyDescent="0.25">
      <c r="A3606" s="2" t="s">
        <v>6107</v>
      </c>
      <c r="B3606" s="2">
        <v>112</v>
      </c>
      <c r="C3606" s="2">
        <v>96734</v>
      </c>
      <c r="D3606" s="2" t="s">
        <v>290</v>
      </c>
      <c r="E3606" s="2" t="s">
        <v>6108</v>
      </c>
      <c r="F3606" s="2" t="s">
        <v>14</v>
      </c>
      <c r="G3606" s="2" t="s">
        <v>15</v>
      </c>
      <c r="H3606" s="2">
        <v>1000000</v>
      </c>
      <c r="I3606" s="2">
        <v>5.6</v>
      </c>
      <c r="J3606" s="2">
        <f t="shared" si="28"/>
        <v>-903266</v>
      </c>
      <c r="K3606" s="2">
        <f t="shared" si="29"/>
        <v>0.24079418060295754</v>
      </c>
      <c r="L3606" s="2" t="str">
        <f>IF(ISNUMBER(SEARCH("|",IMDB_Movies!$D3606)),LEFT(IMDB_Movies!$D3606,SEARCH("|",IMDB_Movies!$D3606)-1),IMDB_Movies!$D3606)</f>
        <v>Action</v>
      </c>
      <c r="V3606" s="2"/>
      <c r="W3606" s="2"/>
    </row>
    <row r="3607" spans="1:23" ht="12.5" x14ac:dyDescent="0.25">
      <c r="A3607" s="2" t="s">
        <v>6109</v>
      </c>
      <c r="B3607" s="2">
        <v>160</v>
      </c>
      <c r="C3607" s="2">
        <v>49000</v>
      </c>
      <c r="D3607" s="2" t="s">
        <v>6110</v>
      </c>
      <c r="E3607" s="2" t="s">
        <v>6111</v>
      </c>
      <c r="F3607" s="2" t="s">
        <v>4629</v>
      </c>
      <c r="G3607" s="2" t="s">
        <v>2312</v>
      </c>
      <c r="H3607" s="2">
        <v>1500000</v>
      </c>
      <c r="I3607" s="2">
        <v>4.8</v>
      </c>
      <c r="J3607" s="2">
        <f t="shared" si="28"/>
        <v>-1451000</v>
      </c>
      <c r="K3607" s="2">
        <f t="shared" si="29"/>
        <v>0.24092638856972964</v>
      </c>
      <c r="L3607" s="2" t="str">
        <f>IF(ISNUMBER(SEARCH("|",IMDB_Movies!$D3607)),LEFT(IMDB_Movies!$D3607,SEARCH("|",IMDB_Movies!$D3607)-1),IMDB_Movies!$D3607)</f>
        <v>Thriller</v>
      </c>
      <c r="V3607" s="2"/>
      <c r="W3607" s="2"/>
    </row>
    <row r="3608" spans="1:23" ht="12.5" x14ac:dyDescent="0.25">
      <c r="A3608" s="2" t="s">
        <v>6112</v>
      </c>
      <c r="B3608" s="2">
        <v>95</v>
      </c>
      <c r="C3608" s="2">
        <v>100659</v>
      </c>
      <c r="D3608" s="2" t="s">
        <v>2148</v>
      </c>
      <c r="E3608" s="2" t="s">
        <v>6113</v>
      </c>
      <c r="F3608" s="2" t="s">
        <v>14</v>
      </c>
      <c r="G3608" s="2" t="s">
        <v>15</v>
      </c>
      <c r="H3608" s="2">
        <v>900000</v>
      </c>
      <c r="I3608" s="2">
        <v>6.4</v>
      </c>
      <c r="J3608" s="2">
        <f t="shared" si="28"/>
        <v>-799341</v>
      </c>
      <c r="K3608" s="2">
        <f t="shared" si="29"/>
        <v>0.241340208214984</v>
      </c>
      <c r="L3608" s="2" t="str">
        <f>IF(ISNUMBER(SEARCH("|",IMDB_Movies!$D3608)),LEFT(IMDB_Movies!$D3608,SEARCH("|",IMDB_Movies!$D3608)-1),IMDB_Movies!$D3608)</f>
        <v>Horror</v>
      </c>
      <c r="V3608" s="2"/>
      <c r="W3608" s="2"/>
    </row>
    <row r="3609" spans="1:23" ht="12.5" x14ac:dyDescent="0.25">
      <c r="A3609" s="2" t="s">
        <v>6114</v>
      </c>
      <c r="B3609" s="2">
        <v>93</v>
      </c>
      <c r="C3609" s="2">
        <v>48430</v>
      </c>
      <c r="D3609" s="2" t="s">
        <v>2009</v>
      </c>
      <c r="E3609" s="2" t="s">
        <v>6115</v>
      </c>
      <c r="F3609" s="2" t="s">
        <v>14</v>
      </c>
      <c r="G3609" s="2" t="s">
        <v>15</v>
      </c>
      <c r="H3609" s="2">
        <v>500000</v>
      </c>
      <c r="I3609" s="2">
        <v>6.8</v>
      </c>
      <c r="J3609" s="2">
        <f t="shared" si="28"/>
        <v>-451570</v>
      </c>
      <c r="K3609" s="2">
        <f t="shared" si="29"/>
        <v>0.2414253063324758</v>
      </c>
      <c r="L3609" s="2" t="str">
        <f>IF(ISNUMBER(SEARCH("|",IMDB_Movies!$D3609)),LEFT(IMDB_Movies!$D3609,SEARCH("|",IMDB_Movies!$D3609)-1),IMDB_Movies!$D3609)</f>
        <v>Comedy</v>
      </c>
      <c r="V3609" s="2"/>
      <c r="W3609" s="2"/>
    </row>
    <row r="3610" spans="1:23" ht="12.5" x14ac:dyDescent="0.25">
      <c r="A3610" s="2" t="s">
        <v>2048</v>
      </c>
      <c r="B3610" s="2">
        <v>88</v>
      </c>
      <c r="C3610" s="2">
        <v>21210</v>
      </c>
      <c r="D3610" s="2" t="s">
        <v>375</v>
      </c>
      <c r="E3610" s="2" t="s">
        <v>6116</v>
      </c>
      <c r="F3610" s="2" t="s">
        <v>14</v>
      </c>
      <c r="G3610" s="2" t="s">
        <v>15</v>
      </c>
      <c r="H3610" s="2">
        <v>1000000</v>
      </c>
      <c r="I3610" s="2">
        <v>6.1</v>
      </c>
      <c r="J3610" s="2">
        <f t="shared" si="28"/>
        <v>-978790</v>
      </c>
      <c r="K3610" s="2">
        <f t="shared" si="29"/>
        <v>0.2413160680488057</v>
      </c>
      <c r="L3610" s="2" t="str">
        <f>IF(ISNUMBER(SEARCH("|",IMDB_Movies!$D3610)),LEFT(IMDB_Movies!$D3610,SEARCH("|",IMDB_Movies!$D3610)-1),IMDB_Movies!$D3610)</f>
        <v>Comedy</v>
      </c>
      <c r="V3610" s="2"/>
      <c r="W3610" s="2"/>
    </row>
    <row r="3611" spans="1:23" ht="12.5" x14ac:dyDescent="0.25">
      <c r="A3611" s="2" t="s">
        <v>2509</v>
      </c>
      <c r="B3611" s="2">
        <v>82</v>
      </c>
      <c r="C3611" s="2">
        <v>12996</v>
      </c>
      <c r="D3611" s="2" t="s">
        <v>359</v>
      </c>
      <c r="E3611" s="2" t="s">
        <v>6117</v>
      </c>
      <c r="F3611" s="2" t="s">
        <v>14</v>
      </c>
      <c r="G3611" s="2" t="s">
        <v>15</v>
      </c>
      <c r="H3611" s="2">
        <v>1000000</v>
      </c>
      <c r="I3611" s="2">
        <v>6</v>
      </c>
      <c r="J3611" s="2">
        <f t="shared" si="28"/>
        <v>-987004</v>
      </c>
      <c r="K3611" s="2">
        <f t="shared" si="29"/>
        <v>0.24145723726808893</v>
      </c>
      <c r="L3611" s="2" t="str">
        <f>IF(ISNUMBER(SEARCH("|",IMDB_Movies!$D3611)),LEFT(IMDB_Movies!$D3611,SEARCH("|",IMDB_Movies!$D3611)-1),IMDB_Movies!$D3611)</f>
        <v>Action</v>
      </c>
      <c r="V3611" s="2"/>
      <c r="W3611" s="2"/>
    </row>
    <row r="3612" spans="1:23" ht="12.5" x14ac:dyDescent="0.25">
      <c r="A3612" s="2" t="s">
        <v>6118</v>
      </c>
      <c r="B3612" s="2">
        <v>78</v>
      </c>
      <c r="C3612" s="2">
        <v>10018</v>
      </c>
      <c r="D3612" s="2" t="s">
        <v>763</v>
      </c>
      <c r="E3612" s="2" t="s">
        <v>6119</v>
      </c>
      <c r="F3612" s="2" t="s">
        <v>14</v>
      </c>
      <c r="G3612" s="2" t="s">
        <v>15</v>
      </c>
      <c r="H3612" s="2">
        <v>1000000</v>
      </c>
      <c r="I3612" s="2">
        <v>6.1</v>
      </c>
      <c r="J3612" s="2">
        <f t="shared" si="28"/>
        <v>-989982</v>
      </c>
      <c r="K3612" s="2">
        <f t="shared" si="29"/>
        <v>0.24160041578106636</v>
      </c>
      <c r="L3612" s="2" t="str">
        <f>IF(ISNUMBER(SEARCH("|",IMDB_Movies!$D3612)),LEFT(IMDB_Movies!$D3612,SEARCH("|",IMDB_Movies!$D3612)-1),IMDB_Movies!$D3612)</f>
        <v>Crime</v>
      </c>
      <c r="V3612" s="2"/>
      <c r="W3612" s="2"/>
    </row>
    <row r="3613" spans="1:23" ht="12.5" x14ac:dyDescent="0.25">
      <c r="A3613" s="2" t="s">
        <v>6120</v>
      </c>
      <c r="B3613" s="2">
        <v>97</v>
      </c>
      <c r="C3613" s="2">
        <v>62480</v>
      </c>
      <c r="D3613" s="2" t="s">
        <v>660</v>
      </c>
      <c r="E3613" s="2" t="s">
        <v>6121</v>
      </c>
      <c r="F3613" s="2" t="s">
        <v>14</v>
      </c>
      <c r="G3613" s="2" t="s">
        <v>15</v>
      </c>
      <c r="H3613" s="2">
        <v>1000000</v>
      </c>
      <c r="I3613" s="2">
        <v>5.5</v>
      </c>
      <c r="J3613" s="2">
        <f t="shared" si="28"/>
        <v>-937520</v>
      </c>
      <c r="K3613" s="2">
        <f t="shared" si="29"/>
        <v>0.24174543694769951</v>
      </c>
      <c r="L3613" s="2" t="str">
        <f>IF(ISNUMBER(SEARCH("|",IMDB_Movies!$D3613)),LEFT(IMDB_Movies!$D3613,SEARCH("|",IMDB_Movies!$D3613)-1),IMDB_Movies!$D3613)</f>
        <v>Drama</v>
      </c>
      <c r="V3613" s="2"/>
      <c r="W3613" s="2"/>
    </row>
    <row r="3614" spans="1:23" ht="12.5" x14ac:dyDescent="0.25">
      <c r="A3614" s="2" t="s">
        <v>6122</v>
      </c>
      <c r="B3614" s="2">
        <v>81</v>
      </c>
      <c r="C3614" s="2">
        <v>6387</v>
      </c>
      <c r="D3614" s="2" t="s">
        <v>806</v>
      </c>
      <c r="E3614" s="2" t="s">
        <v>6123</v>
      </c>
      <c r="F3614" s="2" t="s">
        <v>14</v>
      </c>
      <c r="G3614" s="2" t="s">
        <v>15</v>
      </c>
      <c r="H3614" s="2">
        <v>1000000</v>
      </c>
      <c r="I3614" s="2">
        <v>6.9</v>
      </c>
      <c r="J3614" s="2">
        <f t="shared" si="28"/>
        <v>-993613</v>
      </c>
      <c r="K3614" s="2">
        <f t="shared" si="29"/>
        <v>0.24189016985034972</v>
      </c>
      <c r="L3614" s="2" t="str">
        <f>IF(ISNUMBER(SEARCH("|",IMDB_Movies!$D3614)),LEFT(IMDB_Movies!$D3614,SEARCH("|",IMDB_Movies!$D3614)-1),IMDB_Movies!$D3614)</f>
        <v>Comedy</v>
      </c>
      <c r="V3614" s="2"/>
      <c r="W3614" s="2"/>
    </row>
    <row r="3615" spans="1:23" ht="12.5" x14ac:dyDescent="0.25">
      <c r="A3615" s="2" t="s">
        <v>3384</v>
      </c>
      <c r="B3615" s="2">
        <v>88</v>
      </c>
      <c r="C3615" s="2">
        <v>721</v>
      </c>
      <c r="D3615" s="2" t="s">
        <v>290</v>
      </c>
      <c r="E3615" s="2" t="s">
        <v>6124</v>
      </c>
      <c r="F3615" s="2" t="s">
        <v>14</v>
      </c>
      <c r="G3615" s="2" t="s">
        <v>287</v>
      </c>
      <c r="H3615" s="2">
        <v>1000000</v>
      </c>
      <c r="I3615" s="2">
        <v>4.0999999999999996</v>
      </c>
      <c r="J3615" s="2">
        <f t="shared" si="28"/>
        <v>-999279</v>
      </c>
      <c r="K3615" s="2">
        <f t="shared" si="29"/>
        <v>0.24203887248274442</v>
      </c>
      <c r="L3615" s="2" t="str">
        <f>IF(ISNUMBER(SEARCH("|",IMDB_Movies!$D3615)),LEFT(IMDB_Movies!$D3615,SEARCH("|",IMDB_Movies!$D3615)-1),IMDB_Movies!$D3615)</f>
        <v>Action</v>
      </c>
      <c r="V3615" s="2"/>
      <c r="W3615" s="2"/>
    </row>
    <row r="3616" spans="1:23" ht="12.5" x14ac:dyDescent="0.25">
      <c r="A3616" s="2" t="s">
        <v>6125</v>
      </c>
      <c r="B3616" s="2">
        <v>96</v>
      </c>
      <c r="C3616" s="2">
        <v>703</v>
      </c>
      <c r="D3616" s="2" t="s">
        <v>891</v>
      </c>
      <c r="E3616" s="2" t="s">
        <v>6126</v>
      </c>
      <c r="F3616" s="2" t="s">
        <v>14</v>
      </c>
      <c r="G3616" s="2" t="s">
        <v>15</v>
      </c>
      <c r="H3616" s="2">
        <v>1500000</v>
      </c>
      <c r="I3616" s="2">
        <v>5.4</v>
      </c>
      <c r="J3616" s="2">
        <f t="shared" si="28"/>
        <v>-1499297</v>
      </c>
      <c r="K3616" s="2">
        <f t="shared" si="29"/>
        <v>0.24218962687572618</v>
      </c>
      <c r="L3616" s="2" t="str">
        <f>IF(ISNUMBER(SEARCH("|",IMDB_Movies!$D3616)),LEFT(IMDB_Movies!$D3616,SEARCH("|",IMDB_Movies!$D3616)-1),IMDB_Movies!$D3616)</f>
        <v>Comedy</v>
      </c>
      <c r="V3616" s="2"/>
      <c r="W3616" s="2"/>
    </row>
    <row r="3617" spans="1:23" ht="12.5" x14ac:dyDescent="0.25">
      <c r="A3617" s="2" t="s">
        <v>6127</v>
      </c>
      <c r="B3617" s="2">
        <v>108</v>
      </c>
      <c r="C3617" s="2">
        <v>9600000</v>
      </c>
      <c r="D3617" s="2" t="s">
        <v>4542</v>
      </c>
      <c r="E3617" s="2" t="s">
        <v>6128</v>
      </c>
      <c r="F3617" s="2" t="s">
        <v>14</v>
      </c>
      <c r="G3617" s="2" t="s">
        <v>15</v>
      </c>
      <c r="H3617" s="2">
        <v>910000</v>
      </c>
      <c r="I3617" s="2">
        <v>8.1999999999999993</v>
      </c>
      <c r="J3617" s="2">
        <f t="shared" si="28"/>
        <v>8690000</v>
      </c>
      <c r="K3617" s="2">
        <f t="shared" si="29"/>
        <v>0.24263753363475071</v>
      </c>
      <c r="L3617" s="2" t="str">
        <f>IF(ISNUMBER(SEARCH("|",IMDB_Movies!$D3617)),LEFT(IMDB_Movies!$D3617,SEARCH("|",IMDB_Movies!$D3617)-1),IMDB_Movies!$D3617)</f>
        <v>Crime</v>
      </c>
      <c r="V3617" s="2"/>
      <c r="W3617" s="2"/>
    </row>
    <row r="3618" spans="1:23" ht="12.5" x14ac:dyDescent="0.25">
      <c r="A3618" s="2" t="s">
        <v>6129</v>
      </c>
      <c r="B3618" s="2">
        <v>100</v>
      </c>
      <c r="C3618" s="2">
        <v>20186</v>
      </c>
      <c r="D3618" s="2" t="s">
        <v>709</v>
      </c>
      <c r="E3618" s="2" t="s">
        <v>6130</v>
      </c>
      <c r="F3618" s="2" t="s">
        <v>14</v>
      </c>
      <c r="G3618" s="2" t="s">
        <v>15</v>
      </c>
      <c r="H3618" s="2">
        <v>930000</v>
      </c>
      <c r="I3618" s="2">
        <v>5.7</v>
      </c>
      <c r="J3618" s="2">
        <f t="shared" si="28"/>
        <v>-909814</v>
      </c>
      <c r="K3618" s="2">
        <f t="shared" si="29"/>
        <v>0.24264624981892766</v>
      </c>
      <c r="L3618" s="2" t="str">
        <f>IF(ISNUMBER(SEARCH("|",IMDB_Movies!$D3618)),LEFT(IMDB_Movies!$D3618,SEARCH("|",IMDB_Movies!$D3618)-1),IMDB_Movies!$D3618)</f>
        <v>Comedy</v>
      </c>
      <c r="V3618" s="2"/>
      <c r="W3618" s="2"/>
    </row>
    <row r="3619" spans="1:23" ht="12.5" x14ac:dyDescent="0.25">
      <c r="A3619" s="2" t="s">
        <v>6131</v>
      </c>
      <c r="B3619" s="2">
        <v>113</v>
      </c>
      <c r="C3619" s="2">
        <v>1185783</v>
      </c>
      <c r="D3619" s="2" t="s">
        <v>1180</v>
      </c>
      <c r="E3619" s="2" t="s">
        <v>6132</v>
      </c>
      <c r="F3619" s="2" t="s">
        <v>6133</v>
      </c>
      <c r="G3619" s="2" t="s">
        <v>2896</v>
      </c>
      <c r="H3619" s="2">
        <v>590000</v>
      </c>
      <c r="I3619" s="2">
        <v>7.9</v>
      </c>
      <c r="J3619" s="2">
        <f t="shared" si="28"/>
        <v>595783</v>
      </c>
      <c r="K3619" s="2">
        <f t="shared" si="29"/>
        <v>0.24276228062088384</v>
      </c>
      <c r="L3619" s="2" t="str">
        <f>IF(ISNUMBER(SEARCH("|",IMDB_Movies!$D3619)),LEFT(IMDB_Movies!$D3619,SEARCH("|",IMDB_Movies!$D3619)-1),IMDB_Movies!$D3619)</f>
        <v>Drama</v>
      </c>
      <c r="V3619" s="2"/>
      <c r="W3619" s="2"/>
    </row>
    <row r="3620" spans="1:23" ht="12.5" x14ac:dyDescent="0.25">
      <c r="A3620" s="2" t="s">
        <v>1227</v>
      </c>
      <c r="B3620" s="2">
        <v>104</v>
      </c>
      <c r="C3620" s="2">
        <v>1007962</v>
      </c>
      <c r="D3620" s="2" t="s">
        <v>763</v>
      </c>
      <c r="E3620" s="2" t="s">
        <v>6134</v>
      </c>
      <c r="F3620" s="2" t="s">
        <v>14</v>
      </c>
      <c r="G3620" s="2" t="s">
        <v>15</v>
      </c>
      <c r="H3620" s="2">
        <v>950000</v>
      </c>
      <c r="I3620" s="2">
        <v>7.1</v>
      </c>
      <c r="J3620" s="2">
        <f t="shared" si="28"/>
        <v>57962</v>
      </c>
      <c r="K3620" s="2">
        <f t="shared" si="29"/>
        <v>0.24270273903611736</v>
      </c>
      <c r="L3620" s="2" t="str">
        <f>IF(ISNUMBER(SEARCH("|",IMDB_Movies!$D3620)),LEFT(IMDB_Movies!$D3620,SEARCH("|",IMDB_Movies!$D3620)-1),IMDB_Movies!$D3620)</f>
        <v>Crime</v>
      </c>
      <c r="V3620" s="2"/>
      <c r="W3620" s="2"/>
    </row>
    <row r="3621" spans="1:23" ht="12.5" x14ac:dyDescent="0.25">
      <c r="A3621" s="2" t="s">
        <v>6006</v>
      </c>
      <c r="B3621" s="2">
        <v>91</v>
      </c>
      <c r="C3621" s="2">
        <v>381186</v>
      </c>
      <c r="D3621" s="2" t="s">
        <v>1400</v>
      </c>
      <c r="E3621" s="2" t="s">
        <v>6135</v>
      </c>
      <c r="F3621" s="2" t="s">
        <v>14</v>
      </c>
      <c r="G3621" s="2" t="s">
        <v>15</v>
      </c>
      <c r="H3621" s="2">
        <v>900000</v>
      </c>
      <c r="I3621" s="2">
        <v>6.4</v>
      </c>
      <c r="J3621" s="2">
        <f t="shared" si="28"/>
        <v>-518814</v>
      </c>
      <c r="K3621" s="2">
        <f t="shared" si="29"/>
        <v>0.24279838155101904</v>
      </c>
      <c r="L3621" s="2" t="str">
        <f>IF(ISNUMBER(SEARCH("|",IMDB_Movies!$D3621)),LEFT(IMDB_Movies!$D3621,SEARCH("|",IMDB_Movies!$D3621)-1),IMDB_Movies!$D3621)</f>
        <v>Drama</v>
      </c>
      <c r="V3621" s="2"/>
      <c r="W3621" s="2"/>
    </row>
    <row r="3622" spans="1:23" ht="12.5" x14ac:dyDescent="0.25">
      <c r="A3622" s="2" t="s">
        <v>2366</v>
      </c>
      <c r="B3622" s="2">
        <v>85</v>
      </c>
      <c r="C3622" s="2">
        <v>16097842</v>
      </c>
      <c r="D3622" s="2" t="s">
        <v>2124</v>
      </c>
      <c r="E3622" s="2" t="s">
        <v>6136</v>
      </c>
      <c r="F3622" s="2" t="s">
        <v>14</v>
      </c>
      <c r="G3622" s="2" t="s">
        <v>15</v>
      </c>
      <c r="H3622" s="2">
        <v>900000</v>
      </c>
      <c r="I3622" s="2">
        <v>7.5</v>
      </c>
      <c r="J3622" s="2">
        <f t="shared" si="28"/>
        <v>15197842</v>
      </c>
      <c r="K3622" s="2">
        <f t="shared" si="29"/>
        <v>0.24288976000343218</v>
      </c>
      <c r="L3622" s="2" t="str">
        <f>IF(ISNUMBER(SEARCH("|",IMDB_Movies!$D3622)),LEFT(IMDB_Movies!$D3622,SEARCH("|",IMDB_Movies!$D3622)-1),IMDB_Movies!$D3622)</f>
        <v>Biography</v>
      </c>
      <c r="V3622" s="2"/>
      <c r="W3622" s="2"/>
    </row>
    <row r="3623" spans="1:23" ht="12.5" x14ac:dyDescent="0.25">
      <c r="A3623" s="2" t="s">
        <v>6137</v>
      </c>
      <c r="B3623" s="2">
        <v>101</v>
      </c>
      <c r="C3623" s="2">
        <v>6643</v>
      </c>
      <c r="D3623" s="2" t="s">
        <v>6138</v>
      </c>
      <c r="E3623" s="2" t="s">
        <v>6139</v>
      </c>
      <c r="F3623" s="2" t="s">
        <v>14</v>
      </c>
      <c r="G3623" s="2" t="s">
        <v>15</v>
      </c>
      <c r="H3623" s="2">
        <v>900000</v>
      </c>
      <c r="I3623" s="2">
        <v>6.4</v>
      </c>
      <c r="J3623" s="2">
        <f t="shared" si="28"/>
        <v>-893357</v>
      </c>
      <c r="K3623" s="2">
        <f t="shared" si="29"/>
        <v>0.24307341945792951</v>
      </c>
      <c r="L3623" s="2" t="str">
        <f>IF(ISNUMBER(SEARCH("|",IMDB_Movies!$D3623)),LEFT(IMDB_Movies!$D3623,SEARCH("|",IMDB_Movies!$D3623)-1),IMDB_Movies!$D3623)</f>
        <v>Comedy</v>
      </c>
      <c r="V3623" s="2"/>
      <c r="W3623" s="2"/>
    </row>
    <row r="3624" spans="1:23" ht="12.5" x14ac:dyDescent="0.25">
      <c r="A3624" s="2" t="s">
        <v>3082</v>
      </c>
      <c r="B3624" s="2">
        <v>88</v>
      </c>
      <c r="C3624" s="2">
        <v>442638</v>
      </c>
      <c r="D3624" s="2" t="s">
        <v>1343</v>
      </c>
      <c r="E3624" s="2" t="s">
        <v>6140</v>
      </c>
      <c r="F3624" s="2" t="s">
        <v>14</v>
      </c>
      <c r="G3624" s="2" t="s">
        <v>15</v>
      </c>
      <c r="H3624" s="2">
        <v>850000</v>
      </c>
      <c r="I3624" s="2">
        <v>7.3</v>
      </c>
      <c r="J3624" s="2">
        <f t="shared" si="28"/>
        <v>-407362</v>
      </c>
      <c r="K3624" s="2">
        <f t="shared" si="29"/>
        <v>0.24317577654557224</v>
      </c>
      <c r="L3624" s="2" t="str">
        <f>IF(ISNUMBER(SEARCH("|",IMDB_Movies!$D3624)),LEFT(IMDB_Movies!$D3624,SEARCH("|",IMDB_Movies!$D3624)-1),IMDB_Movies!$D3624)</f>
        <v>Comedy</v>
      </c>
      <c r="V3624" s="2"/>
      <c r="W3624" s="2"/>
    </row>
    <row r="3625" spans="1:23" ht="12.5" x14ac:dyDescent="0.25">
      <c r="A3625" s="2" t="s">
        <v>6141</v>
      </c>
      <c r="B3625" s="2">
        <v>107</v>
      </c>
      <c r="C3625" s="2">
        <v>819939</v>
      </c>
      <c r="D3625" s="2" t="s">
        <v>514</v>
      </c>
      <c r="E3625" s="2" t="s">
        <v>6142</v>
      </c>
      <c r="F3625" s="2" t="s">
        <v>14</v>
      </c>
      <c r="G3625" s="2" t="s">
        <v>15</v>
      </c>
      <c r="H3625" s="2">
        <v>850000</v>
      </c>
      <c r="I3625" s="2">
        <v>7.2</v>
      </c>
      <c r="J3625" s="2">
        <f t="shared" si="28"/>
        <v>-30061</v>
      </c>
      <c r="K3625" s="2">
        <f t="shared" si="29"/>
        <v>0.24324082787339202</v>
      </c>
      <c r="L3625" s="2" t="str">
        <f>IF(ISNUMBER(SEARCH("|",IMDB_Movies!$D3625)),LEFT(IMDB_Movies!$D3625,SEARCH("|",IMDB_Movies!$D3625)-1),IMDB_Movies!$D3625)</f>
        <v>Comedy</v>
      </c>
      <c r="V3625" s="2"/>
      <c r="W3625" s="2"/>
    </row>
    <row r="3626" spans="1:23" ht="12.5" x14ac:dyDescent="0.25">
      <c r="A3626" s="2" t="s">
        <v>6143</v>
      </c>
      <c r="B3626" s="2">
        <v>88</v>
      </c>
      <c r="C3626" s="2">
        <v>1243961</v>
      </c>
      <c r="D3626" s="2" t="s">
        <v>709</v>
      </c>
      <c r="E3626" s="2" t="s">
        <v>6144</v>
      </c>
      <c r="F3626" s="2" t="s">
        <v>14</v>
      </c>
      <c r="G3626" s="2" t="s">
        <v>15</v>
      </c>
      <c r="H3626" s="2">
        <v>850000</v>
      </c>
      <c r="I3626" s="2">
        <v>6</v>
      </c>
      <c r="J3626" s="2">
        <f t="shared" si="28"/>
        <v>393961</v>
      </c>
      <c r="K3626" s="2">
        <f t="shared" si="29"/>
        <v>0.24329783567455379</v>
      </c>
      <c r="L3626" s="2" t="str">
        <f>IF(ISNUMBER(SEARCH("|",IMDB_Movies!$D3626)),LEFT(IMDB_Movies!$D3626,SEARCH("|",IMDB_Movies!$D3626)-1),IMDB_Movies!$D3626)</f>
        <v>Comedy</v>
      </c>
      <c r="V3626" s="2"/>
      <c r="W3626" s="2"/>
    </row>
    <row r="3627" spans="1:23" ht="12.5" x14ac:dyDescent="0.25">
      <c r="A3627" s="2" t="s">
        <v>6145</v>
      </c>
      <c r="B3627" s="2">
        <v>95</v>
      </c>
      <c r="C3627" s="2">
        <v>15278</v>
      </c>
      <c r="D3627" s="2" t="s">
        <v>6146</v>
      </c>
      <c r="E3627" s="2" t="s">
        <v>6147</v>
      </c>
      <c r="F3627" s="2" t="s">
        <v>14</v>
      </c>
      <c r="G3627" s="2" t="s">
        <v>15</v>
      </c>
      <c r="H3627" s="2">
        <v>825000</v>
      </c>
      <c r="I3627" s="2">
        <v>5.6</v>
      </c>
      <c r="J3627" s="2">
        <f t="shared" si="28"/>
        <v>-809722</v>
      </c>
      <c r="K3627" s="2">
        <f t="shared" si="29"/>
        <v>0.24334629402876323</v>
      </c>
      <c r="L3627" s="2" t="str">
        <f>IF(ISNUMBER(SEARCH("|",IMDB_Movies!$D3627)),LEFT(IMDB_Movies!$D3627,SEARCH("|",IMDB_Movies!$D3627)-1),IMDB_Movies!$D3627)</f>
        <v>Drama</v>
      </c>
      <c r="V3627" s="2"/>
      <c r="W3627" s="2"/>
    </row>
    <row r="3628" spans="1:23" ht="12.5" x14ac:dyDescent="0.25">
      <c r="A3628" s="2" t="s">
        <v>6148</v>
      </c>
      <c r="B3628" s="2">
        <v>123</v>
      </c>
      <c r="C3628" s="2">
        <v>7098492</v>
      </c>
      <c r="D3628" s="2" t="s">
        <v>2665</v>
      </c>
      <c r="E3628" s="2" t="s">
        <v>6149</v>
      </c>
      <c r="F3628" s="2" t="s">
        <v>6150</v>
      </c>
      <c r="G3628" s="2" t="s">
        <v>4295</v>
      </c>
      <c r="H3628" s="2">
        <v>500000</v>
      </c>
      <c r="I3628" s="2">
        <v>8.4</v>
      </c>
      <c r="J3628" s="2">
        <f t="shared" si="28"/>
        <v>6598492</v>
      </c>
      <c r="K3628" s="2">
        <f t="shared" si="29"/>
        <v>0.2434108153255479</v>
      </c>
      <c r="L3628" s="2" t="str">
        <f>IF(ISNUMBER(SEARCH("|",IMDB_Movies!$D3628)),LEFT(IMDB_Movies!$D3628,SEARCH("|",IMDB_Movies!$D3628)-1),IMDB_Movies!$D3628)</f>
        <v>Drama</v>
      </c>
      <c r="V3628" s="2"/>
      <c r="W3628" s="2"/>
    </row>
    <row r="3629" spans="1:23" ht="12.5" x14ac:dyDescent="0.25">
      <c r="A3629" s="2" t="s">
        <v>5704</v>
      </c>
      <c r="B3629" s="2">
        <v>88</v>
      </c>
      <c r="C3629" s="2">
        <v>4771000</v>
      </c>
      <c r="D3629" s="2" t="s">
        <v>891</v>
      </c>
      <c r="E3629" s="2" t="s">
        <v>6151</v>
      </c>
      <c r="F3629" s="2" t="s">
        <v>14</v>
      </c>
      <c r="G3629" s="2" t="s">
        <v>15</v>
      </c>
      <c r="H3629" s="2">
        <v>800000</v>
      </c>
      <c r="I3629" s="2">
        <v>7.5</v>
      </c>
      <c r="J3629" s="2">
        <f t="shared" si="28"/>
        <v>3971000</v>
      </c>
      <c r="K3629" s="2">
        <f t="shared" si="29"/>
        <v>0.24347218935314727</v>
      </c>
      <c r="L3629" s="2" t="str">
        <f>IF(ISNUMBER(SEARCH("|",IMDB_Movies!$D3629)),LEFT(IMDB_Movies!$D3629,SEARCH("|",IMDB_Movies!$D3629)-1),IMDB_Movies!$D3629)</f>
        <v>Comedy</v>
      </c>
      <c r="V3629" s="2"/>
      <c r="W3629" s="2"/>
    </row>
    <row r="3630" spans="1:23" ht="12.5" x14ac:dyDescent="0.25">
      <c r="A3630" s="2" t="s">
        <v>5744</v>
      </c>
      <c r="B3630" s="2">
        <v>114</v>
      </c>
      <c r="C3630" s="2">
        <v>1001437</v>
      </c>
      <c r="D3630" s="2" t="s">
        <v>85</v>
      </c>
      <c r="E3630" s="2" t="s">
        <v>6152</v>
      </c>
      <c r="F3630" s="2" t="s">
        <v>14</v>
      </c>
      <c r="G3630" s="2" t="s">
        <v>15</v>
      </c>
      <c r="H3630" s="2">
        <v>800000</v>
      </c>
      <c r="I3630" s="2">
        <v>7.2</v>
      </c>
      <c r="J3630" s="2">
        <f t="shared" si="28"/>
        <v>201437</v>
      </c>
      <c r="K3630" s="2">
        <f t="shared" si="29"/>
        <v>0.24347074826176812</v>
      </c>
      <c r="L3630" s="2" t="str">
        <f>IF(ISNUMBER(SEARCH("|",IMDB_Movies!$D3630)),LEFT(IMDB_Movies!$D3630,SEARCH("|",IMDB_Movies!$D3630)-1),IMDB_Movies!$D3630)</f>
        <v>Drama</v>
      </c>
      <c r="V3630" s="2"/>
      <c r="W3630" s="2"/>
    </row>
    <row r="3631" spans="1:23" ht="12.5" x14ac:dyDescent="0.25">
      <c r="A3631" s="2" t="s">
        <v>4680</v>
      </c>
      <c r="B3631" s="2">
        <v>88</v>
      </c>
      <c r="C3631" s="2">
        <v>2073984</v>
      </c>
      <c r="D3631" s="2" t="s">
        <v>85</v>
      </c>
      <c r="E3631" s="2" t="s">
        <v>6153</v>
      </c>
      <c r="F3631" s="2" t="s">
        <v>14</v>
      </c>
      <c r="G3631" s="2" t="s">
        <v>686</v>
      </c>
      <c r="H3631" s="2">
        <v>800000</v>
      </c>
      <c r="I3631" s="2">
        <v>7.2</v>
      </c>
      <c r="J3631" s="2">
        <f t="shared" si="28"/>
        <v>1273984</v>
      </c>
      <c r="K3631" s="2">
        <f t="shared" si="29"/>
        <v>0.24350177015749866</v>
      </c>
      <c r="L3631" s="2" t="str">
        <f>IF(ISNUMBER(SEARCH("|",IMDB_Movies!$D3631)),LEFT(IMDB_Movies!$D3631,SEARCH("|",IMDB_Movies!$D3631)-1),IMDB_Movies!$D3631)</f>
        <v>Drama</v>
      </c>
      <c r="V3631" s="2"/>
      <c r="W3631" s="2"/>
    </row>
    <row r="3632" spans="1:23" ht="12.5" x14ac:dyDescent="0.25">
      <c r="A3632" s="2" t="s">
        <v>1494</v>
      </c>
      <c r="B3632" s="2">
        <v>104</v>
      </c>
      <c r="C3632" s="2">
        <v>144583</v>
      </c>
      <c r="D3632" s="2" t="s">
        <v>1400</v>
      </c>
      <c r="E3632" s="2" t="s">
        <v>6154</v>
      </c>
      <c r="F3632" s="2" t="s">
        <v>14</v>
      </c>
      <c r="G3632" s="2" t="s">
        <v>686</v>
      </c>
      <c r="H3632" s="2">
        <v>800000</v>
      </c>
      <c r="I3632" s="2">
        <v>6.5</v>
      </c>
      <c r="J3632" s="2">
        <f t="shared" si="28"/>
        <v>-655417</v>
      </c>
      <c r="K3632" s="2">
        <f t="shared" si="29"/>
        <v>0.24351730752862374</v>
      </c>
      <c r="L3632" s="2" t="str">
        <f>IF(ISNUMBER(SEARCH("|",IMDB_Movies!$D3632)),LEFT(IMDB_Movies!$D3632,SEARCH("|",IMDB_Movies!$D3632)-1),IMDB_Movies!$D3632)</f>
        <v>Drama</v>
      </c>
      <c r="V3632" s="2"/>
      <c r="W3632" s="2"/>
    </row>
    <row r="3633" spans="1:23" ht="12.5" x14ac:dyDescent="0.25">
      <c r="A3633" s="2" t="s">
        <v>6155</v>
      </c>
      <c r="B3633" s="2">
        <v>93</v>
      </c>
      <c r="C3633" s="2">
        <v>35688</v>
      </c>
      <c r="D3633" s="2" t="s">
        <v>709</v>
      </c>
      <c r="E3633" s="2" t="s">
        <v>6156</v>
      </c>
      <c r="F3633" s="2" t="s">
        <v>14</v>
      </c>
      <c r="G3633" s="2" t="s">
        <v>15</v>
      </c>
      <c r="H3633" s="2">
        <v>600000</v>
      </c>
      <c r="I3633" s="2">
        <v>5.0999999999999996</v>
      </c>
      <c r="J3633" s="2">
        <f t="shared" si="28"/>
        <v>-564312</v>
      </c>
      <c r="K3633" s="2">
        <f t="shared" si="29"/>
        <v>0.24356556970896862</v>
      </c>
      <c r="L3633" s="2" t="str">
        <f>IF(ISNUMBER(SEARCH("|",IMDB_Movies!$D3633)),LEFT(IMDB_Movies!$D3633,SEARCH("|",IMDB_Movies!$D3633)-1),IMDB_Movies!$D3633)</f>
        <v>Comedy</v>
      </c>
      <c r="V3633" s="2"/>
      <c r="W3633" s="2"/>
    </row>
    <row r="3634" spans="1:23" ht="12.5" x14ac:dyDescent="0.25">
      <c r="A3634" s="2" t="s">
        <v>1756</v>
      </c>
      <c r="B3634" s="2">
        <v>91</v>
      </c>
      <c r="C3634" s="2">
        <v>41709</v>
      </c>
      <c r="D3634" s="2" t="s">
        <v>2514</v>
      </c>
      <c r="E3634" s="2" t="s">
        <v>6157</v>
      </c>
      <c r="F3634" s="2" t="s">
        <v>5315</v>
      </c>
      <c r="G3634" s="2" t="s">
        <v>5316</v>
      </c>
      <c r="H3634" s="2">
        <v>800000</v>
      </c>
      <c r="I3634" s="2">
        <v>6.4</v>
      </c>
      <c r="J3634" s="2">
        <f t="shared" si="28"/>
        <v>-758291</v>
      </c>
      <c r="K3634" s="2">
        <f t="shared" si="29"/>
        <v>0.24350721267366338</v>
      </c>
      <c r="L3634" s="2" t="str">
        <f>IF(ISNUMBER(SEARCH("|",IMDB_Movies!$D3634)),LEFT(IMDB_Movies!$D3634,SEARCH("|",IMDB_Movies!$D3634)-1),IMDB_Movies!$D3634)</f>
        <v>Comedy</v>
      </c>
      <c r="V3634" s="2"/>
      <c r="W3634" s="2"/>
    </row>
    <row r="3635" spans="1:23" ht="12.5" x14ac:dyDescent="0.25">
      <c r="A3635" s="2" t="s">
        <v>6158</v>
      </c>
      <c r="B3635" s="2">
        <v>90</v>
      </c>
      <c r="C3635" s="2">
        <v>1310270</v>
      </c>
      <c r="D3635" s="2" t="s">
        <v>6159</v>
      </c>
      <c r="E3635" s="2" t="s">
        <v>6160</v>
      </c>
      <c r="F3635" s="2" t="s">
        <v>14</v>
      </c>
      <c r="G3635" s="2" t="s">
        <v>15</v>
      </c>
      <c r="H3635" s="2">
        <v>780000</v>
      </c>
      <c r="I3635" s="2">
        <v>6.8</v>
      </c>
      <c r="J3635" s="2">
        <f t="shared" si="28"/>
        <v>530270</v>
      </c>
      <c r="K3635" s="2">
        <f t="shared" si="29"/>
        <v>0.24355832924131274</v>
      </c>
      <c r="L3635" s="2" t="str">
        <f>IF(ISNUMBER(SEARCH("|",IMDB_Movies!$D3635)),LEFT(IMDB_Movies!$D3635,SEARCH("|",IMDB_Movies!$D3635)-1),IMDB_Movies!$D3635)</f>
        <v>Action</v>
      </c>
      <c r="V3635" s="2"/>
      <c r="W3635" s="2"/>
    </row>
    <row r="3636" spans="1:23" ht="12.5" x14ac:dyDescent="0.25">
      <c r="A3636" s="2" t="s">
        <v>521</v>
      </c>
      <c r="B3636" s="2">
        <v>112</v>
      </c>
      <c r="C3636" s="2">
        <v>115000000</v>
      </c>
      <c r="D3636" s="2" t="s">
        <v>2912</v>
      </c>
      <c r="E3636" s="2" t="s">
        <v>6161</v>
      </c>
      <c r="F3636" s="2" t="s">
        <v>14</v>
      </c>
      <c r="G3636" s="2" t="s">
        <v>15</v>
      </c>
      <c r="H3636" s="2">
        <v>777000</v>
      </c>
      <c r="I3636" s="2">
        <v>7.5</v>
      </c>
      <c r="J3636" s="2">
        <f t="shared" si="28"/>
        <v>114223000</v>
      </c>
      <c r="K3636" s="2">
        <f t="shared" si="29"/>
        <v>0.24357707386546618</v>
      </c>
      <c r="L3636" s="2" t="str">
        <f>IF(ISNUMBER(SEARCH("|",IMDB_Movies!$D3636)),LEFT(IMDB_Movies!$D3636,SEARCH("|",IMDB_Movies!$D3636)-1),IMDB_Movies!$D3636)</f>
        <v>Comedy</v>
      </c>
      <c r="V3636" s="2"/>
      <c r="W3636" s="2"/>
    </row>
    <row r="3637" spans="1:23" ht="12.5" x14ac:dyDescent="0.25">
      <c r="A3637" s="2" t="s">
        <v>6162</v>
      </c>
      <c r="B3637" s="2">
        <v>86</v>
      </c>
      <c r="C3637" s="2">
        <v>5518918</v>
      </c>
      <c r="D3637" s="2" t="s">
        <v>6163</v>
      </c>
      <c r="E3637" s="2" t="s">
        <v>6164</v>
      </c>
      <c r="F3637" s="2" t="s">
        <v>14</v>
      </c>
      <c r="G3637" s="2" t="s">
        <v>15</v>
      </c>
      <c r="H3637" s="2">
        <v>750000</v>
      </c>
      <c r="I3637" s="2">
        <v>6.9</v>
      </c>
      <c r="J3637" s="2">
        <f t="shared" si="28"/>
        <v>4768918</v>
      </c>
      <c r="K3637" s="2">
        <f t="shared" si="29"/>
        <v>0.27689447266684025</v>
      </c>
      <c r="L3637" s="2" t="str">
        <f>IF(ISNUMBER(SEARCH("|",IMDB_Movies!$D3637)),LEFT(IMDB_Movies!$D3637,SEARCH("|",IMDB_Movies!$D3637)-1),IMDB_Movies!$D3637)</f>
        <v>Action</v>
      </c>
      <c r="V3637" s="2"/>
      <c r="W3637" s="2"/>
    </row>
    <row r="3638" spans="1:23" ht="12.5" x14ac:dyDescent="0.25">
      <c r="A3638" s="2" t="s">
        <v>92</v>
      </c>
      <c r="B3638" s="2">
        <v>86</v>
      </c>
      <c r="C3638" s="2">
        <v>4007792</v>
      </c>
      <c r="D3638" s="2" t="s">
        <v>514</v>
      </c>
      <c r="E3638" s="2" t="s">
        <v>6165</v>
      </c>
      <c r="F3638" s="2" t="s">
        <v>14</v>
      </c>
      <c r="G3638" s="2" t="s">
        <v>15</v>
      </c>
      <c r="H3638" s="2">
        <v>750000</v>
      </c>
      <c r="I3638" s="2">
        <v>7</v>
      </c>
      <c r="J3638" s="2">
        <f t="shared" si="28"/>
        <v>3257792</v>
      </c>
      <c r="K3638" s="2">
        <f t="shared" si="29"/>
        <v>0.27690008582147307</v>
      </c>
      <c r="L3638" s="2" t="str">
        <f>IF(ISNUMBER(SEARCH("|",IMDB_Movies!$D3638)),LEFT(IMDB_Movies!$D3638,SEARCH("|",IMDB_Movies!$D3638)-1),IMDB_Movies!$D3638)</f>
        <v>Comedy</v>
      </c>
      <c r="V3638" s="2"/>
      <c r="W3638" s="2"/>
    </row>
    <row r="3639" spans="1:23" ht="12.5" x14ac:dyDescent="0.25">
      <c r="A3639" s="2" t="s">
        <v>6166</v>
      </c>
      <c r="B3639" s="2">
        <v>95</v>
      </c>
      <c r="C3639" s="2">
        <v>26297</v>
      </c>
      <c r="D3639" s="2" t="s">
        <v>2268</v>
      </c>
      <c r="E3639" s="2" t="s">
        <v>6167</v>
      </c>
      <c r="F3639" s="2" t="s">
        <v>14</v>
      </c>
      <c r="G3639" s="2" t="s">
        <v>22</v>
      </c>
      <c r="H3639" s="2">
        <v>500000</v>
      </c>
      <c r="I3639" s="2">
        <v>6.3</v>
      </c>
      <c r="J3639" s="2">
        <f t="shared" si="28"/>
        <v>-473703</v>
      </c>
      <c r="K3639" s="2">
        <f t="shared" si="29"/>
        <v>0.27689337617153031</v>
      </c>
      <c r="L3639" s="2" t="str">
        <f>IF(ISNUMBER(SEARCH("|",IMDB_Movies!$D3639)),LEFT(IMDB_Movies!$D3639,SEARCH("|",IMDB_Movies!$D3639)-1),IMDB_Movies!$D3639)</f>
        <v>Crime</v>
      </c>
      <c r="V3639" s="2"/>
      <c r="W3639" s="2"/>
    </row>
    <row r="3640" spans="1:23" ht="12.5" x14ac:dyDescent="0.25">
      <c r="A3640" s="2" t="s">
        <v>6112</v>
      </c>
      <c r="B3640" s="2">
        <v>101</v>
      </c>
      <c r="C3640" s="2">
        <v>77501</v>
      </c>
      <c r="D3640" s="2" t="s">
        <v>2148</v>
      </c>
      <c r="E3640" s="2" t="s">
        <v>6168</v>
      </c>
      <c r="F3640" s="2" t="s">
        <v>14</v>
      </c>
      <c r="G3640" s="2" t="s">
        <v>15</v>
      </c>
      <c r="H3640" s="2">
        <v>750000</v>
      </c>
      <c r="I3640" s="2">
        <v>5.5</v>
      </c>
      <c r="J3640" s="2">
        <f t="shared" si="28"/>
        <v>-672499</v>
      </c>
      <c r="K3640" s="2">
        <f t="shared" si="29"/>
        <v>0.27679076966826949</v>
      </c>
      <c r="L3640" s="2" t="str">
        <f>IF(ISNUMBER(SEARCH("|",IMDB_Movies!$D3640)),LEFT(IMDB_Movies!$D3640,SEARCH("|",IMDB_Movies!$D3640)-1),IMDB_Movies!$D3640)</f>
        <v>Horror</v>
      </c>
      <c r="V3640" s="2"/>
      <c r="W3640" s="2"/>
    </row>
    <row r="3641" spans="1:23" ht="12.5" x14ac:dyDescent="0.25">
      <c r="A3641" s="2" t="s">
        <v>851</v>
      </c>
      <c r="B3641" s="2">
        <v>88</v>
      </c>
      <c r="C3641" s="2">
        <v>47329</v>
      </c>
      <c r="D3641" s="2" t="s">
        <v>1180</v>
      </c>
      <c r="E3641" s="2" t="s">
        <v>6169</v>
      </c>
      <c r="F3641" s="2" t="s">
        <v>14</v>
      </c>
      <c r="G3641" s="2" t="s">
        <v>15</v>
      </c>
      <c r="H3641" s="2">
        <v>750000</v>
      </c>
      <c r="I3641" s="2">
        <v>6.6</v>
      </c>
      <c r="J3641" s="2">
        <f t="shared" si="28"/>
        <v>-702671</v>
      </c>
      <c r="K3641" s="2">
        <f t="shared" si="29"/>
        <v>0.27682194307941022</v>
      </c>
      <c r="L3641" s="2" t="str">
        <f>IF(ISNUMBER(SEARCH("|",IMDB_Movies!$D3641)),LEFT(IMDB_Movies!$D3641,SEARCH("|",IMDB_Movies!$D3641)-1),IMDB_Movies!$D3641)</f>
        <v>Drama</v>
      </c>
      <c r="V3641" s="2"/>
      <c r="W3641" s="2"/>
    </row>
    <row r="3642" spans="1:23" ht="12.5" x14ac:dyDescent="0.25">
      <c r="A3642" s="2" t="s">
        <v>6170</v>
      </c>
      <c r="B3642" s="2">
        <v>99</v>
      </c>
      <c r="C3642" s="2">
        <v>18378</v>
      </c>
      <c r="D3642" s="2" t="s">
        <v>2219</v>
      </c>
      <c r="E3642" s="2" t="s">
        <v>6171</v>
      </c>
      <c r="F3642" s="2" t="s">
        <v>14</v>
      </c>
      <c r="G3642" s="2" t="s">
        <v>22</v>
      </c>
      <c r="H3642" s="2">
        <v>900000</v>
      </c>
      <c r="I3642" s="2">
        <v>5.2</v>
      </c>
      <c r="J3642" s="2">
        <f t="shared" si="28"/>
        <v>-881622</v>
      </c>
      <c r="K3642" s="2">
        <f t="shared" si="29"/>
        <v>0.27685428493239733</v>
      </c>
      <c r="L3642" s="2" t="str">
        <f>IF(ISNUMBER(SEARCH("|",IMDB_Movies!$D3642)),LEFT(IMDB_Movies!$D3642,SEARCH("|",IMDB_Movies!$D3642)-1),IMDB_Movies!$D3642)</f>
        <v>Crime</v>
      </c>
      <c r="V3642" s="2"/>
      <c r="W3642" s="2"/>
    </row>
    <row r="3643" spans="1:23" ht="12.5" x14ac:dyDescent="0.25">
      <c r="A3643" s="2" t="s">
        <v>4994</v>
      </c>
      <c r="B3643" s="2">
        <v>170</v>
      </c>
      <c r="C3643" s="2">
        <v>7830611</v>
      </c>
      <c r="D3643" s="2" t="s">
        <v>6172</v>
      </c>
      <c r="E3643" s="2" t="s">
        <v>6173</v>
      </c>
      <c r="F3643" s="2" t="s">
        <v>14</v>
      </c>
      <c r="G3643" s="2" t="s">
        <v>15</v>
      </c>
      <c r="H3643" s="2">
        <v>700000</v>
      </c>
      <c r="I3643" s="2">
        <v>8.3000000000000007</v>
      </c>
      <c r="J3643" s="2">
        <f t="shared" si="28"/>
        <v>7130611</v>
      </c>
      <c r="K3643" s="2">
        <f t="shared" si="29"/>
        <v>0.27697543810732217</v>
      </c>
      <c r="L3643" s="2" t="str">
        <f>IF(ISNUMBER(SEARCH("|",IMDB_Movies!$D3643)),LEFT(IMDB_Movies!$D3643,SEARCH("|",IMDB_Movies!$D3643)-1),IMDB_Movies!$D3643)</f>
        <v>Documentary</v>
      </c>
      <c r="V3643" s="2"/>
      <c r="W3643" s="2"/>
    </row>
    <row r="3644" spans="1:23" ht="12.5" x14ac:dyDescent="0.25">
      <c r="A3644" s="2" t="s">
        <v>5426</v>
      </c>
      <c r="B3644" s="2">
        <v>97</v>
      </c>
      <c r="C3644" s="2">
        <v>1141829</v>
      </c>
      <c r="D3644" s="2" t="s">
        <v>694</v>
      </c>
      <c r="E3644" s="2" t="s">
        <v>6174</v>
      </c>
      <c r="F3644" s="2" t="s">
        <v>14</v>
      </c>
      <c r="G3644" s="2" t="s">
        <v>15</v>
      </c>
      <c r="H3644" s="2">
        <v>700000</v>
      </c>
      <c r="I3644" s="2">
        <v>7.2</v>
      </c>
      <c r="J3644" s="2">
        <f t="shared" si="28"/>
        <v>441829</v>
      </c>
      <c r="K3644" s="2">
        <f t="shared" si="29"/>
        <v>0.27704213422927071</v>
      </c>
      <c r="L3644" s="2" t="str">
        <f>IF(ISNUMBER(SEARCH("|",IMDB_Movies!$D3644)),LEFT(IMDB_Movies!$D3644,SEARCH("|",IMDB_Movies!$D3644)-1),IMDB_Movies!$D3644)</f>
        <v>Crime</v>
      </c>
      <c r="V3644" s="2"/>
      <c r="W3644" s="2"/>
    </row>
    <row r="3645" spans="1:23" ht="12.5" x14ac:dyDescent="0.25">
      <c r="A3645" s="2" t="s">
        <v>6175</v>
      </c>
      <c r="B3645" s="2">
        <v>106</v>
      </c>
      <c r="C3645" s="2">
        <v>2694973</v>
      </c>
      <c r="D3645" s="2" t="s">
        <v>1180</v>
      </c>
      <c r="E3645" s="2" t="s">
        <v>6176</v>
      </c>
      <c r="F3645" s="2" t="s">
        <v>14</v>
      </c>
      <c r="G3645" s="2" t="s">
        <v>15</v>
      </c>
      <c r="H3645" s="2">
        <v>700000</v>
      </c>
      <c r="I3645" s="2">
        <v>7.2</v>
      </c>
      <c r="J3645" s="2">
        <f t="shared" si="28"/>
        <v>1994973</v>
      </c>
      <c r="K3645" s="2">
        <f t="shared" si="29"/>
        <v>0.27703125937481488</v>
      </c>
      <c r="L3645" s="2" t="str">
        <f>IF(ISNUMBER(SEARCH("|",IMDB_Movies!$D3645)),LEFT(IMDB_Movies!$D3645,SEARCH("|",IMDB_Movies!$D3645)-1),IMDB_Movies!$D3645)</f>
        <v>Drama</v>
      </c>
      <c r="V3645" s="2"/>
      <c r="W3645" s="2"/>
    </row>
    <row r="3646" spans="1:23" ht="12.5" x14ac:dyDescent="0.25">
      <c r="A3646" s="2" t="s">
        <v>6177</v>
      </c>
      <c r="B3646" s="2">
        <v>107</v>
      </c>
      <c r="C3646" s="2">
        <v>10508</v>
      </c>
      <c r="D3646" s="2" t="s">
        <v>1180</v>
      </c>
      <c r="E3646" s="2" t="s">
        <v>6178</v>
      </c>
      <c r="F3646" s="2" t="s">
        <v>14</v>
      </c>
      <c r="G3646" s="2" t="s">
        <v>15</v>
      </c>
      <c r="H3646" s="2">
        <v>700000</v>
      </c>
      <c r="I3646" s="2">
        <v>6.5</v>
      </c>
      <c r="J3646" s="2">
        <f t="shared" si="28"/>
        <v>-689492</v>
      </c>
      <c r="K3646" s="2">
        <f t="shared" si="29"/>
        <v>0.27701185155851277</v>
      </c>
      <c r="L3646" s="2" t="str">
        <f>IF(ISNUMBER(SEARCH("|",IMDB_Movies!$D3646)),LEFT(IMDB_Movies!$D3646,SEARCH("|",IMDB_Movies!$D3646)-1),IMDB_Movies!$D3646)</f>
        <v>Drama</v>
      </c>
      <c r="V3646" s="2"/>
      <c r="W3646" s="2"/>
    </row>
    <row r="3647" spans="1:23" ht="12.5" x14ac:dyDescent="0.25">
      <c r="A3647" s="2" t="s">
        <v>6179</v>
      </c>
      <c r="B3647" s="2">
        <v>84</v>
      </c>
      <c r="C3647" s="2">
        <v>2301777</v>
      </c>
      <c r="D3647" s="2" t="s">
        <v>709</v>
      </c>
      <c r="E3647" s="2" t="s">
        <v>6180</v>
      </c>
      <c r="F3647" s="2" t="s">
        <v>14</v>
      </c>
      <c r="G3647" s="2" t="s">
        <v>15</v>
      </c>
      <c r="H3647" s="2">
        <v>650000</v>
      </c>
      <c r="I3647" s="2">
        <v>6.5</v>
      </c>
      <c r="J3647" s="2">
        <f t="shared" si="28"/>
        <v>1651777</v>
      </c>
      <c r="K3647" s="2">
        <f t="shared" si="29"/>
        <v>0.27701676978414064</v>
      </c>
      <c r="L3647" s="2" t="str">
        <f>IF(ISNUMBER(SEARCH("|",IMDB_Movies!$D3647)),LEFT(IMDB_Movies!$D3647,SEARCH("|",IMDB_Movies!$D3647)-1),IMDB_Movies!$D3647)</f>
        <v>Comedy</v>
      </c>
      <c r="V3647" s="2"/>
      <c r="W3647" s="2"/>
    </row>
    <row r="3648" spans="1:23" ht="12.5" x14ac:dyDescent="0.25">
      <c r="A3648" s="2" t="s">
        <v>6181</v>
      </c>
      <c r="B3648" s="2">
        <v>81</v>
      </c>
      <c r="C3648" s="2">
        <v>3000000</v>
      </c>
      <c r="D3648" s="2" t="s">
        <v>3631</v>
      </c>
      <c r="E3648" s="2" t="s">
        <v>6182</v>
      </c>
      <c r="F3648" s="2" t="s">
        <v>14</v>
      </c>
      <c r="G3648" s="2" t="s">
        <v>15</v>
      </c>
      <c r="H3648" s="2">
        <v>609000</v>
      </c>
      <c r="I3648" s="2">
        <v>7.8</v>
      </c>
      <c r="J3648" s="2">
        <f t="shared" si="28"/>
        <v>2391000</v>
      </c>
      <c r="K3648" s="2">
        <f t="shared" si="29"/>
        <v>0.27698174808572074</v>
      </c>
      <c r="L3648" s="2" t="str">
        <f>IF(ISNUMBER(SEARCH("|",IMDB_Movies!$D3648)),LEFT(IMDB_Movies!$D3648,SEARCH("|",IMDB_Movies!$D3648)-1),IMDB_Movies!$D3648)</f>
        <v>Comedy</v>
      </c>
      <c r="V3648" s="2"/>
      <c r="W3648" s="2"/>
    </row>
    <row r="3649" spans="1:23" ht="12.5" x14ac:dyDescent="0.25">
      <c r="A3649" s="2" t="s">
        <v>6183</v>
      </c>
      <c r="B3649" s="2">
        <v>81</v>
      </c>
      <c r="C3649" s="2">
        <v>140530114</v>
      </c>
      <c r="D3649" s="2" t="s">
        <v>2148</v>
      </c>
      <c r="E3649" s="2" t="s">
        <v>6184</v>
      </c>
      <c r="F3649" s="2" t="s">
        <v>14</v>
      </c>
      <c r="G3649" s="2" t="s">
        <v>15</v>
      </c>
      <c r="H3649" s="2">
        <v>60000</v>
      </c>
      <c r="I3649" s="2">
        <v>6.4</v>
      </c>
      <c r="J3649" s="2">
        <f t="shared" si="28"/>
        <v>140470114</v>
      </c>
      <c r="K3649" s="2">
        <f t="shared" si="29"/>
        <v>0.27694026893479706</v>
      </c>
      <c r="L3649" s="2" t="str">
        <f>IF(ISNUMBER(SEARCH("|",IMDB_Movies!$D3649)),LEFT(IMDB_Movies!$D3649,SEARCH("|",IMDB_Movies!$D3649)-1),IMDB_Movies!$D3649)</f>
        <v>Horror</v>
      </c>
      <c r="V3649" s="2"/>
      <c r="W3649" s="2"/>
    </row>
    <row r="3650" spans="1:23" ht="12.5" x14ac:dyDescent="0.25">
      <c r="A3650" s="2" t="s">
        <v>6185</v>
      </c>
      <c r="B3650" s="2">
        <v>215</v>
      </c>
      <c r="C3650" s="2">
        <v>13300000</v>
      </c>
      <c r="D3650" s="2" t="s">
        <v>6186</v>
      </c>
      <c r="E3650" s="2" t="s">
        <v>6187</v>
      </c>
      <c r="F3650" s="2" t="s">
        <v>14</v>
      </c>
      <c r="G3650" s="2" t="s">
        <v>15</v>
      </c>
      <c r="H3650" s="2">
        <v>600000</v>
      </c>
      <c r="I3650" s="2">
        <v>8.1</v>
      </c>
      <c r="J3650" s="2">
        <f t="shared" si="28"/>
        <v>12700000</v>
      </c>
      <c r="K3650" s="2">
        <f t="shared" si="29"/>
        <v>0.38605121213607552</v>
      </c>
      <c r="L3650" s="2" t="str">
        <f>IF(ISNUMBER(SEARCH("|",IMDB_Movies!$D3650)),LEFT(IMDB_Movies!$D3650,SEARCH("|",IMDB_Movies!$D3650)-1),IMDB_Movies!$D3650)</f>
        <v>Documentary</v>
      </c>
      <c r="V3650" s="2"/>
      <c r="W3650" s="2"/>
    </row>
    <row r="3651" spans="1:23" ht="12.5" x14ac:dyDescent="0.25">
      <c r="A3651" s="2" t="s">
        <v>5805</v>
      </c>
      <c r="B3651" s="2">
        <v>106</v>
      </c>
      <c r="C3651" s="2">
        <v>171988</v>
      </c>
      <c r="D3651" s="2" t="s">
        <v>4762</v>
      </c>
      <c r="E3651" s="2" t="s">
        <v>6188</v>
      </c>
      <c r="F3651" s="2" t="s">
        <v>14</v>
      </c>
      <c r="G3651" s="2" t="s">
        <v>15</v>
      </c>
      <c r="H3651" s="2">
        <v>600000</v>
      </c>
      <c r="I3651" s="2">
        <v>5.6</v>
      </c>
      <c r="J3651" s="2">
        <f t="shared" si="28"/>
        <v>-428012</v>
      </c>
      <c r="K3651" s="2">
        <f t="shared" si="29"/>
        <v>0.38707120998744415</v>
      </c>
      <c r="L3651" s="2" t="str">
        <f>IF(ISNUMBER(SEARCH("|",IMDB_Movies!$D3651)),LEFT(IMDB_Movies!$D3651,SEARCH("|",IMDB_Movies!$D3651)-1),IMDB_Movies!$D3651)</f>
        <v>Action</v>
      </c>
      <c r="V3651" s="2"/>
      <c r="W3651" s="2"/>
    </row>
    <row r="3652" spans="1:23" ht="12.5" x14ac:dyDescent="0.25">
      <c r="A3652" s="2" t="s">
        <v>6189</v>
      </c>
      <c r="B3652" s="2">
        <v>103</v>
      </c>
      <c r="C3652" s="2">
        <v>23616</v>
      </c>
      <c r="D3652" s="2" t="s">
        <v>315</v>
      </c>
      <c r="E3652" s="2" t="s">
        <v>6190</v>
      </c>
      <c r="F3652" s="2" t="s">
        <v>14</v>
      </c>
      <c r="G3652" s="2" t="s">
        <v>15</v>
      </c>
      <c r="H3652" s="2">
        <v>600000</v>
      </c>
      <c r="I3652" s="2">
        <v>5.6</v>
      </c>
      <c r="J3652" s="2">
        <f t="shared" si="28"/>
        <v>-576384</v>
      </c>
      <c r="K3652" s="2">
        <f t="shared" si="29"/>
        <v>0.38705666493216767</v>
      </c>
      <c r="L3652" s="2" t="str">
        <f>IF(ISNUMBER(SEARCH("|",IMDB_Movies!$D3652)),LEFT(IMDB_Movies!$D3652,SEARCH("|",IMDB_Movies!$D3652)-1),IMDB_Movies!$D3652)</f>
        <v>Mystery</v>
      </c>
      <c r="V3652" s="2"/>
      <c r="W3652" s="2"/>
    </row>
    <row r="3653" spans="1:23" ht="12.5" x14ac:dyDescent="0.25">
      <c r="A3653" s="2" t="s">
        <v>6191</v>
      </c>
      <c r="B3653" s="2">
        <v>90</v>
      </c>
      <c r="C3653" s="2">
        <v>13493</v>
      </c>
      <c r="D3653" s="2" t="s">
        <v>1180</v>
      </c>
      <c r="E3653" s="2" t="s">
        <v>6192</v>
      </c>
      <c r="F3653" s="2" t="s">
        <v>14</v>
      </c>
      <c r="G3653" s="2" t="s">
        <v>15</v>
      </c>
      <c r="H3653" s="2">
        <v>600000</v>
      </c>
      <c r="I3653" s="2">
        <v>6.6</v>
      </c>
      <c r="J3653" s="2">
        <f t="shared" si="28"/>
        <v>-586507</v>
      </c>
      <c r="K3653" s="2">
        <f t="shared" si="29"/>
        <v>0.38704647518113622</v>
      </c>
      <c r="L3653" s="2" t="str">
        <f>IF(ISNUMBER(SEARCH("|",IMDB_Movies!$D3653)),LEFT(IMDB_Movies!$D3653,SEARCH("|",IMDB_Movies!$D3653)-1),IMDB_Movies!$D3653)</f>
        <v>Drama</v>
      </c>
      <c r="V3653" s="2"/>
      <c r="W3653" s="2"/>
    </row>
    <row r="3654" spans="1:23" ht="12.5" x14ac:dyDescent="0.25">
      <c r="A3654" s="2" t="s">
        <v>1652</v>
      </c>
      <c r="B3654" s="2">
        <v>87</v>
      </c>
      <c r="C3654" s="2">
        <v>515005</v>
      </c>
      <c r="D3654" s="2" t="s">
        <v>1994</v>
      </c>
      <c r="E3654" s="2" t="s">
        <v>6193</v>
      </c>
      <c r="F3654" s="2" t="s">
        <v>14</v>
      </c>
      <c r="G3654" s="2" t="s">
        <v>22</v>
      </c>
      <c r="H3654" s="2">
        <v>560000</v>
      </c>
      <c r="I3654" s="2">
        <v>7.7</v>
      </c>
      <c r="J3654" s="2">
        <f t="shared" si="28"/>
        <v>-44995</v>
      </c>
      <c r="K3654" s="2">
        <f t="shared" si="29"/>
        <v>0.38703650728375261</v>
      </c>
      <c r="L3654" s="2" t="str">
        <f>IF(ISNUMBER(SEARCH("|",IMDB_Movies!$D3654)),LEFT(IMDB_Movies!$D3654,SEARCH("|",IMDB_Movies!$D3654)-1),IMDB_Movies!$D3654)</f>
        <v>Comedy</v>
      </c>
      <c r="V3654" s="2"/>
      <c r="W3654" s="2"/>
    </row>
    <row r="3655" spans="1:23" ht="12.5" x14ac:dyDescent="0.25">
      <c r="A3655" s="2" t="s">
        <v>6194</v>
      </c>
      <c r="B3655" s="2">
        <v>80</v>
      </c>
      <c r="C3655" s="2">
        <v>2245</v>
      </c>
      <c r="D3655" s="2" t="s">
        <v>2943</v>
      </c>
      <c r="E3655" s="2" t="s">
        <v>6195</v>
      </c>
      <c r="F3655" s="2" t="s">
        <v>14</v>
      </c>
      <c r="G3655" s="2" t="s">
        <v>15</v>
      </c>
      <c r="H3655" s="2">
        <v>560000</v>
      </c>
      <c r="I3655" s="2">
        <v>7.2</v>
      </c>
      <c r="J3655" s="2">
        <f t="shared" si="28"/>
        <v>-557755</v>
      </c>
      <c r="K3655" s="2">
        <f t="shared" si="29"/>
        <v>0.38699103562010961</v>
      </c>
      <c r="L3655" s="2" t="str">
        <f>IF(ISNUMBER(SEARCH("|",IMDB_Movies!$D3655)),LEFT(IMDB_Movies!$D3655,SEARCH("|",IMDB_Movies!$D3655)-1),IMDB_Movies!$D3655)</f>
        <v>Documentary</v>
      </c>
      <c r="V3655" s="2"/>
      <c r="W3655" s="2"/>
    </row>
    <row r="3656" spans="1:23" ht="12.5" x14ac:dyDescent="0.25">
      <c r="A3656" s="2" t="s">
        <v>5826</v>
      </c>
      <c r="B3656" s="2">
        <v>122</v>
      </c>
      <c r="C3656" s="2">
        <v>33451479</v>
      </c>
      <c r="D3656" s="2" t="s">
        <v>85</v>
      </c>
      <c r="E3656" s="2" t="s">
        <v>6196</v>
      </c>
      <c r="F3656" s="2" t="s">
        <v>14</v>
      </c>
      <c r="G3656" s="2" t="s">
        <v>15</v>
      </c>
      <c r="H3656" s="2">
        <v>500000</v>
      </c>
      <c r="I3656" s="2">
        <v>6.5</v>
      </c>
      <c r="J3656" s="2">
        <f t="shared" si="28"/>
        <v>32951479</v>
      </c>
      <c r="K3656" s="2">
        <f t="shared" si="29"/>
        <v>0.38695641583159784</v>
      </c>
      <c r="L3656" s="2" t="str">
        <f>IF(ISNUMBER(SEARCH("|",IMDB_Movies!$D3656)),LEFT(IMDB_Movies!$D3656,SEARCH("|",IMDB_Movies!$D3656)-1),IMDB_Movies!$D3656)</f>
        <v>Drama</v>
      </c>
      <c r="V3656" s="2"/>
      <c r="W3656" s="2"/>
    </row>
    <row r="3657" spans="1:23" ht="12.5" x14ac:dyDescent="0.25">
      <c r="A3657" s="2" t="s">
        <v>6197</v>
      </c>
      <c r="B3657" s="2">
        <v>86</v>
      </c>
      <c r="C3657" s="2">
        <v>39552600</v>
      </c>
      <c r="D3657" s="2" t="s">
        <v>6198</v>
      </c>
      <c r="E3657" s="2" t="s">
        <v>6199</v>
      </c>
      <c r="F3657" s="2" t="s">
        <v>14</v>
      </c>
      <c r="G3657" s="2" t="s">
        <v>15</v>
      </c>
      <c r="H3657" s="2">
        <v>500000</v>
      </c>
      <c r="I3657" s="2">
        <v>6.1</v>
      </c>
      <c r="J3657" s="2">
        <f t="shared" si="28"/>
        <v>39052600</v>
      </c>
      <c r="K3657" s="2">
        <f t="shared" si="29"/>
        <v>0.39585508743373793</v>
      </c>
      <c r="L3657" s="2" t="str">
        <f>IF(ISNUMBER(SEARCH("|",IMDB_Movies!$D3657)),LEFT(IMDB_Movies!$D3657,SEARCH("|",IMDB_Movies!$D3657)-1),IMDB_Movies!$D3657)</f>
        <v>Adventure</v>
      </c>
      <c r="V3657" s="2"/>
      <c r="W3657" s="2"/>
    </row>
    <row r="3658" spans="1:23" ht="12.5" x14ac:dyDescent="0.25">
      <c r="A3658" s="2" t="s">
        <v>5823</v>
      </c>
      <c r="B3658" s="2">
        <v>79</v>
      </c>
      <c r="C3658" s="2">
        <v>30500882</v>
      </c>
      <c r="D3658" s="2" t="s">
        <v>6200</v>
      </c>
      <c r="E3658" s="2" t="s">
        <v>6201</v>
      </c>
      <c r="F3658" s="2" t="s">
        <v>14</v>
      </c>
      <c r="G3658" s="2" t="s">
        <v>15</v>
      </c>
      <c r="H3658" s="2">
        <v>500000</v>
      </c>
      <c r="I3658" s="2">
        <v>5.7</v>
      </c>
      <c r="J3658" s="2">
        <f t="shared" si="28"/>
        <v>30000882</v>
      </c>
      <c r="K3658" s="2">
        <f t="shared" si="29"/>
        <v>0.40951819156603675</v>
      </c>
      <c r="L3658" s="2" t="str">
        <f>IF(ISNUMBER(SEARCH("|",IMDB_Movies!$D3658)),LEFT(IMDB_Movies!$D3658,SEARCH("|",IMDB_Movies!$D3658)-1),IMDB_Movies!$D3658)</f>
        <v>Adventure</v>
      </c>
      <c r="V3658" s="2"/>
      <c r="W3658" s="2"/>
    </row>
    <row r="3659" spans="1:23" ht="12.5" x14ac:dyDescent="0.25">
      <c r="A3659" s="2" t="s">
        <v>6202</v>
      </c>
      <c r="B3659" s="2">
        <v>97</v>
      </c>
      <c r="C3659" s="2">
        <v>17000000</v>
      </c>
      <c r="D3659" s="2" t="s">
        <v>3315</v>
      </c>
      <c r="E3659" s="2" t="s">
        <v>6203</v>
      </c>
      <c r="F3659" s="2" t="s">
        <v>14</v>
      </c>
      <c r="G3659" s="2" t="s">
        <v>15</v>
      </c>
      <c r="H3659" s="2">
        <v>500000</v>
      </c>
      <c r="I3659" s="2">
        <v>5.9</v>
      </c>
      <c r="J3659" s="2">
        <f t="shared" si="28"/>
        <v>16500000</v>
      </c>
      <c r="K3659" s="2">
        <f t="shared" si="29"/>
        <v>0.41817320755844373</v>
      </c>
      <c r="L3659" s="2" t="str">
        <f>IF(ISNUMBER(SEARCH("|",IMDB_Movies!$D3659)),LEFT(IMDB_Movies!$D3659,SEARCH("|",IMDB_Movies!$D3659)-1),IMDB_Movies!$D3659)</f>
        <v>Horror</v>
      </c>
      <c r="V3659" s="2"/>
      <c r="W3659" s="2"/>
    </row>
    <row r="3660" spans="1:23" ht="12.5" x14ac:dyDescent="0.25">
      <c r="A3660" s="2" t="s">
        <v>3494</v>
      </c>
      <c r="B3660" s="2">
        <v>89</v>
      </c>
      <c r="C3660" s="2">
        <v>5739376</v>
      </c>
      <c r="D3660" s="2" t="s">
        <v>891</v>
      </c>
      <c r="E3660" s="2" t="s">
        <v>6204</v>
      </c>
      <c r="F3660" s="2" t="s">
        <v>14</v>
      </c>
      <c r="G3660" s="2" t="s">
        <v>15</v>
      </c>
      <c r="H3660" s="2">
        <v>500000</v>
      </c>
      <c r="I3660" s="2">
        <v>7.7</v>
      </c>
      <c r="J3660" s="2">
        <f t="shared" si="28"/>
        <v>5239376</v>
      </c>
      <c r="K3660" s="2">
        <f t="shared" si="29"/>
        <v>0.42082084559631072</v>
      </c>
      <c r="L3660" s="2" t="str">
        <f>IF(ISNUMBER(SEARCH("|",IMDB_Movies!$D3660)),LEFT(IMDB_Movies!$D3660,SEARCH("|",IMDB_Movies!$D3660)-1),IMDB_Movies!$D3660)</f>
        <v>Comedy</v>
      </c>
      <c r="V3660" s="2"/>
      <c r="W3660" s="2"/>
    </row>
    <row r="3661" spans="1:23" ht="12.5" x14ac:dyDescent="0.25">
      <c r="A3661" s="2" t="s">
        <v>6205</v>
      </c>
      <c r="B3661" s="2">
        <v>120</v>
      </c>
      <c r="C3661" s="2">
        <v>3773863</v>
      </c>
      <c r="D3661" s="2" t="s">
        <v>1180</v>
      </c>
      <c r="E3661" s="2" t="s">
        <v>6206</v>
      </c>
      <c r="F3661" s="2" t="s">
        <v>14</v>
      </c>
      <c r="G3661" s="2" t="s">
        <v>15</v>
      </c>
      <c r="H3661" s="2">
        <v>1000000</v>
      </c>
      <c r="I3661" s="2">
        <v>7.1</v>
      </c>
      <c r="J3661" s="2">
        <f t="shared" si="28"/>
        <v>2773863</v>
      </c>
      <c r="K3661" s="2">
        <f t="shared" si="29"/>
        <v>0.42101317914218717</v>
      </c>
      <c r="L3661" s="2" t="str">
        <f>IF(ISNUMBER(SEARCH("|",IMDB_Movies!$D3661)),LEFT(IMDB_Movies!$D3661,SEARCH("|",IMDB_Movies!$D3661)-1),IMDB_Movies!$D3661)</f>
        <v>Drama</v>
      </c>
      <c r="V3661" s="2"/>
      <c r="W3661" s="2"/>
    </row>
    <row r="3662" spans="1:23" ht="12.5" x14ac:dyDescent="0.25">
      <c r="A3662" s="2" t="s">
        <v>6207</v>
      </c>
      <c r="B3662" s="2">
        <v>108</v>
      </c>
      <c r="C3662" s="2">
        <v>2047570</v>
      </c>
      <c r="D3662" s="2" t="s">
        <v>6208</v>
      </c>
      <c r="E3662" s="2" t="s">
        <v>6209</v>
      </c>
      <c r="F3662" s="2" t="s">
        <v>14</v>
      </c>
      <c r="G3662" s="2" t="s">
        <v>15</v>
      </c>
      <c r="H3662" s="2">
        <v>500000</v>
      </c>
      <c r="I3662" s="2">
        <v>7.6</v>
      </c>
      <c r="J3662" s="2">
        <f t="shared" si="28"/>
        <v>1547570</v>
      </c>
      <c r="K3662" s="2">
        <f t="shared" si="29"/>
        <v>0.42101223645555291</v>
      </c>
      <c r="L3662" s="2" t="str">
        <f>IF(ISNUMBER(SEARCH("|",IMDB_Movies!$D3662)),LEFT(IMDB_Movies!$D3662,SEARCH("|",IMDB_Movies!$D3662)-1),IMDB_Movies!$D3662)</f>
        <v>Biography</v>
      </c>
      <c r="V3662" s="2"/>
      <c r="W3662" s="2"/>
    </row>
    <row r="3663" spans="1:23" ht="12.5" x14ac:dyDescent="0.25">
      <c r="A3663" s="2" t="s">
        <v>6210</v>
      </c>
      <c r="B3663" s="2">
        <v>102</v>
      </c>
      <c r="C3663" s="2">
        <v>1250798</v>
      </c>
      <c r="D3663" s="2" t="s">
        <v>514</v>
      </c>
      <c r="E3663" s="2" t="s">
        <v>6211</v>
      </c>
      <c r="F3663" s="2" t="s">
        <v>14</v>
      </c>
      <c r="G3663" s="2" t="s">
        <v>15</v>
      </c>
      <c r="H3663" s="2">
        <v>500000</v>
      </c>
      <c r="I3663" s="2">
        <v>6.4</v>
      </c>
      <c r="J3663" s="2">
        <f t="shared" si="28"/>
        <v>750798</v>
      </c>
      <c r="K3663" s="2">
        <f t="shared" si="29"/>
        <v>0.42095577570019516</v>
      </c>
      <c r="L3663" s="2" t="str">
        <f>IF(ISNUMBER(SEARCH("|",IMDB_Movies!$D3663)),LEFT(IMDB_Movies!$D3663,SEARCH("|",IMDB_Movies!$D3663)-1),IMDB_Movies!$D3663)</f>
        <v>Comedy</v>
      </c>
      <c r="V3663" s="2"/>
      <c r="W3663" s="2"/>
    </row>
    <row r="3664" spans="1:23" ht="12.5" x14ac:dyDescent="0.25">
      <c r="A3664" s="2" t="s">
        <v>6212</v>
      </c>
      <c r="B3664" s="2">
        <v>83</v>
      </c>
      <c r="C3664" s="2">
        <v>1127331</v>
      </c>
      <c r="D3664" s="2" t="s">
        <v>1180</v>
      </c>
      <c r="E3664" s="2" t="s">
        <v>6213</v>
      </c>
      <c r="F3664" s="2" t="s">
        <v>3589</v>
      </c>
      <c r="G3664" s="2" t="s">
        <v>6214</v>
      </c>
      <c r="H3664" s="2">
        <v>46000</v>
      </c>
      <c r="I3664" s="2">
        <v>7.4</v>
      </c>
      <c r="J3664" s="2">
        <f t="shared" si="28"/>
        <v>1081331</v>
      </c>
      <c r="K3664" s="2">
        <f t="shared" si="29"/>
        <v>0.42088116323900637</v>
      </c>
      <c r="L3664" s="2" t="str">
        <f>IF(ISNUMBER(SEARCH("|",IMDB_Movies!$D3664)),LEFT(IMDB_Movies!$D3664,SEARCH("|",IMDB_Movies!$D3664)-1),IMDB_Movies!$D3664)</f>
        <v>Drama</v>
      </c>
      <c r="V3664" s="2"/>
      <c r="W3664" s="2"/>
    </row>
    <row r="3665" spans="1:23" ht="12.5" x14ac:dyDescent="0.25">
      <c r="A3665" s="2" t="s">
        <v>6215</v>
      </c>
      <c r="B3665" s="2">
        <v>93</v>
      </c>
      <c r="C3665" s="2">
        <v>906666</v>
      </c>
      <c r="D3665" s="2" t="s">
        <v>2943</v>
      </c>
      <c r="E3665" s="2" t="s">
        <v>6216</v>
      </c>
      <c r="F3665" s="2" t="s">
        <v>14</v>
      </c>
      <c r="G3665" s="2" t="s">
        <v>15</v>
      </c>
      <c r="H3665" s="2">
        <v>500000</v>
      </c>
      <c r="I3665" s="2">
        <v>6.8</v>
      </c>
      <c r="J3665" s="2">
        <f t="shared" si="28"/>
        <v>406666</v>
      </c>
      <c r="K3665" s="2">
        <f t="shared" si="29"/>
        <v>0.42067929689842476</v>
      </c>
      <c r="L3665" s="2" t="str">
        <f>IF(ISNUMBER(SEARCH("|",IMDB_Movies!$D3665)),LEFT(IMDB_Movies!$D3665,SEARCH("|",IMDB_Movies!$D3665)-1),IMDB_Movies!$D3665)</f>
        <v>Documentary</v>
      </c>
      <c r="V3665" s="2"/>
      <c r="W3665" s="2"/>
    </row>
    <row r="3666" spans="1:23" ht="12.5" x14ac:dyDescent="0.25">
      <c r="A3666" s="2" t="s">
        <v>6217</v>
      </c>
      <c r="B3666" s="2">
        <v>86</v>
      </c>
      <c r="C3666" s="2">
        <v>1114943</v>
      </c>
      <c r="D3666" s="2" t="s">
        <v>2082</v>
      </c>
      <c r="E3666" s="2" t="s">
        <v>6218</v>
      </c>
      <c r="F3666" s="2" t="s">
        <v>14</v>
      </c>
      <c r="G3666" s="2" t="s">
        <v>15</v>
      </c>
      <c r="H3666" s="2">
        <v>500000</v>
      </c>
      <c r="I3666" s="2">
        <v>6.5</v>
      </c>
      <c r="J3666" s="2">
        <f t="shared" si="28"/>
        <v>614943</v>
      </c>
      <c r="K3666" s="2">
        <f t="shared" si="29"/>
        <v>0.42059735125914749</v>
      </c>
      <c r="L3666" s="2" t="str">
        <f>IF(ISNUMBER(SEARCH("|",IMDB_Movies!$D3666)),LEFT(IMDB_Movies!$D3666,SEARCH("|",IMDB_Movies!$D3666)-1),IMDB_Movies!$D3666)</f>
        <v>Drama</v>
      </c>
      <c r="V3666" s="2"/>
      <c r="W3666" s="2"/>
    </row>
    <row r="3667" spans="1:23" ht="12.5" x14ac:dyDescent="0.25">
      <c r="A3667" s="2" t="s">
        <v>6210</v>
      </c>
      <c r="B3667" s="2">
        <v>101</v>
      </c>
      <c r="C3667" s="2">
        <v>1111615</v>
      </c>
      <c r="D3667" s="2" t="s">
        <v>4496</v>
      </c>
      <c r="E3667" s="2" t="s">
        <v>6219</v>
      </c>
      <c r="F3667" s="2" t="s">
        <v>14</v>
      </c>
      <c r="G3667" s="2" t="s">
        <v>15</v>
      </c>
      <c r="H3667" s="2">
        <v>500000</v>
      </c>
      <c r="I3667" s="2">
        <v>6</v>
      </c>
      <c r="J3667" s="2">
        <f t="shared" si="28"/>
        <v>611615</v>
      </c>
      <c r="K3667" s="2">
        <f t="shared" si="29"/>
        <v>0.42051594038434581</v>
      </c>
      <c r="L3667" s="2" t="str">
        <f>IF(ISNUMBER(SEARCH("|",IMDB_Movies!$D3667)),LEFT(IMDB_Movies!$D3667,SEARCH("|",IMDB_Movies!$D3667)-1),IMDB_Movies!$D3667)</f>
        <v>Comedy</v>
      </c>
      <c r="V3667" s="2"/>
      <c r="W3667" s="2"/>
    </row>
    <row r="3668" spans="1:23" ht="12.5" x14ac:dyDescent="0.25">
      <c r="A3668" s="2" t="s">
        <v>4358</v>
      </c>
      <c r="B3668" s="2">
        <v>111</v>
      </c>
      <c r="C3668" s="2">
        <v>985341</v>
      </c>
      <c r="D3668" s="2" t="s">
        <v>1180</v>
      </c>
      <c r="E3668" s="2" t="s">
        <v>6220</v>
      </c>
      <c r="F3668" s="2" t="s">
        <v>14</v>
      </c>
      <c r="G3668" s="2" t="s">
        <v>15</v>
      </c>
      <c r="H3668" s="2">
        <v>500000</v>
      </c>
      <c r="I3668" s="2">
        <v>7.3</v>
      </c>
      <c r="J3668" s="2">
        <f t="shared" si="28"/>
        <v>485341</v>
      </c>
      <c r="K3668" s="2">
        <f t="shared" si="29"/>
        <v>0.42043310609011114</v>
      </c>
      <c r="L3668" s="2" t="str">
        <f>IF(ISNUMBER(SEARCH("|",IMDB_Movies!$D3668)),LEFT(IMDB_Movies!$D3668,SEARCH("|",IMDB_Movies!$D3668)-1),IMDB_Movies!$D3668)</f>
        <v>Drama</v>
      </c>
      <c r="V3668" s="2"/>
      <c r="W3668" s="2"/>
    </row>
    <row r="3669" spans="1:23" ht="12.5" x14ac:dyDescent="0.25">
      <c r="A3669" s="2" t="s">
        <v>6221</v>
      </c>
      <c r="B3669" s="2">
        <v>90</v>
      </c>
      <c r="C3669" s="2">
        <v>603943</v>
      </c>
      <c r="D3669" s="2" t="s">
        <v>694</v>
      </c>
      <c r="E3669" s="2" t="s">
        <v>6222</v>
      </c>
      <c r="F3669" s="2" t="s">
        <v>14</v>
      </c>
      <c r="G3669" s="2" t="s">
        <v>15</v>
      </c>
      <c r="H3669" s="2">
        <v>500000</v>
      </c>
      <c r="I3669" s="2">
        <v>7.3</v>
      </c>
      <c r="J3669" s="2">
        <f t="shared" si="28"/>
        <v>103943</v>
      </c>
      <c r="K3669" s="2">
        <f t="shared" si="29"/>
        <v>0.42034756182585042</v>
      </c>
      <c r="L3669" s="2" t="str">
        <f>IF(ISNUMBER(SEARCH("|",IMDB_Movies!$D3669)),LEFT(IMDB_Movies!$D3669,SEARCH("|",IMDB_Movies!$D3669)-1),IMDB_Movies!$D3669)</f>
        <v>Crime</v>
      </c>
      <c r="V3669" s="2"/>
      <c r="W3669" s="2"/>
    </row>
    <row r="3670" spans="1:23" ht="12.5" x14ac:dyDescent="0.25">
      <c r="A3670" s="2" t="s">
        <v>5441</v>
      </c>
      <c r="B3670" s="2">
        <v>86</v>
      </c>
      <c r="C3670" s="2">
        <v>334041</v>
      </c>
      <c r="D3670" s="2" t="s">
        <v>4542</v>
      </c>
      <c r="E3670" s="2" t="s">
        <v>6223</v>
      </c>
      <c r="F3670" s="2" t="s">
        <v>14</v>
      </c>
      <c r="G3670" s="2" t="s">
        <v>15</v>
      </c>
      <c r="H3670" s="2">
        <v>500000</v>
      </c>
      <c r="I3670" s="2">
        <v>6.5</v>
      </c>
      <c r="J3670" s="2">
        <f t="shared" si="28"/>
        <v>-165959</v>
      </c>
      <c r="K3670" s="2">
        <f t="shared" si="29"/>
        <v>0.42025863463629293</v>
      </c>
      <c r="L3670" s="2" t="str">
        <f>IF(ISNUMBER(SEARCH("|",IMDB_Movies!$D3670)),LEFT(IMDB_Movies!$D3670,SEARCH("|",IMDB_Movies!$D3670)-1),IMDB_Movies!$D3670)</f>
        <v>Crime</v>
      </c>
      <c r="V3670" s="2"/>
      <c r="W3670" s="2"/>
    </row>
    <row r="3671" spans="1:23" ht="12.5" x14ac:dyDescent="0.25">
      <c r="A3671" s="2" t="s">
        <v>6224</v>
      </c>
      <c r="B3671" s="2">
        <v>98</v>
      </c>
      <c r="C3671" s="2">
        <v>295468</v>
      </c>
      <c r="D3671" s="2" t="s">
        <v>600</v>
      </c>
      <c r="E3671" s="2" t="s">
        <v>6225</v>
      </c>
      <c r="F3671" s="2" t="s">
        <v>14</v>
      </c>
      <c r="G3671" s="2" t="s">
        <v>15</v>
      </c>
      <c r="H3671" s="2">
        <v>500000</v>
      </c>
      <c r="I3671" s="2">
        <v>6</v>
      </c>
      <c r="J3671" s="2">
        <f t="shared" si="28"/>
        <v>-204532</v>
      </c>
      <c r="K3671" s="2">
        <f t="shared" si="29"/>
        <v>0.42016863942007865</v>
      </c>
      <c r="L3671" s="2" t="str">
        <f>IF(ISNUMBER(SEARCH("|",IMDB_Movies!$D3671)),LEFT(IMDB_Movies!$D3671,SEARCH("|",IMDB_Movies!$D3671)-1),IMDB_Movies!$D3671)</f>
        <v>Comedy</v>
      </c>
      <c r="V3671" s="2"/>
      <c r="W3671" s="2"/>
    </row>
    <row r="3672" spans="1:23" ht="12.5" x14ac:dyDescent="0.25">
      <c r="A3672" s="2" t="s">
        <v>6226</v>
      </c>
      <c r="B3672" s="2">
        <v>91</v>
      </c>
      <c r="C3672" s="2">
        <v>243347</v>
      </c>
      <c r="D3672" s="2" t="s">
        <v>763</v>
      </c>
      <c r="E3672" s="2" t="s">
        <v>6227</v>
      </c>
      <c r="F3672" s="2" t="s">
        <v>14</v>
      </c>
      <c r="G3672" s="2" t="s">
        <v>15</v>
      </c>
      <c r="H3672" s="2">
        <v>500000</v>
      </c>
      <c r="I3672" s="2">
        <v>5.3</v>
      </c>
      <c r="J3672" s="2">
        <f t="shared" si="28"/>
        <v>-256653</v>
      </c>
      <c r="K3672" s="2">
        <f t="shared" si="29"/>
        <v>0.42007725210952068</v>
      </c>
      <c r="L3672" s="2" t="str">
        <f>IF(ISNUMBER(SEARCH("|",IMDB_Movies!$D3672)),LEFT(IMDB_Movies!$D3672,SEARCH("|",IMDB_Movies!$D3672)-1),IMDB_Movies!$D3672)</f>
        <v>Crime</v>
      </c>
      <c r="V3672" s="2"/>
      <c r="W3672" s="2"/>
    </row>
    <row r="3673" spans="1:23" ht="12.5" x14ac:dyDescent="0.25">
      <c r="A3673" s="2" t="s">
        <v>5983</v>
      </c>
      <c r="B3673" s="2">
        <v>91</v>
      </c>
      <c r="C3673" s="2">
        <v>154077</v>
      </c>
      <c r="D3673" s="2" t="s">
        <v>891</v>
      </c>
      <c r="E3673" s="2" t="s">
        <v>6228</v>
      </c>
      <c r="F3673" s="2" t="s">
        <v>14</v>
      </c>
      <c r="G3673" s="2" t="s">
        <v>15</v>
      </c>
      <c r="H3673" s="2">
        <v>500000</v>
      </c>
      <c r="I3673" s="2">
        <v>6.6</v>
      </c>
      <c r="J3673" s="2">
        <f t="shared" si="28"/>
        <v>-345923</v>
      </c>
      <c r="K3673" s="2">
        <f t="shared" si="29"/>
        <v>0.41998455505485832</v>
      </c>
      <c r="L3673" s="2" t="str">
        <f>IF(ISNUMBER(SEARCH("|",IMDB_Movies!$D3673)),LEFT(IMDB_Movies!$D3673,SEARCH("|",IMDB_Movies!$D3673)-1),IMDB_Movies!$D3673)</f>
        <v>Comedy</v>
      </c>
      <c r="V3673" s="2"/>
      <c r="W3673" s="2"/>
    </row>
    <row r="3674" spans="1:23" ht="12.5" x14ac:dyDescent="0.25">
      <c r="A3674" s="2" t="s">
        <v>6229</v>
      </c>
      <c r="B3674" s="2">
        <v>88</v>
      </c>
      <c r="C3674" s="2">
        <v>151389</v>
      </c>
      <c r="D3674" s="2" t="s">
        <v>2943</v>
      </c>
      <c r="E3674" s="2" t="s">
        <v>6230</v>
      </c>
      <c r="F3674" s="2" t="s">
        <v>14</v>
      </c>
      <c r="G3674" s="2" t="s">
        <v>15</v>
      </c>
      <c r="H3674" s="2">
        <v>500000</v>
      </c>
      <c r="I3674" s="2">
        <v>7.1</v>
      </c>
      <c r="J3674" s="2">
        <f t="shared" si="28"/>
        <v>-348611</v>
      </c>
      <c r="K3674" s="2">
        <f t="shared" si="29"/>
        <v>0.41989087427438893</v>
      </c>
      <c r="L3674" s="2" t="str">
        <f>IF(ISNUMBER(SEARCH("|",IMDB_Movies!$D3674)),LEFT(IMDB_Movies!$D3674,SEARCH("|",IMDB_Movies!$D3674)-1),IMDB_Movies!$D3674)</f>
        <v>Documentary</v>
      </c>
      <c r="V3674" s="2"/>
      <c r="W3674" s="2"/>
    </row>
    <row r="3675" spans="1:23" ht="12.5" x14ac:dyDescent="0.25">
      <c r="A3675" s="2" t="s">
        <v>4568</v>
      </c>
      <c r="B3675" s="2">
        <v>202</v>
      </c>
      <c r="C3675" s="2">
        <v>269061</v>
      </c>
      <c r="D3675" s="2" t="s">
        <v>380</v>
      </c>
      <c r="E3675" s="2" t="s">
        <v>6231</v>
      </c>
      <c r="F3675" s="2" t="s">
        <v>2568</v>
      </c>
      <c r="G3675" s="2" t="s">
        <v>1032</v>
      </c>
      <c r="H3675" s="2">
        <v>2000000</v>
      </c>
      <c r="I3675" s="2">
        <v>8.6999999999999993</v>
      </c>
      <c r="J3675" s="2">
        <f t="shared" si="28"/>
        <v>-1730939</v>
      </c>
      <c r="K3675" s="2">
        <f t="shared" si="29"/>
        <v>0.41979552103892487</v>
      </c>
      <c r="L3675" s="2" t="str">
        <f>IF(ISNUMBER(SEARCH("|",IMDB_Movies!$D3675)),LEFT(IMDB_Movies!$D3675,SEARCH("|",IMDB_Movies!$D3675)-1),IMDB_Movies!$D3675)</f>
        <v>Action</v>
      </c>
      <c r="V3675" s="2"/>
      <c r="W3675" s="2"/>
    </row>
    <row r="3676" spans="1:23" ht="12.5" x14ac:dyDescent="0.25">
      <c r="A3676" s="2" t="s">
        <v>6232</v>
      </c>
      <c r="B3676" s="2">
        <v>89</v>
      </c>
      <c r="C3676" s="2">
        <v>133778</v>
      </c>
      <c r="D3676" s="2" t="s">
        <v>6100</v>
      </c>
      <c r="E3676" s="2" t="s">
        <v>6233</v>
      </c>
      <c r="F3676" s="2" t="s">
        <v>14</v>
      </c>
      <c r="G3676" s="2" t="s">
        <v>15</v>
      </c>
      <c r="H3676" s="2">
        <v>500000</v>
      </c>
      <c r="I3676" s="2">
        <v>8.4</v>
      </c>
      <c r="J3676" s="2">
        <f t="shared" si="28"/>
        <v>-366222</v>
      </c>
      <c r="K3676" s="2">
        <f t="shared" si="29"/>
        <v>0.42071240267431292</v>
      </c>
      <c r="L3676" s="2" t="str">
        <f>IF(ISNUMBER(SEARCH("|",IMDB_Movies!$D3676)),LEFT(IMDB_Movies!$D3676,SEARCH("|",IMDB_Movies!$D3676)-1),IMDB_Movies!$D3676)</f>
        <v>Documentary</v>
      </c>
      <c r="V3676" s="2"/>
      <c r="W3676" s="2"/>
    </row>
    <row r="3677" spans="1:23" ht="12.5" x14ac:dyDescent="0.25">
      <c r="A3677" s="2" t="s">
        <v>145</v>
      </c>
      <c r="B3677" s="2">
        <v>84</v>
      </c>
      <c r="C3677" s="2">
        <v>52850</v>
      </c>
      <c r="D3677" s="2" t="s">
        <v>709</v>
      </c>
      <c r="E3677" s="2" t="s">
        <v>6234</v>
      </c>
      <c r="F3677" s="2" t="s">
        <v>14</v>
      </c>
      <c r="G3677" s="2" t="s">
        <v>15</v>
      </c>
      <c r="H3677" s="2">
        <v>500000</v>
      </c>
      <c r="I3677" s="2">
        <v>6.2</v>
      </c>
      <c r="J3677" s="2">
        <f t="shared" si="28"/>
        <v>-447150</v>
      </c>
      <c r="K3677" s="2">
        <f t="shared" si="29"/>
        <v>0.42062120474208947</v>
      </c>
      <c r="L3677" s="2" t="str">
        <f>IF(ISNUMBER(SEARCH("|",IMDB_Movies!$D3677)),LEFT(IMDB_Movies!$D3677,SEARCH("|",IMDB_Movies!$D3677)-1),IMDB_Movies!$D3677)</f>
        <v>Comedy</v>
      </c>
      <c r="V3677" s="2"/>
      <c r="W3677" s="2"/>
    </row>
    <row r="3678" spans="1:23" ht="12.5" x14ac:dyDescent="0.25">
      <c r="A3678" s="2" t="s">
        <v>6235</v>
      </c>
      <c r="B3678" s="2">
        <v>82</v>
      </c>
      <c r="C3678" s="2">
        <v>98017</v>
      </c>
      <c r="D3678" s="2" t="s">
        <v>327</v>
      </c>
      <c r="E3678" s="2" t="s">
        <v>6236</v>
      </c>
      <c r="F3678" s="2" t="s">
        <v>14</v>
      </c>
      <c r="G3678" s="2" t="s">
        <v>686</v>
      </c>
      <c r="H3678" s="2">
        <v>500000</v>
      </c>
      <c r="I3678" s="2">
        <v>5.8</v>
      </c>
      <c r="J3678" s="2">
        <f t="shared" si="28"/>
        <v>-401983</v>
      </c>
      <c r="K3678" s="2">
        <f t="shared" si="29"/>
        <v>0.42052933202469317</v>
      </c>
      <c r="L3678" s="2" t="str">
        <f>IF(ISNUMBER(SEARCH("|",IMDB_Movies!$D3678)),LEFT(IMDB_Movies!$D3678,SEARCH("|",IMDB_Movies!$D3678)-1),IMDB_Movies!$D3678)</f>
        <v>Comedy</v>
      </c>
      <c r="V3678" s="2"/>
      <c r="W3678" s="2"/>
    </row>
    <row r="3679" spans="1:23" ht="12.5" x14ac:dyDescent="0.25">
      <c r="A3679" s="2" t="s">
        <v>6141</v>
      </c>
      <c r="B3679" s="2">
        <v>100</v>
      </c>
      <c r="C3679" s="2">
        <v>31937</v>
      </c>
      <c r="D3679" s="2" t="s">
        <v>600</v>
      </c>
      <c r="E3679" s="2" t="s">
        <v>6237</v>
      </c>
      <c r="F3679" s="2" t="s">
        <v>14</v>
      </c>
      <c r="G3679" s="2" t="s">
        <v>15</v>
      </c>
      <c r="H3679" s="2">
        <v>500000</v>
      </c>
      <c r="I3679" s="2">
        <v>5.7</v>
      </c>
      <c r="J3679" s="2">
        <f t="shared" si="28"/>
        <v>-468063</v>
      </c>
      <c r="K3679" s="2">
        <f t="shared" si="29"/>
        <v>0.42043515048293084</v>
      </c>
      <c r="L3679" s="2" t="str">
        <f>IF(ISNUMBER(SEARCH("|",IMDB_Movies!$D3679)),LEFT(IMDB_Movies!$D3679,SEARCH("|",IMDB_Movies!$D3679)-1),IMDB_Movies!$D3679)</f>
        <v>Comedy</v>
      </c>
      <c r="V3679" s="2"/>
      <c r="W3679" s="2"/>
    </row>
    <row r="3680" spans="1:23" ht="12.5" x14ac:dyDescent="0.25">
      <c r="A3680" s="2" t="s">
        <v>6238</v>
      </c>
      <c r="B3680" s="2">
        <v>112</v>
      </c>
      <c r="C3680" s="2">
        <v>13134</v>
      </c>
      <c r="D3680" s="2" t="s">
        <v>1307</v>
      </c>
      <c r="E3680" s="2" t="s">
        <v>6239</v>
      </c>
      <c r="F3680" s="2" t="s">
        <v>14</v>
      </c>
      <c r="G3680" s="2" t="s">
        <v>15</v>
      </c>
      <c r="H3680" s="2">
        <v>500000</v>
      </c>
      <c r="I3680" s="2">
        <v>6.1</v>
      </c>
      <c r="J3680" s="2">
        <f t="shared" si="28"/>
        <v>-486866</v>
      </c>
      <c r="K3680" s="2">
        <f t="shared" si="29"/>
        <v>0.4203400776133297</v>
      </c>
      <c r="L3680" s="2" t="str">
        <f>IF(ISNUMBER(SEARCH("|",IMDB_Movies!$D3680)),LEFT(IMDB_Movies!$D3680,SEARCH("|",IMDB_Movies!$D3680)-1),IMDB_Movies!$D3680)</f>
        <v>Drama</v>
      </c>
      <c r="V3680" s="2"/>
      <c r="W3680" s="2"/>
    </row>
    <row r="3681" spans="1:23" ht="12.5" x14ac:dyDescent="0.25">
      <c r="A3681" s="2" t="s">
        <v>6240</v>
      </c>
      <c r="B3681" s="2">
        <v>94</v>
      </c>
      <c r="C3681" s="2">
        <v>237301</v>
      </c>
      <c r="D3681" s="2" t="s">
        <v>942</v>
      </c>
      <c r="E3681" s="2" t="s">
        <v>6241</v>
      </c>
      <c r="F3681" s="2" t="s">
        <v>14</v>
      </c>
      <c r="G3681" s="2" t="s">
        <v>22</v>
      </c>
      <c r="H3681" s="2">
        <v>500000</v>
      </c>
      <c r="I3681" s="2">
        <v>6.4</v>
      </c>
      <c r="J3681" s="2">
        <f t="shared" si="28"/>
        <v>-262699</v>
      </c>
      <c r="K3681" s="2">
        <f t="shared" si="29"/>
        <v>0.4202434659623589</v>
      </c>
      <c r="L3681" s="2" t="str">
        <f>IF(ISNUMBER(SEARCH("|",IMDB_Movies!$D3681)),LEFT(IMDB_Movies!$D3681,SEARCH("|",IMDB_Movies!$D3681)-1),IMDB_Movies!$D3681)</f>
        <v>Drama</v>
      </c>
      <c r="V3681" s="2"/>
      <c r="W3681" s="2"/>
    </row>
    <row r="3682" spans="1:23" ht="12.5" x14ac:dyDescent="0.25">
      <c r="A3682" s="2" t="s">
        <v>6242</v>
      </c>
      <c r="B3682" s="2">
        <v>91</v>
      </c>
      <c r="C3682" s="2">
        <v>12055</v>
      </c>
      <c r="D3682" s="2" t="s">
        <v>709</v>
      </c>
      <c r="E3682" s="2" t="s">
        <v>6243</v>
      </c>
      <c r="F3682" s="2" t="s">
        <v>14</v>
      </c>
      <c r="G3682" s="2" t="s">
        <v>15</v>
      </c>
      <c r="H3682" s="2">
        <v>500000</v>
      </c>
      <c r="I3682" s="2">
        <v>6.5</v>
      </c>
      <c r="J3682" s="2">
        <f t="shared" si="28"/>
        <v>-487945</v>
      </c>
      <c r="K3682" s="2">
        <f t="shared" si="29"/>
        <v>0.42014220114592787</v>
      </c>
      <c r="L3682" s="2" t="str">
        <f>IF(ISNUMBER(SEARCH("|",IMDB_Movies!$D3682)),LEFT(IMDB_Movies!$D3682,SEARCH("|",IMDB_Movies!$D3682)-1),IMDB_Movies!$D3682)</f>
        <v>Comedy</v>
      </c>
      <c r="V3682" s="2"/>
      <c r="W3682" s="2"/>
    </row>
    <row r="3683" spans="1:23" ht="12.5" x14ac:dyDescent="0.25">
      <c r="A3683" s="2" t="s">
        <v>6244</v>
      </c>
      <c r="B3683" s="2">
        <v>87</v>
      </c>
      <c r="C3683" s="2">
        <v>1332</v>
      </c>
      <c r="D3683" s="2" t="s">
        <v>2514</v>
      </c>
      <c r="E3683" s="2" t="s">
        <v>6245</v>
      </c>
      <c r="F3683" s="2" t="s">
        <v>14</v>
      </c>
      <c r="G3683" s="2" t="s">
        <v>15</v>
      </c>
      <c r="H3683" s="2">
        <v>500000</v>
      </c>
      <c r="I3683" s="2">
        <v>4.5999999999999996</v>
      </c>
      <c r="J3683" s="2">
        <f t="shared" si="28"/>
        <v>-498668</v>
      </c>
      <c r="K3683" s="2">
        <f t="shared" si="29"/>
        <v>0.42004180086564841</v>
      </c>
      <c r="L3683" s="2" t="str">
        <f>IF(ISNUMBER(SEARCH("|",IMDB_Movies!$D3683)),LEFT(IMDB_Movies!$D3683,SEARCH("|",IMDB_Movies!$D3683)-1),IMDB_Movies!$D3683)</f>
        <v>Comedy</v>
      </c>
      <c r="V3683" s="2"/>
      <c r="W3683" s="2"/>
    </row>
    <row r="3684" spans="1:23" ht="12.5" x14ac:dyDescent="0.25">
      <c r="A3684" s="2" t="s">
        <v>6246</v>
      </c>
      <c r="B3684" s="2">
        <v>82</v>
      </c>
      <c r="C3684" s="2">
        <v>21199</v>
      </c>
      <c r="D3684" s="2" t="s">
        <v>6247</v>
      </c>
      <c r="E3684" s="2" t="s">
        <v>6248</v>
      </c>
      <c r="F3684" s="2" t="s">
        <v>14</v>
      </c>
      <c r="G3684" s="2" t="s">
        <v>15</v>
      </c>
      <c r="H3684" s="2">
        <v>500000</v>
      </c>
      <c r="I3684" s="2">
        <v>6.8</v>
      </c>
      <c r="J3684" s="2">
        <f t="shared" si="28"/>
        <v>-478801</v>
      </c>
      <c r="K3684" s="2">
        <f t="shared" si="29"/>
        <v>0.41993959602241449</v>
      </c>
      <c r="L3684" s="2" t="str">
        <f>IF(ISNUMBER(SEARCH("|",IMDB_Movies!$D3684)),LEFT(IMDB_Movies!$D3684,SEARCH("|",IMDB_Movies!$D3684)-1),IMDB_Movies!$D3684)</f>
        <v>Action</v>
      </c>
      <c r="V3684" s="2"/>
      <c r="W3684" s="2"/>
    </row>
    <row r="3685" spans="1:23" ht="12.5" x14ac:dyDescent="0.25">
      <c r="A3685" s="2" t="s">
        <v>6249</v>
      </c>
      <c r="B3685" s="2">
        <v>91</v>
      </c>
      <c r="C3685" s="2">
        <v>2712293</v>
      </c>
      <c r="D3685" s="2" t="s">
        <v>694</v>
      </c>
      <c r="E3685" s="2" t="s">
        <v>6250</v>
      </c>
      <c r="F3685" s="2" t="s">
        <v>14</v>
      </c>
      <c r="G3685" s="2" t="s">
        <v>15</v>
      </c>
      <c r="H3685" s="2">
        <v>450000</v>
      </c>
      <c r="I3685" s="2">
        <v>5.9</v>
      </c>
      <c r="J3685" s="2">
        <f t="shared" si="28"/>
        <v>2262293</v>
      </c>
      <c r="K3685" s="2">
        <f t="shared" si="29"/>
        <v>0.41983506387120961</v>
      </c>
      <c r="L3685" s="2" t="str">
        <f>IF(ISNUMBER(SEARCH("|",IMDB_Movies!$D3685)),LEFT(IMDB_Movies!$D3685,SEARCH("|",IMDB_Movies!$D3685)-1),IMDB_Movies!$D3685)</f>
        <v>Crime</v>
      </c>
      <c r="V3685" s="2"/>
      <c r="W3685" s="2"/>
    </row>
    <row r="3686" spans="1:23" ht="12.5" x14ac:dyDescent="0.25">
      <c r="A3686" s="2" t="s">
        <v>424</v>
      </c>
      <c r="B3686" s="2">
        <v>107</v>
      </c>
      <c r="C3686" s="2">
        <v>768045</v>
      </c>
      <c r="D3686" s="2" t="s">
        <v>706</v>
      </c>
      <c r="E3686" s="2" t="s">
        <v>6251</v>
      </c>
      <c r="F3686" s="2" t="s">
        <v>14</v>
      </c>
      <c r="G3686" s="2" t="s">
        <v>22</v>
      </c>
      <c r="H3686" s="2">
        <v>2000000</v>
      </c>
      <c r="I3686" s="2">
        <v>7.7</v>
      </c>
      <c r="J3686" s="2">
        <f t="shared" si="28"/>
        <v>-1231955</v>
      </c>
      <c r="K3686" s="2">
        <f t="shared" si="29"/>
        <v>0.41975598800555075</v>
      </c>
      <c r="L3686" s="2" t="str">
        <f>IF(ISNUMBER(SEARCH("|",IMDB_Movies!$D3686)),LEFT(IMDB_Movies!$D3686,SEARCH("|",IMDB_Movies!$D3686)-1),IMDB_Movies!$D3686)</f>
        <v>Drama</v>
      </c>
      <c r="V3686" s="2"/>
      <c r="W3686" s="2"/>
    </row>
    <row r="3687" spans="1:23" ht="12.5" x14ac:dyDescent="0.25">
      <c r="A3687" s="2" t="s">
        <v>6252</v>
      </c>
      <c r="B3687" s="2">
        <v>84</v>
      </c>
      <c r="C3687" s="2">
        <v>379122</v>
      </c>
      <c r="D3687" s="2" t="s">
        <v>514</v>
      </c>
      <c r="E3687" s="2" t="s">
        <v>6253</v>
      </c>
      <c r="F3687" s="2" t="s">
        <v>14</v>
      </c>
      <c r="G3687" s="2" t="s">
        <v>22</v>
      </c>
      <c r="H3687" s="2">
        <v>450000</v>
      </c>
      <c r="I3687" s="2">
        <v>7.1</v>
      </c>
      <c r="J3687" s="2">
        <f t="shared" si="28"/>
        <v>-70878</v>
      </c>
      <c r="K3687" s="2">
        <f t="shared" si="29"/>
        <v>0.4206243159515608</v>
      </c>
      <c r="L3687" s="2" t="str">
        <f>IF(ISNUMBER(SEARCH("|",IMDB_Movies!$D3687)),LEFT(IMDB_Movies!$D3687,SEARCH("|",IMDB_Movies!$D3687)-1),IMDB_Movies!$D3687)</f>
        <v>Comedy</v>
      </c>
      <c r="V3687" s="2"/>
      <c r="W3687" s="2"/>
    </row>
    <row r="3688" spans="1:23" ht="12.5" x14ac:dyDescent="0.25">
      <c r="A3688" s="2" t="s">
        <v>6254</v>
      </c>
      <c r="B3688" s="2">
        <v>103</v>
      </c>
      <c r="C3688" s="2">
        <v>23000</v>
      </c>
      <c r="D3688" s="2" t="s">
        <v>6033</v>
      </c>
      <c r="E3688" s="2" t="s">
        <v>6255</v>
      </c>
      <c r="F3688" s="2" t="s">
        <v>14</v>
      </c>
      <c r="G3688" s="2" t="s">
        <v>15</v>
      </c>
      <c r="H3688" s="2">
        <v>500000</v>
      </c>
      <c r="I3688" s="2">
        <v>6.2</v>
      </c>
      <c r="J3688" s="2">
        <f t="shared" si="28"/>
        <v>-477000</v>
      </c>
      <c r="K3688" s="2">
        <f t="shared" si="29"/>
        <v>0.42048958561202493</v>
      </c>
      <c r="L3688" s="2" t="str">
        <f>IF(ISNUMBER(SEARCH("|",IMDB_Movies!$D3688)),LEFT(IMDB_Movies!$D3688,SEARCH("|",IMDB_Movies!$D3688)-1),IMDB_Movies!$D3688)</f>
        <v>Comedy</v>
      </c>
      <c r="V3688" s="2"/>
      <c r="W3688" s="2"/>
    </row>
    <row r="3689" spans="1:23" ht="12.5" x14ac:dyDescent="0.25">
      <c r="A3689" s="2" t="s">
        <v>6256</v>
      </c>
      <c r="B3689" s="2">
        <v>89</v>
      </c>
      <c r="C3689" s="2">
        <v>2300000</v>
      </c>
      <c r="D3689" s="2" t="s">
        <v>3631</v>
      </c>
      <c r="E3689" s="2" t="s">
        <v>6257</v>
      </c>
      <c r="F3689" s="2" t="s">
        <v>14</v>
      </c>
      <c r="G3689" s="2" t="s">
        <v>15</v>
      </c>
      <c r="H3689" s="2">
        <v>439000</v>
      </c>
      <c r="I3689" s="2">
        <v>7.7</v>
      </c>
      <c r="J3689" s="2">
        <f t="shared" si="28"/>
        <v>1861000</v>
      </c>
      <c r="K3689" s="2">
        <f t="shared" si="29"/>
        <v>0.42038480390378102</v>
      </c>
      <c r="L3689" s="2" t="str">
        <f>IF(ISNUMBER(SEARCH("|",IMDB_Movies!$D3689)),LEFT(IMDB_Movies!$D3689,SEARCH("|",IMDB_Movies!$D3689)-1),IMDB_Movies!$D3689)</f>
        <v>Comedy</v>
      </c>
      <c r="V3689" s="2"/>
      <c r="W3689" s="2"/>
    </row>
    <row r="3690" spans="1:23" ht="12.5" x14ac:dyDescent="0.25">
      <c r="A3690" s="2" t="s">
        <v>6258</v>
      </c>
      <c r="B3690" s="2">
        <v>98</v>
      </c>
      <c r="C3690" s="2">
        <v>2938208</v>
      </c>
      <c r="D3690" s="2" t="s">
        <v>514</v>
      </c>
      <c r="E3690" s="2" t="s">
        <v>6259</v>
      </c>
      <c r="F3690" s="2" t="s">
        <v>14</v>
      </c>
      <c r="G3690" s="2" t="s">
        <v>15</v>
      </c>
      <c r="H3690" s="2">
        <v>225000</v>
      </c>
      <c r="I3690" s="2">
        <v>7.5</v>
      </c>
      <c r="J3690" s="2">
        <f t="shared" si="28"/>
        <v>2713208</v>
      </c>
      <c r="K3690" s="2">
        <f t="shared" si="29"/>
        <v>0.42027776395761601</v>
      </c>
      <c r="L3690" s="2" t="str">
        <f>IF(ISNUMBER(SEARCH("|",IMDB_Movies!$D3690)),LEFT(IMDB_Movies!$D3690,SEARCH("|",IMDB_Movies!$D3690)-1),IMDB_Movies!$D3690)</f>
        <v>Comedy</v>
      </c>
      <c r="V3690" s="2"/>
      <c r="W3690" s="2"/>
    </row>
    <row r="3691" spans="1:23" ht="12.5" x14ac:dyDescent="0.25">
      <c r="A3691" s="2" t="s">
        <v>6260</v>
      </c>
      <c r="B3691" s="2">
        <v>133</v>
      </c>
      <c r="C3691" s="2">
        <v>9910</v>
      </c>
      <c r="D3691" s="2" t="s">
        <v>1946</v>
      </c>
      <c r="E3691" s="2" t="s">
        <v>6261</v>
      </c>
      <c r="F3691" s="2" t="s">
        <v>6262</v>
      </c>
      <c r="G3691" s="2" t="s">
        <v>6263</v>
      </c>
      <c r="H3691" s="2">
        <v>25000000</v>
      </c>
      <c r="I3691" s="2">
        <v>7.6</v>
      </c>
      <c r="J3691" s="2">
        <f t="shared" si="28"/>
        <v>-24990090</v>
      </c>
      <c r="K3691" s="2">
        <f t="shared" si="29"/>
        <v>0.42017518869953907</v>
      </c>
      <c r="L3691" s="2" t="str">
        <f>IF(ISNUMBER(SEARCH("|",IMDB_Movies!$D3691)),LEFT(IMDB_Movies!$D3691,SEARCH("|",IMDB_Movies!$D3691)-1),IMDB_Movies!$D3691)</f>
        <v>Comedy</v>
      </c>
      <c r="V3691" s="2"/>
      <c r="W3691" s="2"/>
    </row>
    <row r="3692" spans="1:23" ht="12.5" x14ac:dyDescent="0.25">
      <c r="A3692" s="2" t="s">
        <v>2611</v>
      </c>
      <c r="B3692" s="2">
        <v>92</v>
      </c>
      <c r="C3692" s="2">
        <v>44540956</v>
      </c>
      <c r="D3692" s="2" t="s">
        <v>709</v>
      </c>
      <c r="E3692" s="2" t="s">
        <v>6264</v>
      </c>
      <c r="F3692" s="2" t="s">
        <v>14</v>
      </c>
      <c r="G3692" s="2" t="s">
        <v>15</v>
      </c>
      <c r="H3692" s="2">
        <v>400000</v>
      </c>
      <c r="I3692" s="2">
        <v>6.9</v>
      </c>
      <c r="J3692" s="2">
        <f t="shared" si="28"/>
        <v>44140956</v>
      </c>
      <c r="K3692" s="2">
        <f t="shared" si="29"/>
        <v>0.52841239972761478</v>
      </c>
      <c r="L3692" s="2" t="str">
        <f>IF(ISNUMBER(SEARCH("|",IMDB_Movies!$D3692)),LEFT(IMDB_Movies!$D3692,SEARCH("|",IMDB_Movies!$D3692)-1),IMDB_Movies!$D3692)</f>
        <v>Comedy</v>
      </c>
      <c r="V3692" s="2"/>
      <c r="W3692" s="2"/>
    </row>
    <row r="3693" spans="1:23" ht="12.5" x14ac:dyDescent="0.25">
      <c r="A3693" s="2" t="s">
        <v>5432</v>
      </c>
      <c r="B3693" s="2">
        <v>90</v>
      </c>
      <c r="C3693" s="2">
        <v>258113</v>
      </c>
      <c r="D3693" s="2" t="s">
        <v>763</v>
      </c>
      <c r="E3693" s="2" t="s">
        <v>6265</v>
      </c>
      <c r="F3693" s="2" t="s">
        <v>14</v>
      </c>
      <c r="G3693" s="2" t="s">
        <v>15</v>
      </c>
      <c r="H3693" s="2">
        <v>1066167</v>
      </c>
      <c r="I3693" s="2">
        <v>7.1</v>
      </c>
      <c r="J3693" s="2">
        <f t="shared" si="28"/>
        <v>-808054</v>
      </c>
      <c r="K3693" s="2">
        <f t="shared" si="29"/>
        <v>0.55389536686134266</v>
      </c>
      <c r="L3693" s="2" t="str">
        <f>IF(ISNUMBER(SEARCH("|",IMDB_Movies!$D3693)),LEFT(IMDB_Movies!$D3693,SEARCH("|",IMDB_Movies!$D3693)-1),IMDB_Movies!$D3693)</f>
        <v>Crime</v>
      </c>
      <c r="V3693" s="2"/>
      <c r="W3693" s="2"/>
    </row>
    <row r="3694" spans="1:23" ht="12.5" x14ac:dyDescent="0.25">
      <c r="A3694" s="2" t="s">
        <v>6266</v>
      </c>
      <c r="B3694" s="2">
        <v>84</v>
      </c>
      <c r="C3694" s="2">
        <v>107917283</v>
      </c>
      <c r="D3694" s="2" t="s">
        <v>2148</v>
      </c>
      <c r="E3694" s="2" t="s">
        <v>6267</v>
      </c>
      <c r="F3694" s="2" t="s">
        <v>14</v>
      </c>
      <c r="G3694" s="2" t="s">
        <v>15</v>
      </c>
      <c r="H3694" s="2">
        <v>15000</v>
      </c>
      <c r="I3694" s="2">
        <v>6.3</v>
      </c>
      <c r="J3694" s="2">
        <f t="shared" si="28"/>
        <v>107902283</v>
      </c>
      <c r="K3694" s="2">
        <f t="shared" si="29"/>
        <v>0.55441921632307323</v>
      </c>
      <c r="L3694" s="2" t="str">
        <f>IF(ISNUMBER(SEARCH("|",IMDB_Movies!$D3694)),LEFT(IMDB_Movies!$D3694,SEARCH("|",IMDB_Movies!$D3694)-1),IMDB_Movies!$D3694)</f>
        <v>Horror</v>
      </c>
      <c r="V3694" s="2"/>
      <c r="W3694" s="2"/>
    </row>
    <row r="3695" spans="1:23" ht="12.5" x14ac:dyDescent="0.25">
      <c r="A3695" s="2" t="s">
        <v>977</v>
      </c>
      <c r="B3695" s="2">
        <v>91</v>
      </c>
      <c r="C3695" s="2">
        <v>1229197</v>
      </c>
      <c r="D3695" s="2" t="s">
        <v>1835</v>
      </c>
      <c r="E3695" s="2" t="s">
        <v>6268</v>
      </c>
      <c r="F3695" s="2" t="s">
        <v>14</v>
      </c>
      <c r="G3695" s="2" t="s">
        <v>22</v>
      </c>
      <c r="H3695" s="2">
        <v>229575</v>
      </c>
      <c r="I3695" s="2">
        <v>8.3000000000000007</v>
      </c>
      <c r="J3695" s="2">
        <f t="shared" si="28"/>
        <v>999622</v>
      </c>
      <c r="K3695" s="2">
        <f t="shared" si="29"/>
        <v>0.89263183683295344</v>
      </c>
      <c r="L3695" s="2" t="str">
        <f>IF(ISNUMBER(SEARCH("|",IMDB_Movies!$D3695)),LEFT(IMDB_Movies!$D3695,SEARCH("|",IMDB_Movies!$D3695)-1),IMDB_Movies!$D3695)</f>
        <v>Adventure</v>
      </c>
      <c r="V3695" s="2"/>
      <c r="W3695" s="2"/>
    </row>
    <row r="3696" spans="1:23" ht="12.5" x14ac:dyDescent="0.25">
      <c r="A3696" s="2" t="s">
        <v>5365</v>
      </c>
      <c r="B3696" s="2">
        <v>90</v>
      </c>
      <c r="C3696" s="2">
        <v>1689999</v>
      </c>
      <c r="D3696" s="2" t="s">
        <v>1180</v>
      </c>
      <c r="E3696" s="2" t="s">
        <v>6269</v>
      </c>
      <c r="F3696" s="2" t="s">
        <v>971</v>
      </c>
      <c r="G3696" s="2" t="s">
        <v>15</v>
      </c>
      <c r="H3696" s="2">
        <v>400000</v>
      </c>
      <c r="I3696" s="2">
        <v>7.1</v>
      </c>
      <c r="J3696" s="2">
        <f t="shared" si="28"/>
        <v>1289999</v>
      </c>
      <c r="K3696" s="2">
        <f t="shared" si="29"/>
        <v>0.89262192050468903</v>
      </c>
      <c r="L3696" s="2" t="str">
        <f>IF(ISNUMBER(SEARCH("|",IMDB_Movies!$D3696)),LEFT(IMDB_Movies!$D3696,SEARCH("|",IMDB_Movies!$D3696)-1),IMDB_Movies!$D3696)</f>
        <v>Drama</v>
      </c>
      <c r="V3696" s="2"/>
      <c r="W3696" s="2"/>
    </row>
    <row r="3697" spans="1:23" ht="12.5" x14ac:dyDescent="0.25">
      <c r="A3697" s="2" t="s">
        <v>6270</v>
      </c>
      <c r="B3697" s="2">
        <v>96</v>
      </c>
      <c r="C3697" s="2">
        <v>11798</v>
      </c>
      <c r="D3697" s="2" t="s">
        <v>6271</v>
      </c>
      <c r="E3697" s="2" t="s">
        <v>6272</v>
      </c>
      <c r="F3697" s="2" t="s">
        <v>14</v>
      </c>
      <c r="G3697" s="2" t="s">
        <v>15</v>
      </c>
      <c r="H3697" s="2">
        <v>100000</v>
      </c>
      <c r="I3697" s="2">
        <v>4.7</v>
      </c>
      <c r="J3697" s="2">
        <f t="shared" si="28"/>
        <v>-88202</v>
      </c>
      <c r="K3697" s="2">
        <f t="shared" si="29"/>
        <v>0.89262480235082509</v>
      </c>
      <c r="L3697" s="2" t="str">
        <f>IF(ISNUMBER(SEARCH("|",IMDB_Movies!$D3697)),LEFT(IMDB_Movies!$D3697,SEARCH("|",IMDB_Movies!$D3697)-1),IMDB_Movies!$D3697)</f>
        <v>Comedy</v>
      </c>
      <c r="V3697" s="2"/>
      <c r="W3697" s="2"/>
    </row>
    <row r="3698" spans="1:23" ht="12.5" x14ac:dyDescent="0.25">
      <c r="A3698" s="2" t="s">
        <v>6273</v>
      </c>
      <c r="B3698" s="2">
        <v>88</v>
      </c>
      <c r="C3698" s="2">
        <v>592014</v>
      </c>
      <c r="D3698" s="2" t="s">
        <v>6274</v>
      </c>
      <c r="E3698" s="2" t="s">
        <v>6275</v>
      </c>
      <c r="F3698" s="2" t="s">
        <v>14</v>
      </c>
      <c r="G3698" s="2" t="s">
        <v>15</v>
      </c>
      <c r="H3698" s="2">
        <v>218</v>
      </c>
      <c r="I3698" s="2">
        <v>7.2</v>
      </c>
      <c r="J3698" s="2">
        <f t="shared" si="28"/>
        <v>591796</v>
      </c>
      <c r="K3698" s="2">
        <f t="shared" si="29"/>
        <v>0.89269628467710449</v>
      </c>
      <c r="L3698" s="2" t="str">
        <f>IF(ISNUMBER(SEARCH("|",IMDB_Movies!$D3698)),LEFT(IMDB_Movies!$D3698,SEARCH("|",IMDB_Movies!$D3698)-1),IMDB_Movies!$D3698)</f>
        <v>Biography</v>
      </c>
      <c r="V3698" s="2"/>
      <c r="W3698" s="2"/>
    </row>
    <row r="3699" spans="1:23" ht="12.5" x14ac:dyDescent="0.25">
      <c r="A3699" s="2" t="s">
        <v>6276</v>
      </c>
      <c r="B3699" s="2">
        <v>92</v>
      </c>
      <c r="C3699" s="2">
        <v>425899</v>
      </c>
      <c r="D3699" s="2" t="s">
        <v>2943</v>
      </c>
      <c r="E3699" s="2" t="s">
        <v>6277</v>
      </c>
      <c r="F3699" s="2" t="s">
        <v>14</v>
      </c>
      <c r="G3699" s="2" t="s">
        <v>15</v>
      </c>
      <c r="H3699" s="2">
        <v>400000</v>
      </c>
      <c r="I3699" s="2">
        <v>5.0999999999999996</v>
      </c>
      <c r="J3699" s="2">
        <f t="shared" si="28"/>
        <v>25899</v>
      </c>
      <c r="K3699" s="2">
        <f t="shared" si="29"/>
        <v>0.89266126309105076</v>
      </c>
      <c r="L3699" s="2" t="str">
        <f>IF(ISNUMBER(SEARCH("|",IMDB_Movies!$D3699)),LEFT(IMDB_Movies!$D3699,SEARCH("|",IMDB_Movies!$D3699)-1),IMDB_Movies!$D3699)</f>
        <v>Documentary</v>
      </c>
      <c r="V3699" s="2"/>
      <c r="W3699" s="2"/>
    </row>
    <row r="3700" spans="1:23" ht="12.5" x14ac:dyDescent="0.25">
      <c r="A3700" s="2" t="s">
        <v>6278</v>
      </c>
      <c r="B3700" s="2">
        <v>82</v>
      </c>
      <c r="C3700" s="2">
        <v>126387</v>
      </c>
      <c r="D3700" s="2" t="s">
        <v>2148</v>
      </c>
      <c r="E3700" s="2" t="s">
        <v>6279</v>
      </c>
      <c r="F3700" s="2" t="s">
        <v>3189</v>
      </c>
      <c r="G3700" s="2" t="s">
        <v>2862</v>
      </c>
      <c r="H3700" s="2">
        <v>400000</v>
      </c>
      <c r="I3700" s="2">
        <v>6.9</v>
      </c>
      <c r="J3700" s="2">
        <f t="shared" si="28"/>
        <v>-273613</v>
      </c>
      <c r="K3700" s="2">
        <f t="shared" si="29"/>
        <v>0.89283709830667335</v>
      </c>
      <c r="L3700" s="2" t="str">
        <f>IF(ISNUMBER(SEARCH("|",IMDB_Movies!$D3700)),LEFT(IMDB_Movies!$D3700,SEARCH("|",IMDB_Movies!$D3700)-1),IMDB_Movies!$D3700)</f>
        <v>Horror</v>
      </c>
      <c r="V3700" s="2"/>
      <c r="W3700" s="2"/>
    </row>
    <row r="3701" spans="1:23" ht="12.5" x14ac:dyDescent="0.25">
      <c r="A3701" s="2" t="s">
        <v>2683</v>
      </c>
      <c r="B3701" s="2">
        <v>101</v>
      </c>
      <c r="C3701" s="2">
        <v>80276912</v>
      </c>
      <c r="D3701" s="2" t="s">
        <v>600</v>
      </c>
      <c r="E3701" s="2" t="s">
        <v>6280</v>
      </c>
      <c r="F3701" s="2" t="s">
        <v>14</v>
      </c>
      <c r="G3701" s="2" t="s">
        <v>15</v>
      </c>
      <c r="H3701" s="2">
        <v>35000000</v>
      </c>
      <c r="I3701" s="2">
        <v>6.1</v>
      </c>
      <c r="J3701" s="2">
        <f t="shared" si="28"/>
        <v>45276912</v>
      </c>
      <c r="K3701" s="2">
        <f t="shared" si="29"/>
        <v>0.89308750744084031</v>
      </c>
      <c r="L3701" s="2" t="str">
        <f>IF(ISNUMBER(SEARCH("|",IMDB_Movies!$D3701)),LEFT(IMDB_Movies!$D3701,SEARCH("|",IMDB_Movies!$D3701)-1),IMDB_Movies!$D3701)</f>
        <v>Comedy</v>
      </c>
      <c r="V3701" s="2"/>
      <c r="W3701" s="2"/>
    </row>
    <row r="3702" spans="1:23" ht="12.5" x14ac:dyDescent="0.25">
      <c r="A3702" s="2" t="s">
        <v>6281</v>
      </c>
      <c r="B3702" s="2">
        <v>86</v>
      </c>
      <c r="C3702" s="2">
        <v>617172</v>
      </c>
      <c r="D3702" s="2" t="s">
        <v>2943</v>
      </c>
      <c r="E3702" s="2" t="s">
        <v>6282</v>
      </c>
      <c r="F3702" s="2" t="s">
        <v>14</v>
      </c>
      <c r="G3702" s="2" t="s">
        <v>15</v>
      </c>
      <c r="H3702" s="2">
        <v>375000</v>
      </c>
      <c r="I3702" s="2">
        <v>7</v>
      </c>
      <c r="J3702" s="2">
        <f t="shared" si="28"/>
        <v>242172</v>
      </c>
      <c r="K3702" s="2">
        <f t="shared" si="29"/>
        <v>0.24546413695701963</v>
      </c>
      <c r="L3702" s="2" t="str">
        <f>IF(ISNUMBER(SEARCH("|",IMDB_Movies!$D3702)),LEFT(IMDB_Movies!$D3702,SEARCH("|",IMDB_Movies!$D3702)-1),IMDB_Movies!$D3702)</f>
        <v>Documentary</v>
      </c>
      <c r="V3702" s="2"/>
      <c r="W3702" s="2"/>
    </row>
    <row r="3703" spans="1:23" ht="12.5" x14ac:dyDescent="0.25">
      <c r="A3703" s="2" t="s">
        <v>6283</v>
      </c>
      <c r="B3703" s="2">
        <v>100</v>
      </c>
      <c r="C3703" s="2">
        <v>2808000</v>
      </c>
      <c r="D3703" s="2" t="s">
        <v>5189</v>
      </c>
      <c r="E3703" s="2" t="s">
        <v>6284</v>
      </c>
      <c r="F3703" s="2" t="s">
        <v>14</v>
      </c>
      <c r="G3703" s="2" t="s">
        <v>15</v>
      </c>
      <c r="H3703" s="2">
        <v>379000</v>
      </c>
      <c r="I3703" s="2">
        <v>6.3</v>
      </c>
      <c r="J3703" s="2">
        <f t="shared" si="28"/>
        <v>2429000</v>
      </c>
      <c r="K3703" s="2">
        <f t="shared" si="29"/>
        <v>0.24573999392745186</v>
      </c>
      <c r="L3703" s="2" t="str">
        <f>IF(ISNUMBER(SEARCH("|",IMDB_Movies!$D3703)),LEFT(IMDB_Movies!$D3703,SEARCH("|",IMDB_Movies!$D3703)-1),IMDB_Movies!$D3703)</f>
        <v>Musical</v>
      </c>
      <c r="V3703" s="2"/>
      <c r="W3703" s="2"/>
    </row>
    <row r="3704" spans="1:23" ht="12.5" x14ac:dyDescent="0.25">
      <c r="A3704" s="2" t="s">
        <v>6285</v>
      </c>
      <c r="B3704" s="2">
        <v>89</v>
      </c>
      <c r="C3704" s="2">
        <v>12843</v>
      </c>
      <c r="D3704" s="2" t="s">
        <v>2228</v>
      </c>
      <c r="E3704" s="2" t="s">
        <v>6286</v>
      </c>
      <c r="F3704" s="2" t="s">
        <v>14</v>
      </c>
      <c r="G3704" s="2" t="s">
        <v>686</v>
      </c>
      <c r="H3704" s="2">
        <v>6000000</v>
      </c>
      <c r="I3704" s="2">
        <v>6.1</v>
      </c>
      <c r="J3704" s="2">
        <f t="shared" si="28"/>
        <v>-5987157</v>
      </c>
      <c r="K3704" s="2">
        <f t="shared" si="29"/>
        <v>0.24574709508209711</v>
      </c>
      <c r="L3704" s="2" t="str">
        <f>IF(ISNUMBER(SEARCH("|",IMDB_Movies!$D3704)),LEFT(IMDB_Movies!$D3704,SEARCH("|",IMDB_Movies!$D3704)-1),IMDB_Movies!$D3704)</f>
        <v>Horror</v>
      </c>
      <c r="V3704" s="2"/>
      <c r="W3704" s="2"/>
    </row>
    <row r="3705" spans="1:23" ht="12.5" x14ac:dyDescent="0.25">
      <c r="A3705" s="2" t="s">
        <v>6287</v>
      </c>
      <c r="B3705" s="2">
        <v>84</v>
      </c>
      <c r="C3705" s="2">
        <v>34151</v>
      </c>
      <c r="D3705" s="2" t="s">
        <v>5860</v>
      </c>
      <c r="E3705" s="2" t="s">
        <v>6288</v>
      </c>
      <c r="F3705" s="2" t="s">
        <v>5851</v>
      </c>
      <c r="G3705" s="2" t="s">
        <v>5852</v>
      </c>
      <c r="H3705" s="2">
        <v>450000</v>
      </c>
      <c r="I3705" s="2">
        <v>7.2</v>
      </c>
      <c r="J3705" s="2">
        <f t="shared" si="28"/>
        <v>-415849</v>
      </c>
      <c r="K3705" s="2">
        <f t="shared" si="29"/>
        <v>0.34429607092088294</v>
      </c>
      <c r="L3705" s="2" t="str">
        <f>IF(ISNUMBER(SEARCH("|",IMDB_Movies!$D3705)),LEFT(IMDB_Movies!$D3705,SEARCH("|",IMDB_Movies!$D3705)-1),IMDB_Movies!$D3705)</f>
        <v>Documentary</v>
      </c>
      <c r="V3705" s="2"/>
      <c r="W3705" s="2"/>
    </row>
    <row r="3706" spans="1:23" ht="12.5" x14ac:dyDescent="0.25">
      <c r="A3706" s="2" t="s">
        <v>6289</v>
      </c>
      <c r="B3706" s="2">
        <v>88</v>
      </c>
      <c r="C3706" s="2">
        <v>1523883</v>
      </c>
      <c r="D3706" s="2" t="s">
        <v>6100</v>
      </c>
      <c r="E3706" s="2" t="s">
        <v>6290</v>
      </c>
      <c r="F3706" s="2" t="s">
        <v>14</v>
      </c>
      <c r="G3706" s="2" t="s">
        <v>15</v>
      </c>
      <c r="H3706" s="2">
        <v>1750211</v>
      </c>
      <c r="I3706" s="2">
        <v>7.8</v>
      </c>
      <c r="J3706" s="2">
        <f t="shared" si="28"/>
        <v>-226328</v>
      </c>
      <c r="K3706" s="2">
        <f t="shared" si="29"/>
        <v>0.34616968971426937</v>
      </c>
      <c r="L3706" s="2" t="str">
        <f>IF(ISNUMBER(SEARCH("|",IMDB_Movies!$D3706)),LEFT(IMDB_Movies!$D3706,SEARCH("|",IMDB_Movies!$D3706)-1),IMDB_Movies!$D3706)</f>
        <v>Documentary</v>
      </c>
      <c r="V3706" s="2"/>
      <c r="W3706" s="2"/>
    </row>
    <row r="3707" spans="1:23" ht="12.5" x14ac:dyDescent="0.25">
      <c r="A3707" s="2" t="s">
        <v>6291</v>
      </c>
      <c r="B3707" s="2">
        <v>90</v>
      </c>
      <c r="C3707" s="2">
        <v>4000000</v>
      </c>
      <c r="D3707" s="2" t="s">
        <v>290</v>
      </c>
      <c r="E3707" s="2" t="s">
        <v>6292</v>
      </c>
      <c r="F3707" s="2" t="s">
        <v>14</v>
      </c>
      <c r="G3707" s="2" t="s">
        <v>15</v>
      </c>
      <c r="H3707" s="2">
        <v>350000</v>
      </c>
      <c r="I3707" s="2">
        <v>4.7</v>
      </c>
      <c r="J3707" s="2">
        <f t="shared" si="28"/>
        <v>3650000</v>
      </c>
      <c r="K3707" s="2">
        <f t="shared" si="29"/>
        <v>0.35635705678719926</v>
      </c>
      <c r="L3707" s="2" t="str">
        <f>IF(ISNUMBER(SEARCH("|",IMDB_Movies!$D3707)),LEFT(IMDB_Movies!$D3707,SEARCH("|",IMDB_Movies!$D3707)-1),IMDB_Movies!$D3707)</f>
        <v>Action</v>
      </c>
      <c r="V3707" s="2"/>
      <c r="W3707" s="2"/>
    </row>
    <row r="3708" spans="1:23" ht="12.5" x14ac:dyDescent="0.25">
      <c r="A3708" s="2" t="s">
        <v>2832</v>
      </c>
      <c r="B3708" s="2">
        <v>102</v>
      </c>
      <c r="C3708" s="2">
        <v>1281176</v>
      </c>
      <c r="D3708" s="2" t="s">
        <v>891</v>
      </c>
      <c r="E3708" s="2" t="s">
        <v>6293</v>
      </c>
      <c r="F3708" s="2" t="s">
        <v>14</v>
      </c>
      <c r="G3708" s="2" t="s">
        <v>15</v>
      </c>
      <c r="H3708" s="2">
        <v>312000</v>
      </c>
      <c r="I3708" s="2">
        <v>6.7</v>
      </c>
      <c r="J3708" s="2">
        <f t="shared" si="28"/>
        <v>969176</v>
      </c>
      <c r="K3708" s="2">
        <f t="shared" si="29"/>
        <v>0.35632628179193709</v>
      </c>
      <c r="L3708" s="2" t="str">
        <f>IF(ISNUMBER(SEARCH("|",IMDB_Movies!$D3708)),LEFT(IMDB_Movies!$D3708,SEARCH("|",IMDB_Movies!$D3708)-1),IMDB_Movies!$D3708)</f>
        <v>Comedy</v>
      </c>
      <c r="V3708" s="2"/>
      <c r="W3708" s="2"/>
    </row>
    <row r="3709" spans="1:23" ht="12.5" x14ac:dyDescent="0.25">
      <c r="A3709" s="2" t="s">
        <v>6294</v>
      </c>
      <c r="B3709" s="2">
        <v>98</v>
      </c>
      <c r="C3709" s="2">
        <v>16115878</v>
      </c>
      <c r="D3709" s="2" t="s">
        <v>6295</v>
      </c>
      <c r="E3709" s="2" t="s">
        <v>6296</v>
      </c>
      <c r="F3709" s="2" t="s">
        <v>14</v>
      </c>
      <c r="G3709" s="2" t="s">
        <v>15</v>
      </c>
      <c r="H3709" s="2">
        <v>8000000</v>
      </c>
      <c r="I3709" s="2">
        <v>6.6</v>
      </c>
      <c r="J3709" s="2">
        <f t="shared" si="28"/>
        <v>8115878</v>
      </c>
      <c r="K3709" s="2">
        <f t="shared" si="29"/>
        <v>0.35659965273026795</v>
      </c>
      <c r="L3709" s="2" t="str">
        <f>IF(ISNUMBER(SEARCH("|",IMDB_Movies!$D3709)),LEFT(IMDB_Movies!$D3709,SEARCH("|",IMDB_Movies!$D3709)-1),IMDB_Movies!$D3709)</f>
        <v>Action</v>
      </c>
      <c r="V3709" s="2"/>
      <c r="W3709" s="2"/>
    </row>
    <row r="3710" spans="1:23" ht="12.5" x14ac:dyDescent="0.25">
      <c r="A3710" s="2" t="s">
        <v>5274</v>
      </c>
      <c r="B3710" s="2">
        <v>91</v>
      </c>
      <c r="C3710" s="2">
        <v>1652472</v>
      </c>
      <c r="D3710" s="2" t="s">
        <v>600</v>
      </c>
      <c r="E3710" s="2" t="s">
        <v>6297</v>
      </c>
      <c r="F3710" s="2" t="s">
        <v>1006</v>
      </c>
      <c r="G3710" s="2" t="s">
        <v>686</v>
      </c>
      <c r="H3710" s="2">
        <v>300000</v>
      </c>
      <c r="I3710" s="2">
        <v>6.9</v>
      </c>
      <c r="J3710" s="2">
        <f t="shared" si="28"/>
        <v>1352472</v>
      </c>
      <c r="K3710" s="2">
        <f t="shared" si="29"/>
        <v>-8.8289375437427681E-3</v>
      </c>
      <c r="L3710" s="2" t="str">
        <f>IF(ISNUMBER(SEARCH("|",IMDB_Movies!$D3710)),LEFT(IMDB_Movies!$D3710,SEARCH("|",IMDB_Movies!$D3710)-1),IMDB_Movies!$D3710)</f>
        <v>Comedy</v>
      </c>
      <c r="V3710" s="2"/>
      <c r="W3710" s="2"/>
    </row>
    <row r="3711" spans="1:23" ht="12.5" x14ac:dyDescent="0.25">
      <c r="A3711" s="2" t="s">
        <v>2174</v>
      </c>
      <c r="B3711" s="2">
        <v>80</v>
      </c>
      <c r="C3711" s="2">
        <v>2360184</v>
      </c>
      <c r="D3711" s="2" t="s">
        <v>891</v>
      </c>
      <c r="E3711" s="2" t="s">
        <v>6298</v>
      </c>
      <c r="F3711" s="2" t="s">
        <v>14</v>
      </c>
      <c r="G3711" s="2" t="s">
        <v>15</v>
      </c>
      <c r="H3711" s="2">
        <v>300000</v>
      </c>
      <c r="I3711" s="2">
        <v>7.1</v>
      </c>
      <c r="J3711" s="2">
        <f t="shared" si="28"/>
        <v>2060184</v>
      </c>
      <c r="K3711" s="2">
        <f t="shared" si="29"/>
        <v>-7.6360898547542851E-3</v>
      </c>
      <c r="L3711" s="2" t="str">
        <f>IF(ISNUMBER(SEARCH("|",IMDB_Movies!$D3711)),LEFT(IMDB_Movies!$D3711,SEARCH("|",IMDB_Movies!$D3711)-1),IMDB_Movies!$D3711)</f>
        <v>Comedy</v>
      </c>
      <c r="V3711" s="2"/>
      <c r="W3711" s="2"/>
    </row>
    <row r="3712" spans="1:23" ht="12.5" x14ac:dyDescent="0.25">
      <c r="A3712" s="2" t="s">
        <v>6299</v>
      </c>
      <c r="B3712" s="2">
        <v>76</v>
      </c>
      <c r="C3712" s="2">
        <v>255352</v>
      </c>
      <c r="D3712" s="2" t="s">
        <v>1180</v>
      </c>
      <c r="E3712" s="2" t="s">
        <v>6300</v>
      </c>
      <c r="F3712" s="2" t="s">
        <v>14</v>
      </c>
      <c r="G3712" s="2" t="s">
        <v>15</v>
      </c>
      <c r="H3712" s="2">
        <v>300000</v>
      </c>
      <c r="I3712" s="2">
        <v>6.7</v>
      </c>
      <c r="J3712" s="2">
        <f t="shared" si="28"/>
        <v>-44648</v>
      </c>
      <c r="K3712" s="2">
        <f t="shared" si="29"/>
        <v>-7.9247927788899351E-3</v>
      </c>
      <c r="L3712" s="2" t="str">
        <f>IF(ISNUMBER(SEARCH("|",IMDB_Movies!$D3712)),LEFT(IMDB_Movies!$D3712,SEARCH("|",IMDB_Movies!$D3712)-1),IMDB_Movies!$D3712)</f>
        <v>Drama</v>
      </c>
      <c r="V3712" s="2"/>
      <c r="W3712" s="2"/>
    </row>
    <row r="3713" spans="1:23" ht="12.5" x14ac:dyDescent="0.25">
      <c r="A3713" s="2" t="s">
        <v>6299</v>
      </c>
      <c r="B3713" s="2">
        <v>80</v>
      </c>
      <c r="C3713" s="2">
        <v>856942</v>
      </c>
      <c r="D3713" s="2" t="s">
        <v>1180</v>
      </c>
      <c r="E3713" s="2" t="s">
        <v>6301</v>
      </c>
      <c r="F3713" s="2" t="s">
        <v>14</v>
      </c>
      <c r="G3713" s="2" t="s">
        <v>15</v>
      </c>
      <c r="H3713" s="2">
        <v>200000</v>
      </c>
      <c r="I3713" s="2">
        <v>7.1</v>
      </c>
      <c r="J3713" s="2">
        <f t="shared" si="28"/>
        <v>656942</v>
      </c>
      <c r="K3713" s="2">
        <f t="shared" si="29"/>
        <v>-3.6319713838114265E-3</v>
      </c>
      <c r="L3713" s="2" t="str">
        <f>IF(ISNUMBER(SEARCH("|",IMDB_Movies!$D3713)),LEFT(IMDB_Movies!$D3713,SEARCH("|",IMDB_Movies!$D3713)-1),IMDB_Movies!$D3713)</f>
        <v>Drama</v>
      </c>
      <c r="V3713" s="2"/>
      <c r="W3713" s="2"/>
    </row>
    <row r="3714" spans="1:23" ht="12.5" x14ac:dyDescent="0.25">
      <c r="A3714" s="2" t="s">
        <v>6302</v>
      </c>
      <c r="B3714" s="2">
        <v>102</v>
      </c>
      <c r="C3714" s="2">
        <v>16892</v>
      </c>
      <c r="D3714" s="2" t="s">
        <v>2943</v>
      </c>
      <c r="E3714" s="2" t="s">
        <v>6303</v>
      </c>
      <c r="F3714" s="2" t="s">
        <v>14</v>
      </c>
      <c r="G3714" s="2" t="s">
        <v>2312</v>
      </c>
      <c r="H3714" s="2">
        <v>300000</v>
      </c>
      <c r="I3714" s="2">
        <v>7.6</v>
      </c>
      <c r="J3714" s="2">
        <f t="shared" si="28"/>
        <v>-283108</v>
      </c>
      <c r="K3714" s="2">
        <f t="shared" si="29"/>
        <v>-3.060473346405313E-3</v>
      </c>
      <c r="L3714" s="2" t="str">
        <f>IF(ISNUMBER(SEARCH("|",IMDB_Movies!$D3714)),LEFT(IMDB_Movies!$D3714,SEARCH("|",IMDB_Movies!$D3714)-1),IMDB_Movies!$D3714)</f>
        <v>Documentary</v>
      </c>
      <c r="V3714" s="2"/>
      <c r="W3714" s="2"/>
    </row>
    <row r="3715" spans="1:23" ht="12.5" x14ac:dyDescent="0.25">
      <c r="A3715" s="2" t="s">
        <v>6304</v>
      </c>
      <c r="B3715" s="2">
        <v>95</v>
      </c>
      <c r="C3715" s="2">
        <v>12438</v>
      </c>
      <c r="D3715" s="2" t="s">
        <v>85</v>
      </c>
      <c r="E3715" s="2" t="s">
        <v>6305</v>
      </c>
      <c r="F3715" s="2" t="s">
        <v>14</v>
      </c>
      <c r="G3715" s="2" t="s">
        <v>15</v>
      </c>
      <c r="H3715" s="2">
        <v>160000</v>
      </c>
      <c r="I3715" s="2">
        <v>8.1</v>
      </c>
      <c r="J3715" s="2">
        <f t="shared" si="28"/>
        <v>-147562</v>
      </c>
      <c r="K3715" s="2">
        <f t="shared" si="29"/>
        <v>1.9839990948452733E-3</v>
      </c>
      <c r="L3715" s="2" t="str">
        <f>IF(ISNUMBER(SEARCH("|",IMDB_Movies!$D3715)),LEFT(IMDB_Movies!$D3715,SEARCH("|",IMDB_Movies!$D3715)-1),IMDB_Movies!$D3715)</f>
        <v>Drama</v>
      </c>
      <c r="V3715" s="2"/>
      <c r="W3715" s="2"/>
    </row>
    <row r="3716" spans="1:23" ht="12.5" x14ac:dyDescent="0.25">
      <c r="A3716" s="2" t="s">
        <v>5358</v>
      </c>
      <c r="B3716" s="2">
        <v>94</v>
      </c>
      <c r="C3716" s="2">
        <v>40542</v>
      </c>
      <c r="D3716" s="2" t="s">
        <v>85</v>
      </c>
      <c r="E3716" s="2" t="s">
        <v>6306</v>
      </c>
      <c r="F3716" s="2" t="s">
        <v>14</v>
      </c>
      <c r="G3716" s="2" t="s">
        <v>15</v>
      </c>
      <c r="H3716" s="2">
        <v>300000</v>
      </c>
      <c r="I3716" s="2">
        <v>5.5</v>
      </c>
      <c r="J3716" s="2">
        <f t="shared" si="28"/>
        <v>-259458</v>
      </c>
      <c r="K3716" s="2">
        <f t="shared" si="29"/>
        <v>1.3440061646417699E-3</v>
      </c>
      <c r="L3716" s="2" t="str">
        <f>IF(ISNUMBER(SEARCH("|",IMDB_Movies!$D3716)),LEFT(IMDB_Movies!$D3716,SEARCH("|",IMDB_Movies!$D3716)-1),IMDB_Movies!$D3716)</f>
        <v>Drama</v>
      </c>
      <c r="V3716" s="2"/>
      <c r="W3716" s="2"/>
    </row>
    <row r="3717" spans="1:23" ht="12.5" x14ac:dyDescent="0.25">
      <c r="A3717" s="2" t="s">
        <v>6307</v>
      </c>
      <c r="B3717" s="2">
        <v>109</v>
      </c>
      <c r="C3717" s="2">
        <v>5199</v>
      </c>
      <c r="D3717" s="2" t="s">
        <v>1307</v>
      </c>
      <c r="E3717" s="2" t="s">
        <v>6308</v>
      </c>
      <c r="F3717" s="2" t="s">
        <v>14</v>
      </c>
      <c r="G3717" s="2" t="s">
        <v>15</v>
      </c>
      <c r="H3717" s="2">
        <v>200000</v>
      </c>
      <c r="I3717" s="2">
        <v>6.6</v>
      </c>
      <c r="J3717" s="2">
        <f t="shared" si="28"/>
        <v>-194801</v>
      </c>
      <c r="K3717" s="2">
        <f t="shared" si="29"/>
        <v>6.6022508308333375E-3</v>
      </c>
      <c r="L3717" s="2" t="str">
        <f>IF(ISNUMBER(SEARCH("|",IMDB_Movies!$D3717)),LEFT(IMDB_Movies!$D3717,SEARCH("|",IMDB_Movies!$D3717)-1),IMDB_Movies!$D3717)</f>
        <v>Drama</v>
      </c>
      <c r="V3717" s="2"/>
      <c r="W3717" s="2"/>
    </row>
    <row r="3718" spans="1:23" ht="12.5" x14ac:dyDescent="0.25">
      <c r="A3718" s="2" t="s">
        <v>6309</v>
      </c>
      <c r="B3718" s="2">
        <v>95</v>
      </c>
      <c r="C3718" s="2">
        <v>2468</v>
      </c>
      <c r="D3718" s="2" t="s">
        <v>6110</v>
      </c>
      <c r="E3718" s="2" t="s">
        <v>6310</v>
      </c>
      <c r="F3718" s="2" t="s">
        <v>14</v>
      </c>
      <c r="G3718" s="2" t="s">
        <v>15</v>
      </c>
      <c r="H3718" s="2">
        <v>300000</v>
      </c>
      <c r="I3718" s="2">
        <v>4.8</v>
      </c>
      <c r="J3718" s="2">
        <f t="shared" si="28"/>
        <v>-297532</v>
      </c>
      <c r="K3718" s="2">
        <f t="shared" si="29"/>
        <v>7.7585316241387883E-3</v>
      </c>
      <c r="L3718" s="2" t="str">
        <f>IF(ISNUMBER(SEARCH("|",IMDB_Movies!$D3718)),LEFT(IMDB_Movies!$D3718,SEARCH("|",IMDB_Movies!$D3718)-1),IMDB_Movies!$D3718)</f>
        <v>Thriller</v>
      </c>
      <c r="V3718" s="2"/>
      <c r="W3718" s="2"/>
    </row>
    <row r="3719" spans="1:23" ht="12.5" x14ac:dyDescent="0.25">
      <c r="A3719" s="2" t="s">
        <v>6311</v>
      </c>
      <c r="B3719" s="2">
        <v>90</v>
      </c>
      <c r="C3719" s="2">
        <v>318622</v>
      </c>
      <c r="D3719" s="2" t="s">
        <v>1914</v>
      </c>
      <c r="E3719" s="2" t="s">
        <v>6312</v>
      </c>
      <c r="F3719" s="2" t="s">
        <v>14</v>
      </c>
      <c r="G3719" s="2" t="s">
        <v>15</v>
      </c>
      <c r="H3719" s="2">
        <v>270000</v>
      </c>
      <c r="I3719" s="2">
        <v>6.4</v>
      </c>
      <c r="J3719" s="2">
        <f t="shared" si="28"/>
        <v>48622</v>
      </c>
      <c r="K3719" s="2">
        <f t="shared" si="29"/>
        <v>1.3433604929414516E-2</v>
      </c>
      <c r="L3719" s="2" t="str">
        <f>IF(ISNUMBER(SEARCH("|",IMDB_Movies!$D3719)),LEFT(IMDB_Movies!$D3719,SEARCH("|",IMDB_Movies!$D3719)-1),IMDB_Movies!$D3719)</f>
        <v>Biography</v>
      </c>
      <c r="V3719" s="2"/>
      <c r="W3719" s="2"/>
    </row>
    <row r="3720" spans="1:23" ht="12.5" x14ac:dyDescent="0.25">
      <c r="A3720" s="2" t="s">
        <v>2378</v>
      </c>
      <c r="B3720" s="2">
        <v>113</v>
      </c>
      <c r="C3720" s="2">
        <v>12006514</v>
      </c>
      <c r="D3720" s="2" t="s">
        <v>514</v>
      </c>
      <c r="E3720" s="2" t="s">
        <v>6313</v>
      </c>
      <c r="F3720" s="2" t="s">
        <v>14</v>
      </c>
      <c r="G3720" s="2" t="s">
        <v>15</v>
      </c>
      <c r="H3720" s="2">
        <v>250000</v>
      </c>
      <c r="I3720" s="2">
        <v>7.3</v>
      </c>
      <c r="J3720" s="2">
        <f t="shared" si="28"/>
        <v>11756514</v>
      </c>
      <c r="K3720" s="2">
        <f t="shared" si="29"/>
        <v>1.7367391132577424E-2</v>
      </c>
      <c r="L3720" s="2" t="str">
        <f>IF(ISNUMBER(SEARCH("|",IMDB_Movies!$D3720)),LEFT(IMDB_Movies!$D3720,SEARCH("|",IMDB_Movies!$D3720)-1),IMDB_Movies!$D3720)</f>
        <v>Comedy</v>
      </c>
      <c r="V3720" s="2"/>
      <c r="W3720" s="2"/>
    </row>
    <row r="3721" spans="1:23" ht="12.5" x14ac:dyDescent="0.25">
      <c r="A3721" s="2" t="s">
        <v>4972</v>
      </c>
      <c r="B3721" s="2">
        <v>91</v>
      </c>
      <c r="C3721" s="2">
        <v>4186931</v>
      </c>
      <c r="D3721" s="2" t="s">
        <v>514</v>
      </c>
      <c r="E3721" s="2" t="s">
        <v>6314</v>
      </c>
      <c r="F3721" s="2" t="s">
        <v>14</v>
      </c>
      <c r="G3721" s="2" t="s">
        <v>15</v>
      </c>
      <c r="H3721" s="2">
        <v>250000</v>
      </c>
      <c r="I3721" s="2">
        <v>6.9</v>
      </c>
      <c r="J3721" s="2">
        <f t="shared" si="28"/>
        <v>3936931</v>
      </c>
      <c r="K3721" s="2">
        <f t="shared" si="29"/>
        <v>3.3742108116411001E-3</v>
      </c>
      <c r="L3721" s="2" t="str">
        <f>IF(ISNUMBER(SEARCH("|",IMDB_Movies!$D3721)),LEFT(IMDB_Movies!$D3721,SEARCH("|",IMDB_Movies!$D3721)-1),IMDB_Movies!$D3721)</f>
        <v>Comedy</v>
      </c>
      <c r="V3721" s="2"/>
      <c r="W3721" s="2"/>
    </row>
    <row r="3722" spans="1:23" ht="12.5" x14ac:dyDescent="0.25">
      <c r="A3722" s="2" t="s">
        <v>145</v>
      </c>
      <c r="B3722" s="2">
        <v>98</v>
      </c>
      <c r="C3722" s="2">
        <v>3799339</v>
      </c>
      <c r="D3722" s="2" t="s">
        <v>4542</v>
      </c>
      <c r="E3722" s="2" t="s">
        <v>6315</v>
      </c>
      <c r="F3722" s="2" t="s">
        <v>14</v>
      </c>
      <c r="G3722" s="2" t="s">
        <v>15</v>
      </c>
      <c r="H3722" s="2">
        <v>250000</v>
      </c>
      <c r="I3722" s="2">
        <v>7.2</v>
      </c>
      <c r="J3722" s="2">
        <f t="shared" si="28"/>
        <v>3549339</v>
      </c>
      <c r="K3722" s="2">
        <f t="shared" si="29"/>
        <v>4.6666063895535909E-4</v>
      </c>
      <c r="L3722" s="2" t="str">
        <f>IF(ISNUMBER(SEARCH("|",IMDB_Movies!$D3722)),LEFT(IMDB_Movies!$D3722,SEARCH("|",IMDB_Movies!$D3722)-1),IMDB_Movies!$D3722)</f>
        <v>Crime</v>
      </c>
      <c r="V3722" s="2"/>
      <c r="W3722" s="2"/>
    </row>
    <row r="3723" spans="1:23" ht="12.5" x14ac:dyDescent="0.25">
      <c r="A3723" s="2" t="s">
        <v>6316</v>
      </c>
      <c r="B3723" s="2">
        <v>94</v>
      </c>
      <c r="C3723" s="2">
        <v>1977544</v>
      </c>
      <c r="D3723" s="2" t="s">
        <v>514</v>
      </c>
      <c r="E3723" s="2" t="s">
        <v>6317</v>
      </c>
      <c r="F3723" s="2" t="s">
        <v>14</v>
      </c>
      <c r="G3723" s="2" t="s">
        <v>15</v>
      </c>
      <c r="H3723" s="2">
        <v>250000</v>
      </c>
      <c r="I3723" s="2">
        <v>6.5</v>
      </c>
      <c r="J3723" s="2">
        <f t="shared" si="28"/>
        <v>1727544</v>
      </c>
      <c r="K3723" s="2">
        <f t="shared" si="29"/>
        <v>-1.9260082366172886E-3</v>
      </c>
      <c r="L3723" s="2" t="str">
        <f>IF(ISNUMBER(SEARCH("|",IMDB_Movies!$D3723)),LEFT(IMDB_Movies!$D3723,SEARCH("|",IMDB_Movies!$D3723)-1),IMDB_Movies!$D3723)</f>
        <v>Comedy</v>
      </c>
      <c r="V3723" s="2"/>
      <c r="W3723" s="2"/>
    </row>
    <row r="3724" spans="1:23" ht="12.5" x14ac:dyDescent="0.25">
      <c r="A3724" s="2" t="s">
        <v>2932</v>
      </c>
      <c r="B3724" s="2">
        <v>96</v>
      </c>
      <c r="C3724" s="2">
        <v>1050600</v>
      </c>
      <c r="D3724" s="2" t="s">
        <v>891</v>
      </c>
      <c r="E3724" s="2" t="s">
        <v>6318</v>
      </c>
      <c r="F3724" s="2" t="s">
        <v>14</v>
      </c>
      <c r="G3724" s="2" t="s">
        <v>15</v>
      </c>
      <c r="H3724" s="2">
        <v>250000</v>
      </c>
      <c r="I3724" s="2">
        <v>6.6</v>
      </c>
      <c r="J3724" s="2">
        <f t="shared" si="28"/>
        <v>800600</v>
      </c>
      <c r="K3724" s="2">
        <f t="shared" si="29"/>
        <v>-1.4337880626242015E-3</v>
      </c>
      <c r="L3724" s="2" t="str">
        <f>IF(ISNUMBER(SEARCH("|",IMDB_Movies!$D3724)),LEFT(IMDB_Movies!$D3724,SEARCH("|",IMDB_Movies!$D3724)-1),IMDB_Movies!$D3724)</f>
        <v>Comedy</v>
      </c>
      <c r="V3724" s="2"/>
      <c r="W3724" s="2"/>
    </row>
    <row r="3725" spans="1:23" ht="12.5" x14ac:dyDescent="0.25">
      <c r="A3725" s="2" t="s">
        <v>6319</v>
      </c>
      <c r="B3725" s="2">
        <v>100</v>
      </c>
      <c r="C3725" s="2">
        <v>902835</v>
      </c>
      <c r="D3725" s="2" t="s">
        <v>514</v>
      </c>
      <c r="E3725" s="2" t="s">
        <v>6320</v>
      </c>
      <c r="F3725" s="2" t="s">
        <v>14</v>
      </c>
      <c r="G3725" s="2" t="s">
        <v>15</v>
      </c>
      <c r="H3725" s="2">
        <v>250000</v>
      </c>
      <c r="I3725" s="2">
        <v>6.7</v>
      </c>
      <c r="J3725" s="2">
        <f t="shared" si="28"/>
        <v>652835</v>
      </c>
      <c r="K3725" s="2">
        <f t="shared" si="29"/>
        <v>6.1206908443864577E-4</v>
      </c>
      <c r="L3725" s="2" t="str">
        <f>IF(ISNUMBER(SEARCH("|",IMDB_Movies!$D3725)),LEFT(IMDB_Movies!$D3725,SEARCH("|",IMDB_Movies!$D3725)-1),IMDB_Movies!$D3725)</f>
        <v>Comedy</v>
      </c>
      <c r="V3725" s="2"/>
      <c r="W3725" s="2"/>
    </row>
    <row r="3726" spans="1:23" ht="12.5" x14ac:dyDescent="0.25">
      <c r="A3726" s="2" t="s">
        <v>2828</v>
      </c>
      <c r="B3726" s="2">
        <v>90</v>
      </c>
      <c r="C3726" s="2">
        <v>489220</v>
      </c>
      <c r="D3726" s="2" t="s">
        <v>1710</v>
      </c>
      <c r="E3726" s="2" t="s">
        <v>6321</v>
      </c>
      <c r="F3726" s="2" t="s">
        <v>14</v>
      </c>
      <c r="G3726" s="2" t="s">
        <v>104</v>
      </c>
      <c r="H3726" s="2">
        <v>365000</v>
      </c>
      <c r="I3726" s="2">
        <v>7.3</v>
      </c>
      <c r="J3726" s="2">
        <f t="shared" si="28"/>
        <v>124220</v>
      </c>
      <c r="K3726" s="2">
        <f t="shared" si="29"/>
        <v>2.9834323902425118E-3</v>
      </c>
      <c r="L3726" s="2" t="str">
        <f>IF(ISNUMBER(SEARCH("|",IMDB_Movies!$D3726)),LEFT(IMDB_Movies!$D3726,SEARCH("|",IMDB_Movies!$D3726)-1),IMDB_Movies!$D3726)</f>
        <v>Mystery</v>
      </c>
      <c r="V3726" s="2"/>
      <c r="W3726" s="2"/>
    </row>
    <row r="3727" spans="1:23" ht="12.5" x14ac:dyDescent="0.25">
      <c r="A3727" s="2" t="s">
        <v>6322</v>
      </c>
      <c r="B3727" s="2">
        <v>76</v>
      </c>
      <c r="C3727" s="2">
        <v>212285</v>
      </c>
      <c r="D3727" s="2" t="s">
        <v>600</v>
      </c>
      <c r="E3727" s="2" t="s">
        <v>6323</v>
      </c>
      <c r="F3727" s="2" t="s">
        <v>14</v>
      </c>
      <c r="G3727" s="2" t="s">
        <v>135</v>
      </c>
      <c r="H3727" s="2">
        <v>250000</v>
      </c>
      <c r="I3727" s="2">
        <v>6.4</v>
      </c>
      <c r="J3727" s="2">
        <f t="shared" si="28"/>
        <v>-37715</v>
      </c>
      <c r="K3727" s="2">
        <f t="shared" si="29"/>
        <v>1.0394032115535055E-2</v>
      </c>
      <c r="L3727" s="2" t="str">
        <f>IF(ISNUMBER(SEARCH("|",IMDB_Movies!$D3727)),LEFT(IMDB_Movies!$D3727,SEARCH("|",IMDB_Movies!$D3727)-1),IMDB_Movies!$D3727)</f>
        <v>Comedy</v>
      </c>
      <c r="V3727" s="2"/>
      <c r="W3727" s="2"/>
    </row>
    <row r="3728" spans="1:23" ht="12.5" x14ac:dyDescent="0.25">
      <c r="A3728" s="2" t="s">
        <v>6324</v>
      </c>
      <c r="B3728" s="2">
        <v>75</v>
      </c>
      <c r="C3728" s="2">
        <v>203134</v>
      </c>
      <c r="D3728" s="2" t="s">
        <v>6325</v>
      </c>
      <c r="E3728" s="2" t="s">
        <v>6326</v>
      </c>
      <c r="F3728" s="2" t="s">
        <v>14</v>
      </c>
      <c r="G3728" s="2" t="s">
        <v>15</v>
      </c>
      <c r="H3728" s="2">
        <v>250000</v>
      </c>
      <c r="I3728" s="2">
        <v>7</v>
      </c>
      <c r="J3728" s="2">
        <f t="shared" si="28"/>
        <v>-46866</v>
      </c>
      <c r="K3728" s="2">
        <f t="shared" si="29"/>
        <v>1.4314269147768423E-2</v>
      </c>
      <c r="L3728" s="2" t="str">
        <f>IF(ISNUMBER(SEARCH("|",IMDB_Movies!$D3728)),LEFT(IMDB_Movies!$D3728,SEARCH("|",IMDB_Movies!$D3728)-1),IMDB_Movies!$D3728)</f>
        <v>Animation</v>
      </c>
      <c r="V3728" s="2"/>
      <c r="W3728" s="2"/>
    </row>
    <row r="3729" spans="1:23" ht="12.5" x14ac:dyDescent="0.25">
      <c r="A3729" s="2" t="s">
        <v>6217</v>
      </c>
      <c r="B3729" s="2">
        <v>78</v>
      </c>
      <c r="C3729" s="2">
        <v>191309</v>
      </c>
      <c r="D3729" s="2" t="s">
        <v>690</v>
      </c>
      <c r="E3729" s="2" t="s">
        <v>6327</v>
      </c>
      <c r="F3729" s="2" t="s">
        <v>14</v>
      </c>
      <c r="G3729" s="2" t="s">
        <v>15</v>
      </c>
      <c r="H3729" s="2">
        <v>150000</v>
      </c>
      <c r="I3729" s="2">
        <v>5.5</v>
      </c>
      <c r="J3729" s="2">
        <f t="shared" si="28"/>
        <v>41309</v>
      </c>
      <c r="K3729" s="2">
        <f t="shared" si="29"/>
        <v>1.8416935017009015E-2</v>
      </c>
      <c r="L3729" s="2" t="str">
        <f>IF(ISNUMBER(SEARCH("|",IMDB_Movies!$D3729)),LEFT(IMDB_Movies!$D3729,SEARCH("|",IMDB_Movies!$D3729)-1),IMDB_Movies!$D3729)</f>
        <v>Drama</v>
      </c>
      <c r="V3729" s="2"/>
      <c r="W3729" s="2"/>
    </row>
    <row r="3730" spans="1:23" ht="12.5" x14ac:dyDescent="0.25">
      <c r="A3730" s="2" t="s">
        <v>6328</v>
      </c>
      <c r="B3730" s="2">
        <v>90</v>
      </c>
      <c r="C3730" s="2">
        <v>3388210</v>
      </c>
      <c r="D3730" s="2" t="s">
        <v>85</v>
      </c>
      <c r="E3730" s="2" t="s">
        <v>6329</v>
      </c>
      <c r="F3730" s="2" t="s">
        <v>14</v>
      </c>
      <c r="G3730" s="2" t="s">
        <v>15</v>
      </c>
      <c r="H3730" s="2">
        <v>250000</v>
      </c>
      <c r="I3730" s="2">
        <v>6.7</v>
      </c>
      <c r="J3730" s="2">
        <f t="shared" si="28"/>
        <v>3138210</v>
      </c>
      <c r="K3730" s="2">
        <f t="shared" si="29"/>
        <v>1.818878813313159E-2</v>
      </c>
      <c r="L3730" s="2" t="str">
        <f>IF(ISNUMBER(SEARCH("|",IMDB_Movies!$D3730)),LEFT(IMDB_Movies!$D3730,SEARCH("|",IMDB_Movies!$D3730)-1),IMDB_Movies!$D3730)</f>
        <v>Drama</v>
      </c>
      <c r="V3730" s="2"/>
      <c r="W3730" s="2"/>
    </row>
    <row r="3731" spans="1:23" ht="12.5" x14ac:dyDescent="0.25">
      <c r="A3731" s="2" t="s">
        <v>5532</v>
      </c>
      <c r="B3731" s="2">
        <v>92</v>
      </c>
      <c r="C3731" s="2">
        <v>177840</v>
      </c>
      <c r="D3731" s="2" t="s">
        <v>2525</v>
      </c>
      <c r="E3731" s="2" t="s">
        <v>6330</v>
      </c>
      <c r="F3731" s="2" t="s">
        <v>14</v>
      </c>
      <c r="G3731" s="2" t="s">
        <v>22</v>
      </c>
      <c r="H3731" s="2">
        <v>250000</v>
      </c>
      <c r="I3731" s="2">
        <v>6.1</v>
      </c>
      <c r="J3731" s="2">
        <f t="shared" si="28"/>
        <v>-72160</v>
      </c>
      <c r="K3731" s="2">
        <f t="shared" si="29"/>
        <v>1.6499843200870015E-2</v>
      </c>
      <c r="L3731" s="2" t="str">
        <f>IF(ISNUMBER(SEARCH("|",IMDB_Movies!$D3731)),LEFT(IMDB_Movies!$D3731,SEARCH("|",IMDB_Movies!$D3731)-1),IMDB_Movies!$D3731)</f>
        <v>Comedy</v>
      </c>
      <c r="V3731" s="2"/>
      <c r="W3731" s="2"/>
    </row>
    <row r="3732" spans="1:23" ht="12.5" x14ac:dyDescent="0.25">
      <c r="A3732" s="2" t="s">
        <v>5112</v>
      </c>
      <c r="B3732" s="2">
        <v>99</v>
      </c>
      <c r="C3732" s="2">
        <v>49494</v>
      </c>
      <c r="D3732" s="2" t="s">
        <v>1400</v>
      </c>
      <c r="E3732" s="2" t="s">
        <v>6331</v>
      </c>
      <c r="F3732" s="2" t="s">
        <v>14</v>
      </c>
      <c r="G3732" s="2" t="s">
        <v>15</v>
      </c>
      <c r="H3732" s="2">
        <v>250000</v>
      </c>
      <c r="I3732" s="2">
        <v>3.9</v>
      </c>
      <c r="J3732" s="2">
        <f t="shared" si="28"/>
        <v>-200506</v>
      </c>
      <c r="K3732" s="2">
        <f t="shared" si="29"/>
        <v>2.0958664934608694E-2</v>
      </c>
      <c r="L3732" s="2" t="str">
        <f>IF(ISNUMBER(SEARCH("|",IMDB_Movies!$D3732)),LEFT(IMDB_Movies!$D3732,SEARCH("|",IMDB_Movies!$D3732)-1),IMDB_Movies!$D3732)</f>
        <v>Drama</v>
      </c>
      <c r="V3732" s="2"/>
      <c r="W3732" s="2"/>
    </row>
    <row r="3733" spans="1:23" ht="12.5" x14ac:dyDescent="0.25">
      <c r="A3733" s="2" t="s">
        <v>6332</v>
      </c>
      <c r="B3733" s="2">
        <v>81</v>
      </c>
      <c r="C3733" s="2">
        <v>18195</v>
      </c>
      <c r="D3733" s="2" t="s">
        <v>6333</v>
      </c>
      <c r="E3733" s="2" t="s">
        <v>6334</v>
      </c>
      <c r="F3733" s="2" t="s">
        <v>14</v>
      </c>
      <c r="G3733" s="2" t="s">
        <v>15</v>
      </c>
      <c r="H3733" s="2">
        <v>250000</v>
      </c>
      <c r="I3733" s="2">
        <v>6.3</v>
      </c>
      <c r="J3733" s="2">
        <f t="shared" si="28"/>
        <v>-231805</v>
      </c>
      <c r="K3733" s="2">
        <f t="shared" si="29"/>
        <v>2.5881929237202221E-2</v>
      </c>
      <c r="L3733" s="2" t="str">
        <f>IF(ISNUMBER(SEARCH("|",IMDB_Movies!$D3733)),LEFT(IMDB_Movies!$D3733,SEARCH("|",IMDB_Movies!$D3733)-1),IMDB_Movies!$D3733)</f>
        <v>Sci-Fi</v>
      </c>
      <c r="V3733" s="2"/>
      <c r="W3733" s="2"/>
    </row>
    <row r="3734" spans="1:23" ht="12.5" x14ac:dyDescent="0.25">
      <c r="A3734" s="2" t="s">
        <v>6335</v>
      </c>
      <c r="B3734" s="2">
        <v>86</v>
      </c>
      <c r="C3734" s="2">
        <v>111300</v>
      </c>
      <c r="D3734" s="2" t="s">
        <v>2943</v>
      </c>
      <c r="E3734" s="2" t="s">
        <v>6336</v>
      </c>
      <c r="F3734" s="2" t="s">
        <v>14</v>
      </c>
      <c r="G3734" s="2" t="s">
        <v>15</v>
      </c>
      <c r="H3734" s="2">
        <v>225000</v>
      </c>
      <c r="I3734" s="2">
        <v>7.5</v>
      </c>
      <c r="J3734" s="2">
        <f t="shared" si="28"/>
        <v>-113700</v>
      </c>
      <c r="K3734" s="2">
        <f t="shared" si="29"/>
        <v>3.1104235003233553E-2</v>
      </c>
      <c r="L3734" s="2" t="str">
        <f>IF(ISNUMBER(SEARCH("|",IMDB_Movies!$D3734)),LEFT(IMDB_Movies!$D3734,SEARCH("|",IMDB_Movies!$D3734)-1),IMDB_Movies!$D3734)</f>
        <v>Documentary</v>
      </c>
      <c r="V3734" s="2"/>
      <c r="W3734" s="2"/>
    </row>
    <row r="3735" spans="1:23" ht="12.5" x14ac:dyDescent="0.25">
      <c r="A3735" s="2" t="s">
        <v>6337</v>
      </c>
      <c r="B3735" s="2">
        <v>106</v>
      </c>
      <c r="C3735" s="2">
        <v>1027119</v>
      </c>
      <c r="D3735" s="2" t="s">
        <v>1180</v>
      </c>
      <c r="E3735" s="2" t="s">
        <v>6338</v>
      </c>
      <c r="F3735" s="2" t="s">
        <v>14</v>
      </c>
      <c r="G3735" s="2" t="s">
        <v>15</v>
      </c>
      <c r="H3735" s="2">
        <v>225000</v>
      </c>
      <c r="I3735" s="2">
        <v>7</v>
      </c>
      <c r="J3735" s="2">
        <f t="shared" si="28"/>
        <v>802119</v>
      </c>
      <c r="K3735" s="2">
        <f t="shared" si="29"/>
        <v>3.507798799042007E-2</v>
      </c>
      <c r="L3735" s="2" t="str">
        <f>IF(ISNUMBER(SEARCH("|",IMDB_Movies!$D3735)),LEFT(IMDB_Movies!$D3735,SEARCH("|",IMDB_Movies!$D3735)-1),IMDB_Movies!$D3735)</f>
        <v>Drama</v>
      </c>
      <c r="V3735" s="2"/>
      <c r="W3735" s="2"/>
    </row>
    <row r="3736" spans="1:23" ht="12.5" x14ac:dyDescent="0.25">
      <c r="A3736" s="2" t="s">
        <v>6339</v>
      </c>
      <c r="B3736" s="2">
        <v>80</v>
      </c>
      <c r="C3736" s="2">
        <v>5000000</v>
      </c>
      <c r="D3736" s="2" t="s">
        <v>6340</v>
      </c>
      <c r="E3736" s="2" t="s">
        <v>6341</v>
      </c>
      <c r="F3736" s="2" t="s">
        <v>14</v>
      </c>
      <c r="G3736" s="2" t="s">
        <v>15</v>
      </c>
      <c r="H3736" s="2">
        <v>210000</v>
      </c>
      <c r="I3736" s="2">
        <v>6.7</v>
      </c>
      <c r="J3736" s="2">
        <f t="shared" si="28"/>
        <v>4790000</v>
      </c>
      <c r="K3736" s="2">
        <f t="shared" si="29"/>
        <v>3.771479725731984E-2</v>
      </c>
      <c r="L3736" s="2" t="str">
        <f>IF(ISNUMBER(SEARCH("|",IMDB_Movies!$D3736)),LEFT(IMDB_Movies!$D3736,SEARCH("|",IMDB_Movies!$D3736)-1),IMDB_Movies!$D3736)</f>
        <v>Adventure</v>
      </c>
      <c r="V3736" s="2"/>
      <c r="W3736" s="2"/>
    </row>
    <row r="3737" spans="1:23" ht="12.5" x14ac:dyDescent="0.25">
      <c r="A3737" s="2" t="s">
        <v>206</v>
      </c>
      <c r="B3737" s="2">
        <v>96</v>
      </c>
      <c r="C3737" s="2">
        <v>4505922</v>
      </c>
      <c r="D3737" s="2" t="s">
        <v>891</v>
      </c>
      <c r="E3737" s="2" t="s">
        <v>6342</v>
      </c>
      <c r="F3737" s="2" t="s">
        <v>14</v>
      </c>
      <c r="G3737" s="2" t="s">
        <v>15</v>
      </c>
      <c r="H3737" s="2">
        <v>200000</v>
      </c>
      <c r="I3737" s="2">
        <v>7.4</v>
      </c>
      <c r="J3737" s="2">
        <f t="shared" si="28"/>
        <v>4305922</v>
      </c>
      <c r="K3737" s="2">
        <f t="shared" si="29"/>
        <v>3.4778176135629661E-2</v>
      </c>
      <c r="L3737" s="2" t="str">
        <f>IF(ISNUMBER(SEARCH("|",IMDB_Movies!$D3737)),LEFT(IMDB_Movies!$D3737,SEARCH("|",IMDB_Movies!$D3737)-1),IMDB_Movies!$D3737)</f>
        <v>Comedy</v>
      </c>
      <c r="V3737" s="2"/>
      <c r="W3737" s="2"/>
    </row>
    <row r="3738" spans="1:23" ht="12.5" x14ac:dyDescent="0.25">
      <c r="A3738" s="2" t="s">
        <v>2860</v>
      </c>
      <c r="B3738" s="2">
        <v>99</v>
      </c>
      <c r="C3738" s="2">
        <v>3500000</v>
      </c>
      <c r="D3738" s="2" t="s">
        <v>3265</v>
      </c>
      <c r="E3738" s="2" t="s">
        <v>6343</v>
      </c>
      <c r="F3738" s="2" t="s">
        <v>3189</v>
      </c>
      <c r="G3738" s="2" t="s">
        <v>2862</v>
      </c>
      <c r="H3738" s="2">
        <v>200000</v>
      </c>
      <c r="I3738" s="2">
        <v>8</v>
      </c>
      <c r="J3738" s="2">
        <f t="shared" si="28"/>
        <v>3300000</v>
      </c>
      <c r="K3738" s="2">
        <f t="shared" si="29"/>
        <v>3.271534002839166E-2</v>
      </c>
      <c r="L3738" s="2" t="str">
        <f>IF(ISNUMBER(SEARCH("|",IMDB_Movies!$D3738)),LEFT(IMDB_Movies!$D3738,SEARCH("|",IMDB_Movies!$D3738)-1),IMDB_Movies!$D3738)</f>
        <v>Action</v>
      </c>
      <c r="V3738" s="2"/>
      <c r="W3738" s="2"/>
    </row>
    <row r="3739" spans="1:23" ht="12.5" x14ac:dyDescent="0.25">
      <c r="A3739" s="2" t="s">
        <v>6344</v>
      </c>
      <c r="B3739" s="2">
        <v>85</v>
      </c>
      <c r="C3739" s="2">
        <v>381225</v>
      </c>
      <c r="D3739" s="2" t="s">
        <v>2943</v>
      </c>
      <c r="E3739" s="2" t="s">
        <v>6345</v>
      </c>
      <c r="F3739" s="2" t="s">
        <v>14</v>
      </c>
      <c r="G3739" s="2" t="s">
        <v>15</v>
      </c>
      <c r="H3739" s="2">
        <v>200000</v>
      </c>
      <c r="I3739" s="2">
        <v>7.2</v>
      </c>
      <c r="J3739" s="2">
        <f t="shared" si="28"/>
        <v>181225</v>
      </c>
      <c r="K3739" s="2">
        <f t="shared" si="29"/>
        <v>3.1682802904916298E-2</v>
      </c>
      <c r="L3739" s="2" t="str">
        <f>IF(ISNUMBER(SEARCH("|",IMDB_Movies!$D3739)),LEFT(IMDB_Movies!$D3739,SEARCH("|",IMDB_Movies!$D3739)-1),IMDB_Movies!$D3739)</f>
        <v>Documentary</v>
      </c>
      <c r="V3739" s="2"/>
      <c r="W3739" s="2"/>
    </row>
    <row r="3740" spans="1:23" ht="12.5" x14ac:dyDescent="0.25">
      <c r="A3740" s="2" t="s">
        <v>6346</v>
      </c>
      <c r="B3740" s="2">
        <v>101</v>
      </c>
      <c r="C3740" s="2">
        <v>2428241</v>
      </c>
      <c r="D3740" s="2" t="s">
        <v>1180</v>
      </c>
      <c r="E3740" s="2" t="s">
        <v>6347</v>
      </c>
      <c r="F3740" s="2" t="s">
        <v>14</v>
      </c>
      <c r="G3740" s="2" t="s">
        <v>15</v>
      </c>
      <c r="H3740" s="2">
        <v>200000</v>
      </c>
      <c r="I3740" s="2">
        <v>6.4</v>
      </c>
      <c r="J3740" s="2">
        <f t="shared" si="28"/>
        <v>2228241</v>
      </c>
      <c r="K3740" s="2">
        <f t="shared" si="29"/>
        <v>3.4371965839353029E-2</v>
      </c>
      <c r="L3740" s="2" t="str">
        <f>IF(ISNUMBER(SEARCH("|",IMDB_Movies!$D3740)),LEFT(IMDB_Movies!$D3740,SEARCH("|",IMDB_Movies!$D3740)-1),IMDB_Movies!$D3740)</f>
        <v>Drama</v>
      </c>
      <c r="V3740" s="2"/>
      <c r="W3740" s="2"/>
    </row>
    <row r="3741" spans="1:23" ht="12.5" x14ac:dyDescent="0.25">
      <c r="A3741" s="2" t="s">
        <v>3481</v>
      </c>
      <c r="B3741" s="2">
        <v>97</v>
      </c>
      <c r="C3741" s="2">
        <v>78030</v>
      </c>
      <c r="D3741" s="2" t="s">
        <v>1180</v>
      </c>
      <c r="E3741" s="2" t="s">
        <v>6348</v>
      </c>
      <c r="F3741" s="2" t="s">
        <v>14</v>
      </c>
      <c r="G3741" s="2" t="s">
        <v>15</v>
      </c>
      <c r="H3741" s="2">
        <v>200000</v>
      </c>
      <c r="I3741" s="2">
        <v>6.5</v>
      </c>
      <c r="J3741" s="2">
        <f t="shared" si="28"/>
        <v>-121970</v>
      </c>
      <c r="K3741" s="2">
        <f t="shared" si="29"/>
        <v>3.4614732129503244E-2</v>
      </c>
      <c r="L3741" s="2" t="str">
        <f>IF(ISNUMBER(SEARCH("|",IMDB_Movies!$D3741)),LEFT(IMDB_Movies!$D3741,SEARCH("|",IMDB_Movies!$D3741)-1),IMDB_Movies!$D3741)</f>
        <v>Drama</v>
      </c>
      <c r="V3741" s="2"/>
      <c r="W3741" s="2"/>
    </row>
    <row r="3742" spans="1:23" ht="12.5" x14ac:dyDescent="0.25">
      <c r="A3742" s="2" t="s">
        <v>6349</v>
      </c>
      <c r="B3742" s="2">
        <v>103</v>
      </c>
      <c r="C3742" s="2">
        <v>174682</v>
      </c>
      <c r="D3742" s="2" t="s">
        <v>2082</v>
      </c>
      <c r="E3742" s="2" t="s">
        <v>6350</v>
      </c>
      <c r="F3742" s="2" t="s">
        <v>14</v>
      </c>
      <c r="G3742" s="2" t="s">
        <v>15</v>
      </c>
      <c r="H3742" s="2">
        <v>200000</v>
      </c>
      <c r="I3742" s="2">
        <v>6.9</v>
      </c>
      <c r="J3742" s="2">
        <f t="shared" si="28"/>
        <v>-25318</v>
      </c>
      <c r="K3742" s="2">
        <f t="shared" si="29"/>
        <v>3.7909183443438202E-2</v>
      </c>
      <c r="L3742" s="2" t="str">
        <f>IF(ISNUMBER(SEARCH("|",IMDB_Movies!$D3742)),LEFT(IMDB_Movies!$D3742,SEARCH("|",IMDB_Movies!$D3742)-1),IMDB_Movies!$D3742)</f>
        <v>Drama</v>
      </c>
      <c r="V3742" s="2"/>
      <c r="W3742" s="2"/>
    </row>
    <row r="3743" spans="1:23" ht="12.5" x14ac:dyDescent="0.25">
      <c r="A3743" s="2" t="s">
        <v>6351</v>
      </c>
      <c r="B3743" s="2">
        <v>86</v>
      </c>
      <c r="C3743" s="2">
        <v>215185</v>
      </c>
      <c r="D3743" s="2" t="s">
        <v>6186</v>
      </c>
      <c r="E3743" s="2" t="s">
        <v>6352</v>
      </c>
      <c r="F3743" s="2" t="s">
        <v>14</v>
      </c>
      <c r="G3743" s="2" t="s">
        <v>15</v>
      </c>
      <c r="H3743" s="2">
        <v>200000</v>
      </c>
      <c r="I3743" s="2">
        <v>7.5</v>
      </c>
      <c r="J3743" s="2">
        <f t="shared" si="28"/>
        <v>15185</v>
      </c>
      <c r="K3743" s="2">
        <f t="shared" si="29"/>
        <v>4.1244532185398398E-2</v>
      </c>
      <c r="L3743" s="2" t="str">
        <f>IF(ISNUMBER(SEARCH("|",IMDB_Movies!$D3743)),LEFT(IMDB_Movies!$D3743,SEARCH("|",IMDB_Movies!$D3743)-1),IMDB_Movies!$D3743)</f>
        <v>Documentary</v>
      </c>
      <c r="V3743" s="2"/>
      <c r="W3743" s="2"/>
    </row>
    <row r="3744" spans="1:23" ht="12.5" x14ac:dyDescent="0.25">
      <c r="A3744" s="2" t="s">
        <v>6353</v>
      </c>
      <c r="B3744" s="2">
        <v>106</v>
      </c>
      <c r="C3744" s="2">
        <v>1111</v>
      </c>
      <c r="D3744" s="2" t="s">
        <v>6354</v>
      </c>
      <c r="E3744" s="2" t="s">
        <v>6355</v>
      </c>
      <c r="F3744" s="2" t="s">
        <v>14</v>
      </c>
      <c r="G3744" s="2" t="s">
        <v>15</v>
      </c>
      <c r="H3744" s="2">
        <v>200000</v>
      </c>
      <c r="I3744" s="2">
        <v>7.7</v>
      </c>
      <c r="J3744" s="2">
        <f t="shared" si="28"/>
        <v>-198889</v>
      </c>
      <c r="K3744" s="2">
        <f t="shared" si="29"/>
        <v>4.4702022640081655E-2</v>
      </c>
      <c r="L3744" s="2" t="str">
        <f>IF(ISNUMBER(SEARCH("|",IMDB_Movies!$D3744)),LEFT(IMDB_Movies!$D3744,SEARCH("|",IMDB_Movies!$D3744)-1),IMDB_Movies!$D3744)</f>
        <v>Crime</v>
      </c>
      <c r="V3744" s="2"/>
      <c r="W3744" s="2"/>
    </row>
    <row r="3745" spans="1:23" ht="12.5" x14ac:dyDescent="0.25">
      <c r="A3745" s="2" t="s">
        <v>6356</v>
      </c>
      <c r="B3745" s="2">
        <v>89</v>
      </c>
      <c r="C3745" s="2">
        <v>925402</v>
      </c>
      <c r="D3745" s="2" t="s">
        <v>2383</v>
      </c>
      <c r="E3745" s="2" t="s">
        <v>6357</v>
      </c>
      <c r="F3745" s="2" t="s">
        <v>6150</v>
      </c>
      <c r="G3745" s="2" t="s">
        <v>4295</v>
      </c>
      <c r="H3745" s="2">
        <v>180000</v>
      </c>
      <c r="I3745" s="2">
        <v>8.5</v>
      </c>
      <c r="J3745" s="2">
        <f t="shared" si="28"/>
        <v>745402</v>
      </c>
      <c r="K3745" s="2">
        <f t="shared" si="29"/>
        <v>4.8667846112820483E-2</v>
      </c>
      <c r="L3745" s="2" t="str">
        <f>IF(ISNUMBER(SEARCH("|",IMDB_Movies!$D3745)),LEFT(IMDB_Movies!$D3745,SEARCH("|",IMDB_Movies!$D3745)-1),IMDB_Movies!$D3745)</f>
        <v>Drama</v>
      </c>
      <c r="V3745" s="2"/>
      <c r="W3745" s="2"/>
    </row>
    <row r="3746" spans="1:23" ht="12.5" x14ac:dyDescent="0.25">
      <c r="A3746" s="2" t="s">
        <v>6358</v>
      </c>
      <c r="B3746" s="2">
        <v>97</v>
      </c>
      <c r="C3746" s="2">
        <v>469947</v>
      </c>
      <c r="D3746" s="2" t="s">
        <v>85</v>
      </c>
      <c r="E3746" s="2" t="s">
        <v>6359</v>
      </c>
      <c r="F3746" s="2" t="s">
        <v>14</v>
      </c>
      <c r="G3746" s="2" t="s">
        <v>22</v>
      </c>
      <c r="H3746" s="2">
        <v>120000</v>
      </c>
      <c r="I3746" s="2">
        <v>7.7</v>
      </c>
      <c r="J3746" s="2">
        <f t="shared" si="28"/>
        <v>349947</v>
      </c>
      <c r="K3746" s="2">
        <f t="shared" si="29"/>
        <v>5.0622830898332957E-2</v>
      </c>
      <c r="L3746" s="2" t="str">
        <f>IF(ISNUMBER(SEARCH("|",IMDB_Movies!$D3746)),LEFT(IMDB_Movies!$D3746,SEARCH("|",IMDB_Movies!$D3746)-1),IMDB_Movies!$D3746)</f>
        <v>Drama</v>
      </c>
      <c r="V3746" s="2"/>
      <c r="W3746" s="2"/>
    </row>
    <row r="3747" spans="1:23" ht="12.5" x14ac:dyDescent="0.25">
      <c r="A3747" s="2" t="s">
        <v>1725</v>
      </c>
      <c r="B3747" s="2">
        <v>88</v>
      </c>
      <c r="C3747" s="2">
        <v>7137502</v>
      </c>
      <c r="D3747" s="2" t="s">
        <v>600</v>
      </c>
      <c r="E3747" s="2" t="s">
        <v>6360</v>
      </c>
      <c r="F3747" s="2" t="s">
        <v>14</v>
      </c>
      <c r="G3747" s="2" t="s">
        <v>15</v>
      </c>
      <c r="H3747" s="2">
        <v>175000</v>
      </c>
      <c r="I3747" s="2">
        <v>6.5</v>
      </c>
      <c r="J3747" s="2">
        <f t="shared" si="28"/>
        <v>6962502</v>
      </c>
      <c r="K3747" s="2">
        <f t="shared" si="29"/>
        <v>5.0067409399970182E-2</v>
      </c>
      <c r="L3747" s="2" t="str">
        <f>IF(ISNUMBER(SEARCH("|",IMDB_Movies!$D3747)),LEFT(IMDB_Movies!$D3747,SEARCH("|",IMDB_Movies!$D3747)-1),IMDB_Movies!$D3747)</f>
        <v>Comedy</v>
      </c>
      <c r="V3747" s="2"/>
      <c r="W3747" s="2"/>
    </row>
    <row r="3748" spans="1:23" ht="12.5" x14ac:dyDescent="0.25">
      <c r="A3748" s="2" t="s">
        <v>6361</v>
      </c>
      <c r="B3748" s="2">
        <v>92</v>
      </c>
      <c r="C3748" s="2">
        <v>1316074</v>
      </c>
      <c r="D3748" s="2" t="s">
        <v>3124</v>
      </c>
      <c r="E3748" s="2" t="s">
        <v>6362</v>
      </c>
      <c r="F3748" s="2" t="s">
        <v>14</v>
      </c>
      <c r="G3748" s="2" t="s">
        <v>15</v>
      </c>
      <c r="H3748" s="2">
        <v>100000</v>
      </c>
      <c r="I3748" s="2">
        <v>7</v>
      </c>
      <c r="J3748" s="2">
        <f t="shared" si="28"/>
        <v>1216074</v>
      </c>
      <c r="K3748" s="2">
        <f t="shared" si="29"/>
        <v>4.684867738483102E-2</v>
      </c>
      <c r="L3748" s="2" t="str">
        <f>IF(ISNUMBER(SEARCH("|",IMDB_Movies!$D3748)),LEFT(IMDB_Movies!$D3748,SEARCH("|",IMDB_Movies!$D3748)-1),IMDB_Movies!$D3748)</f>
        <v>Drama</v>
      </c>
      <c r="V3748" s="2"/>
      <c r="W3748" s="2"/>
    </row>
    <row r="3749" spans="1:23" ht="12.5" x14ac:dyDescent="0.25">
      <c r="A3749" s="2" t="s">
        <v>6363</v>
      </c>
      <c r="B3749" s="2">
        <v>97</v>
      </c>
      <c r="C3749" s="2">
        <v>15180000</v>
      </c>
      <c r="D3749" s="2" t="s">
        <v>763</v>
      </c>
      <c r="E3749" s="2" t="s">
        <v>6364</v>
      </c>
      <c r="F3749" s="2" t="s">
        <v>14</v>
      </c>
      <c r="G3749" s="2" t="s">
        <v>15</v>
      </c>
      <c r="H3749" s="2">
        <v>500000</v>
      </c>
      <c r="I3749" s="2">
        <v>5.5</v>
      </c>
      <c r="J3749" s="2">
        <f t="shared" si="28"/>
        <v>14680000</v>
      </c>
      <c r="K3749" s="2">
        <f t="shared" si="29"/>
        <v>4.5827223373864343E-2</v>
      </c>
      <c r="L3749" s="2" t="str">
        <f>IF(ISNUMBER(SEARCH("|",IMDB_Movies!$D3749)),LEFT(IMDB_Movies!$D3749,SEARCH("|",IMDB_Movies!$D3749)-1),IMDB_Movies!$D3749)</f>
        <v>Crime</v>
      </c>
      <c r="V3749" s="2"/>
      <c r="W3749" s="2"/>
    </row>
    <row r="3750" spans="1:23" ht="12.5" x14ac:dyDescent="0.25">
      <c r="A3750" s="2" t="s">
        <v>2728</v>
      </c>
      <c r="B3750" s="2">
        <v>78</v>
      </c>
      <c r="C3750" s="2">
        <v>2882062</v>
      </c>
      <c r="D3750" s="2" t="s">
        <v>514</v>
      </c>
      <c r="E3750" s="2" t="s">
        <v>6365</v>
      </c>
      <c r="F3750" s="2" t="s">
        <v>14</v>
      </c>
      <c r="G3750" s="2" t="s">
        <v>15</v>
      </c>
      <c r="H3750" s="2">
        <v>150000</v>
      </c>
      <c r="I3750" s="2">
        <v>6.3</v>
      </c>
      <c r="J3750" s="2">
        <f t="shared" si="28"/>
        <v>2732062</v>
      </c>
      <c r="K3750" s="2">
        <f t="shared" si="29"/>
        <v>-5.7948867195909567E-2</v>
      </c>
      <c r="L3750" s="2" t="str">
        <f>IF(ISNUMBER(SEARCH("|",IMDB_Movies!$D3750)),LEFT(IMDB_Movies!$D3750,SEARCH("|",IMDB_Movies!$D3750)-1),IMDB_Movies!$D3750)</f>
        <v>Comedy</v>
      </c>
      <c r="V3750" s="2"/>
      <c r="W3750" s="2"/>
    </row>
    <row r="3751" spans="1:23" ht="12.5" x14ac:dyDescent="0.25">
      <c r="A3751" s="2" t="s">
        <v>4998</v>
      </c>
      <c r="B3751" s="2">
        <v>85</v>
      </c>
      <c r="C3751" s="2">
        <v>9437933</v>
      </c>
      <c r="D3751" s="2" t="s">
        <v>2586</v>
      </c>
      <c r="E3751" s="2" t="s">
        <v>6366</v>
      </c>
      <c r="F3751" s="2" t="s">
        <v>14</v>
      </c>
      <c r="G3751" s="2" t="s">
        <v>2637</v>
      </c>
      <c r="H3751" s="2">
        <v>180000</v>
      </c>
      <c r="I3751" s="2">
        <v>7.9</v>
      </c>
      <c r="J3751" s="2">
        <f t="shared" si="28"/>
        <v>9257933</v>
      </c>
      <c r="K3751" s="2">
        <f t="shared" si="29"/>
        <v>-5.8164949387006726E-2</v>
      </c>
      <c r="L3751" s="2" t="str">
        <f>IF(ISNUMBER(SEARCH("|",IMDB_Movies!$D3751)),LEFT(IMDB_Movies!$D3751,SEARCH("|",IMDB_Movies!$D3751)-1),IMDB_Movies!$D3751)</f>
        <v>Drama</v>
      </c>
      <c r="V3751" s="2"/>
      <c r="W3751" s="2"/>
    </row>
    <row r="3752" spans="1:23" ht="12.5" x14ac:dyDescent="0.25">
      <c r="A3752" s="2" t="s">
        <v>6367</v>
      </c>
      <c r="B3752" s="2">
        <v>88</v>
      </c>
      <c r="C3752" s="2">
        <v>110720</v>
      </c>
      <c r="D3752" s="2" t="s">
        <v>709</v>
      </c>
      <c r="E3752" s="2" t="s">
        <v>6368</v>
      </c>
      <c r="F3752" s="2" t="s">
        <v>14</v>
      </c>
      <c r="G3752" s="2" t="s">
        <v>15</v>
      </c>
      <c r="H3752" s="2">
        <v>1200000</v>
      </c>
      <c r="I3752" s="2">
        <v>7.3</v>
      </c>
      <c r="J3752" s="2">
        <f t="shared" si="28"/>
        <v>-1089280</v>
      </c>
      <c r="K3752" s="2">
        <f t="shared" si="29"/>
        <v>-6.9794681219206081E-2</v>
      </c>
      <c r="L3752" s="2" t="str">
        <f>IF(ISNUMBER(SEARCH("|",IMDB_Movies!$D3752)),LEFT(IMDB_Movies!$D3752,SEARCH("|",IMDB_Movies!$D3752)-1),IMDB_Movies!$D3752)</f>
        <v>Comedy</v>
      </c>
      <c r="V3752" s="2"/>
      <c r="W3752" s="2"/>
    </row>
    <row r="3753" spans="1:23" ht="12.5" x14ac:dyDescent="0.25">
      <c r="A3753" s="2" t="s">
        <v>6369</v>
      </c>
      <c r="B3753" s="2">
        <v>93</v>
      </c>
      <c r="C3753" s="2">
        <v>155984</v>
      </c>
      <c r="D3753" s="2" t="s">
        <v>2943</v>
      </c>
      <c r="E3753" s="2" t="s">
        <v>6370</v>
      </c>
      <c r="F3753" s="2" t="s">
        <v>14</v>
      </c>
      <c r="G3753" s="2" t="s">
        <v>15</v>
      </c>
      <c r="H3753" s="2">
        <v>160000</v>
      </c>
      <c r="I3753" s="2">
        <v>7.4</v>
      </c>
      <c r="J3753" s="2">
        <f t="shared" si="28"/>
        <v>-4016</v>
      </c>
      <c r="K3753" s="2">
        <f t="shared" si="29"/>
        <v>-1.327335621793547E-2</v>
      </c>
      <c r="L3753" s="2" t="str">
        <f>IF(ISNUMBER(SEARCH("|",IMDB_Movies!$D3753)),LEFT(IMDB_Movies!$D3753,SEARCH("|",IMDB_Movies!$D3753)-1),IMDB_Movies!$D3753)</f>
        <v>Documentary</v>
      </c>
      <c r="V3753" s="2"/>
      <c r="W3753" s="2"/>
    </row>
    <row r="3754" spans="1:23" ht="12.5" x14ac:dyDescent="0.25">
      <c r="A3754" s="2" t="s">
        <v>6371</v>
      </c>
      <c r="B3754" s="2">
        <v>72</v>
      </c>
      <c r="C3754" s="2">
        <v>4914</v>
      </c>
      <c r="D3754" s="2" t="s">
        <v>6372</v>
      </c>
      <c r="E3754" s="2" t="s">
        <v>6373</v>
      </c>
      <c r="F3754" s="2" t="s">
        <v>14</v>
      </c>
      <c r="G3754" s="2" t="s">
        <v>15</v>
      </c>
      <c r="H3754" s="2">
        <v>150000</v>
      </c>
      <c r="I3754" s="2">
        <v>7</v>
      </c>
      <c r="J3754" s="2">
        <f t="shared" si="28"/>
        <v>-145086</v>
      </c>
      <c r="K3754" s="2">
        <f t="shared" si="29"/>
        <v>-7.447702424639502E-3</v>
      </c>
      <c r="L3754" s="2" t="str">
        <f>IF(ISNUMBER(SEARCH("|",IMDB_Movies!$D3754)),LEFT(IMDB_Movies!$D3754,SEARCH("|",IMDB_Movies!$D3754)-1),IMDB_Movies!$D3754)</f>
        <v>Adventure</v>
      </c>
      <c r="V3754" s="2"/>
      <c r="W3754" s="2"/>
    </row>
    <row r="3755" spans="1:23" ht="12.5" x14ac:dyDescent="0.25">
      <c r="A3755" s="2" t="s">
        <v>6374</v>
      </c>
      <c r="B3755" s="2">
        <v>80</v>
      </c>
      <c r="C3755" s="2">
        <v>5858</v>
      </c>
      <c r="D3755" s="2" t="s">
        <v>2943</v>
      </c>
      <c r="E3755" s="2" t="s">
        <v>6375</v>
      </c>
      <c r="F3755" s="2" t="s">
        <v>14</v>
      </c>
      <c r="G3755" s="2" t="s">
        <v>15</v>
      </c>
      <c r="H3755" s="2">
        <v>150000</v>
      </c>
      <c r="I3755" s="2">
        <v>7.1</v>
      </c>
      <c r="J3755" s="2">
        <f t="shared" si="28"/>
        <v>-144142</v>
      </c>
      <c r="K3755" s="2">
        <f t="shared" si="29"/>
        <v>-1.7315035878795236E-3</v>
      </c>
      <c r="L3755" s="2" t="str">
        <f>IF(ISNUMBER(SEARCH("|",IMDB_Movies!$D3755)),LEFT(IMDB_Movies!$D3755,SEARCH("|",IMDB_Movies!$D3755)-1),IMDB_Movies!$D3755)</f>
        <v>Documentary</v>
      </c>
      <c r="V3755" s="2"/>
      <c r="W3755" s="2"/>
    </row>
    <row r="3756" spans="1:23" ht="12.5" x14ac:dyDescent="0.25">
      <c r="A3756" s="2" t="s">
        <v>4879</v>
      </c>
      <c r="B3756" s="2">
        <v>91</v>
      </c>
      <c r="C3756" s="2">
        <v>6706368</v>
      </c>
      <c r="D3756" s="2" t="s">
        <v>2943</v>
      </c>
      <c r="E3756" s="2" t="s">
        <v>6376</v>
      </c>
      <c r="F3756" s="2" t="s">
        <v>14</v>
      </c>
      <c r="G3756" s="2" t="s">
        <v>15</v>
      </c>
      <c r="H3756" s="2">
        <v>160000</v>
      </c>
      <c r="I3756" s="2">
        <v>7.5</v>
      </c>
      <c r="J3756" s="2">
        <f t="shared" si="28"/>
        <v>6546368</v>
      </c>
      <c r="K3756" s="2">
        <f t="shared" si="29"/>
        <v>4.4176748615054389E-3</v>
      </c>
      <c r="L3756" s="2" t="str">
        <f>IF(ISNUMBER(SEARCH("|",IMDB_Movies!$D3756)),LEFT(IMDB_Movies!$D3756,SEARCH("|",IMDB_Movies!$D3756)-1),IMDB_Movies!$D3756)</f>
        <v>Documentary</v>
      </c>
      <c r="V3756" s="2"/>
      <c r="W3756" s="2"/>
    </row>
    <row r="3757" spans="1:23" ht="12.5" x14ac:dyDescent="0.25">
      <c r="A3757" s="2" t="s">
        <v>6377</v>
      </c>
      <c r="B3757" s="2">
        <v>90</v>
      </c>
      <c r="C3757" s="2">
        <v>1573712</v>
      </c>
      <c r="D3757" s="2" t="s">
        <v>891</v>
      </c>
      <c r="E3757" s="2" t="s">
        <v>6378</v>
      </c>
      <c r="F3757" s="2" t="s">
        <v>14</v>
      </c>
      <c r="G3757" s="2" t="s">
        <v>15</v>
      </c>
      <c r="H3757" s="2">
        <v>125000</v>
      </c>
      <c r="I3757" s="2">
        <v>6.7</v>
      </c>
      <c r="J3757" s="2">
        <f t="shared" si="28"/>
        <v>1448712</v>
      </c>
      <c r="K3757" s="2">
        <f t="shared" si="29"/>
        <v>-7.3549635547094988E-3</v>
      </c>
      <c r="L3757" s="2" t="str">
        <f>IF(ISNUMBER(SEARCH("|",IMDB_Movies!$D3757)),LEFT(IMDB_Movies!$D3757,SEARCH("|",IMDB_Movies!$D3757)-1),IMDB_Movies!$D3757)</f>
        <v>Comedy</v>
      </c>
      <c r="V3757" s="2"/>
      <c r="W3757" s="2"/>
    </row>
    <row r="3758" spans="1:23" ht="12.5" x14ac:dyDescent="0.25">
      <c r="A3758" s="2" t="s">
        <v>5826</v>
      </c>
      <c r="B3758" s="2">
        <v>111</v>
      </c>
      <c r="C3758" s="2">
        <v>10174663</v>
      </c>
      <c r="D3758" s="2" t="s">
        <v>1307</v>
      </c>
      <c r="E3758" s="2" t="s">
        <v>6379</v>
      </c>
      <c r="F3758" s="2" t="s">
        <v>14</v>
      </c>
      <c r="G3758" s="2" t="s">
        <v>15</v>
      </c>
      <c r="H3758" s="2">
        <v>100000</v>
      </c>
      <c r="I3758" s="2">
        <v>6.7</v>
      </c>
      <c r="J3758" s="2">
        <f t="shared" si="28"/>
        <v>10074663</v>
      </c>
      <c r="K3758" s="2">
        <f t="shared" si="29"/>
        <v>-5.822700103556162E-3</v>
      </c>
      <c r="L3758" s="2" t="str">
        <f>IF(ISNUMBER(SEARCH("|",IMDB_Movies!$D3758)),LEFT(IMDB_Movies!$D3758,SEARCH("|",IMDB_Movies!$D3758)-1),IMDB_Movies!$D3758)</f>
        <v>Drama</v>
      </c>
      <c r="V3758" s="2"/>
      <c r="W3758" s="2"/>
    </row>
    <row r="3759" spans="1:23" ht="12.5" x14ac:dyDescent="0.25">
      <c r="A3759" s="2" t="s">
        <v>6380</v>
      </c>
      <c r="B3759" s="2">
        <v>81</v>
      </c>
      <c r="C3759" s="2">
        <v>22757819</v>
      </c>
      <c r="D3759" s="2" t="s">
        <v>2228</v>
      </c>
      <c r="E3759" s="2" t="s">
        <v>6381</v>
      </c>
      <c r="F3759" s="2" t="s">
        <v>14</v>
      </c>
      <c r="G3759" s="2" t="s">
        <v>15</v>
      </c>
      <c r="H3759" s="2">
        <v>100000</v>
      </c>
      <c r="I3759" s="2">
        <v>4.2</v>
      </c>
      <c r="J3759" s="2">
        <f t="shared" si="28"/>
        <v>22657819</v>
      </c>
      <c r="K3759" s="2">
        <f t="shared" si="29"/>
        <v>-1.1832512228589257E-2</v>
      </c>
      <c r="L3759" s="2" t="str">
        <f>IF(ISNUMBER(SEARCH("|",IMDB_Movies!$D3759)),LEFT(IMDB_Movies!$D3759,SEARCH("|",IMDB_Movies!$D3759)-1),IMDB_Movies!$D3759)</f>
        <v>Horror</v>
      </c>
      <c r="V3759" s="2"/>
      <c r="W3759" s="2"/>
    </row>
    <row r="3760" spans="1:23" ht="12.5" x14ac:dyDescent="0.25">
      <c r="A3760" s="2" t="s">
        <v>6382</v>
      </c>
      <c r="B3760" s="2">
        <v>81</v>
      </c>
      <c r="C3760" s="2">
        <v>5228617</v>
      </c>
      <c r="D3760" s="2" t="s">
        <v>709</v>
      </c>
      <c r="E3760" s="2" t="s">
        <v>6383</v>
      </c>
      <c r="F3760" s="2" t="s">
        <v>14</v>
      </c>
      <c r="G3760" s="2" t="s">
        <v>15</v>
      </c>
      <c r="H3760" s="2">
        <v>100000</v>
      </c>
      <c r="I3760" s="2">
        <v>7</v>
      </c>
      <c r="J3760" s="2">
        <f t="shared" si="28"/>
        <v>5128617</v>
      </c>
      <c r="K3760" s="2">
        <f t="shared" si="29"/>
        <v>-4.7048265975339627E-2</v>
      </c>
      <c r="L3760" s="2" t="str">
        <f>IF(ISNUMBER(SEARCH("|",IMDB_Movies!$D3760)),LEFT(IMDB_Movies!$D3760,SEARCH("|",IMDB_Movies!$D3760)-1),IMDB_Movies!$D3760)</f>
        <v>Comedy</v>
      </c>
      <c r="V3760" s="2"/>
      <c r="W3760" s="2"/>
    </row>
    <row r="3761" spans="1:23" ht="12.5" x14ac:dyDescent="0.25">
      <c r="A3761" s="2" t="s">
        <v>6384</v>
      </c>
      <c r="B3761" s="2">
        <v>90</v>
      </c>
      <c r="C3761" s="2">
        <v>110536</v>
      </c>
      <c r="D3761" s="2" t="s">
        <v>4021</v>
      </c>
      <c r="E3761" s="2" t="s">
        <v>6385</v>
      </c>
      <c r="F3761" s="2" t="s">
        <v>14</v>
      </c>
      <c r="G3761" s="2" t="s">
        <v>15</v>
      </c>
      <c r="H3761" s="2">
        <v>40000</v>
      </c>
      <c r="I3761" s="2">
        <v>7</v>
      </c>
      <c r="J3761" s="2">
        <f t="shared" si="28"/>
        <v>70536</v>
      </c>
      <c r="K3761" s="2">
        <f t="shared" si="29"/>
        <v>-5.373734620856039E-2</v>
      </c>
      <c r="L3761" s="2" t="str">
        <f>IF(ISNUMBER(SEARCH("|",IMDB_Movies!$D3761)),LEFT(IMDB_Movies!$D3761,SEARCH("|",IMDB_Movies!$D3761)-1),IMDB_Movies!$D3761)</f>
        <v>Comedy</v>
      </c>
      <c r="V3761" s="2"/>
      <c r="W3761" s="2"/>
    </row>
    <row r="3762" spans="1:23" ht="12.5" x14ac:dyDescent="0.25">
      <c r="A3762" s="2" t="s">
        <v>6386</v>
      </c>
      <c r="B3762" s="2">
        <v>88</v>
      </c>
      <c r="C3762" s="2">
        <v>59379</v>
      </c>
      <c r="D3762" s="2" t="s">
        <v>6387</v>
      </c>
      <c r="E3762" s="2" t="s">
        <v>6388</v>
      </c>
      <c r="F3762" s="2" t="s">
        <v>14</v>
      </c>
      <c r="G3762" s="2" t="s">
        <v>15</v>
      </c>
      <c r="H3762" s="2">
        <v>200000</v>
      </c>
      <c r="I3762" s="2">
        <v>6.8</v>
      </c>
      <c r="J3762" s="2">
        <f t="shared" si="28"/>
        <v>-140621</v>
      </c>
      <c r="K3762" s="2">
        <f t="shared" si="29"/>
        <v>-5.7710142419083198E-2</v>
      </c>
      <c r="L3762" s="2" t="str">
        <f>IF(ISNUMBER(SEARCH("|",IMDB_Movies!$D3762)),LEFT(IMDB_Movies!$D3762,SEARCH("|",IMDB_Movies!$D3762)-1),IMDB_Movies!$D3762)</f>
        <v>Comedy</v>
      </c>
      <c r="V3762" s="2"/>
      <c r="W3762" s="2"/>
    </row>
    <row r="3763" spans="1:23" ht="12.5" x14ac:dyDescent="0.25">
      <c r="A3763" s="2" t="s">
        <v>442</v>
      </c>
      <c r="B3763" s="2">
        <v>84</v>
      </c>
      <c r="C3763" s="2">
        <v>3216970</v>
      </c>
      <c r="D3763" s="2" t="s">
        <v>690</v>
      </c>
      <c r="E3763" s="2" t="s">
        <v>6389</v>
      </c>
      <c r="F3763" s="2" t="s">
        <v>14</v>
      </c>
      <c r="G3763" s="2" t="s">
        <v>15</v>
      </c>
      <c r="H3763" s="2">
        <v>60000</v>
      </c>
      <c r="I3763" s="2">
        <v>7.5</v>
      </c>
      <c r="J3763" s="2">
        <f t="shared" si="28"/>
        <v>3156970</v>
      </c>
      <c r="K3763" s="2">
        <f t="shared" si="29"/>
        <v>-4.6239150675747479E-2</v>
      </c>
      <c r="L3763" s="2" t="str">
        <f>IF(ISNUMBER(SEARCH("|",IMDB_Movies!$D3763)),LEFT(IMDB_Movies!$D3763,SEARCH("|",IMDB_Movies!$D3763)-1),IMDB_Movies!$D3763)</f>
        <v>Drama</v>
      </c>
      <c r="V3763" s="2"/>
      <c r="W3763" s="2"/>
    </row>
    <row r="3764" spans="1:23" ht="12.5" x14ac:dyDescent="0.25">
      <c r="A3764" s="2" t="s">
        <v>6390</v>
      </c>
      <c r="B3764" s="2">
        <v>87</v>
      </c>
      <c r="C3764" s="2">
        <v>536767</v>
      </c>
      <c r="D3764" s="2" t="s">
        <v>2404</v>
      </c>
      <c r="E3764" s="2" t="s">
        <v>6391</v>
      </c>
      <c r="F3764" s="2" t="s">
        <v>14</v>
      </c>
      <c r="G3764" s="2" t="s">
        <v>15</v>
      </c>
      <c r="H3764" s="2">
        <v>60000</v>
      </c>
      <c r="I3764" s="2">
        <v>5.3</v>
      </c>
      <c r="J3764" s="2">
        <f t="shared" si="28"/>
        <v>476767</v>
      </c>
      <c r="K3764" s="2">
        <f t="shared" si="29"/>
        <v>-4.4530803218041794E-2</v>
      </c>
      <c r="L3764" s="2" t="str">
        <f>IF(ISNUMBER(SEARCH("|",IMDB_Movies!$D3764)),LEFT(IMDB_Movies!$D3764,SEARCH("|",IMDB_Movies!$D3764)-1),IMDB_Movies!$D3764)</f>
        <v>Biography</v>
      </c>
      <c r="V3764" s="2"/>
      <c r="W3764" s="2"/>
    </row>
    <row r="3765" spans="1:23" ht="12.5" x14ac:dyDescent="0.25">
      <c r="A3765" s="2" t="s">
        <v>4721</v>
      </c>
      <c r="B3765" s="2">
        <v>100</v>
      </c>
      <c r="C3765" s="2">
        <v>11529368</v>
      </c>
      <c r="D3765" s="2" t="s">
        <v>6392</v>
      </c>
      <c r="E3765" s="2" t="s">
        <v>6393</v>
      </c>
      <c r="F3765" s="2" t="s">
        <v>14</v>
      </c>
      <c r="G3765" s="2" t="s">
        <v>15</v>
      </c>
      <c r="H3765" s="2">
        <v>65000</v>
      </c>
      <c r="I3765" s="2">
        <v>7.3</v>
      </c>
      <c r="J3765" s="2">
        <f t="shared" si="28"/>
        <v>11464368</v>
      </c>
      <c r="K3765" s="2">
        <f t="shared" si="29"/>
        <v>-4.5774512732278193E-2</v>
      </c>
      <c r="L3765" s="2" t="str">
        <f>IF(ISNUMBER(SEARCH("|",IMDB_Movies!$D3765)),LEFT(IMDB_Movies!$D3765,SEARCH("|",IMDB_Movies!$D3765)-1),IMDB_Movies!$D3765)</f>
        <v>Comedy</v>
      </c>
      <c r="V3765" s="2"/>
      <c r="W3765" s="2"/>
    </row>
    <row r="3766" spans="1:23" ht="12.5" x14ac:dyDescent="0.25">
      <c r="A3766" s="2" t="s">
        <v>6394</v>
      </c>
      <c r="B3766" s="2">
        <v>82</v>
      </c>
      <c r="C3766" s="2">
        <v>40557</v>
      </c>
      <c r="D3766" s="2" t="s">
        <v>709</v>
      </c>
      <c r="E3766" s="2" t="s">
        <v>6395</v>
      </c>
      <c r="F3766" s="2" t="s">
        <v>14</v>
      </c>
      <c r="G3766" s="2" t="s">
        <v>15</v>
      </c>
      <c r="H3766" s="2">
        <v>60000</v>
      </c>
      <c r="I3766" s="2">
        <v>5.6</v>
      </c>
      <c r="J3766" s="2">
        <f t="shared" si="28"/>
        <v>-19443</v>
      </c>
      <c r="K3766" s="2">
        <f t="shared" si="29"/>
        <v>-5.1221179768003042E-2</v>
      </c>
      <c r="L3766" s="2" t="str">
        <f>IF(ISNUMBER(SEARCH("|",IMDB_Movies!$D3766)),LEFT(IMDB_Movies!$D3766,SEARCH("|",IMDB_Movies!$D3766)-1),IMDB_Movies!$D3766)</f>
        <v>Comedy</v>
      </c>
      <c r="V3766" s="2"/>
      <c r="W3766" s="2"/>
    </row>
    <row r="3767" spans="1:23" ht="12.5" x14ac:dyDescent="0.25">
      <c r="A3767" s="2" t="s">
        <v>6396</v>
      </c>
      <c r="B3767" s="2">
        <v>82</v>
      </c>
      <c r="C3767" s="2">
        <v>30084</v>
      </c>
      <c r="D3767" s="2" t="s">
        <v>891</v>
      </c>
      <c r="E3767" s="2" t="s">
        <v>6397</v>
      </c>
      <c r="F3767" s="2" t="s">
        <v>14</v>
      </c>
      <c r="G3767" s="2" t="s">
        <v>15</v>
      </c>
      <c r="H3767" s="2">
        <v>70000</v>
      </c>
      <c r="I3767" s="2">
        <v>5.6</v>
      </c>
      <c r="J3767" s="2">
        <f t="shared" si="28"/>
        <v>-39916</v>
      </c>
      <c r="K3767" s="2">
        <f t="shared" si="29"/>
        <v>-5.339050012887727E-2</v>
      </c>
      <c r="L3767" s="2" t="str">
        <f>IF(ISNUMBER(SEARCH("|",IMDB_Movies!$D3767)),LEFT(IMDB_Movies!$D3767,SEARCH("|",IMDB_Movies!$D3767)-1),IMDB_Movies!$D3767)</f>
        <v>Comedy</v>
      </c>
      <c r="V3767" s="2"/>
      <c r="W3767" s="2"/>
    </row>
    <row r="3768" spans="1:23" ht="12.5" x14ac:dyDescent="0.25">
      <c r="A3768" s="2" t="s">
        <v>5607</v>
      </c>
      <c r="B3768" s="2">
        <v>98</v>
      </c>
      <c r="C3768" s="2">
        <v>10246600</v>
      </c>
      <c r="D3768" s="2" t="s">
        <v>514</v>
      </c>
      <c r="E3768" s="2" t="s">
        <v>6398</v>
      </c>
      <c r="F3768" s="2" t="s">
        <v>14</v>
      </c>
      <c r="G3768" s="2" t="s">
        <v>15</v>
      </c>
      <c r="H3768" s="2">
        <v>25000</v>
      </c>
      <c r="I3768" s="2">
        <v>6.6</v>
      </c>
      <c r="J3768" s="2">
        <f t="shared" si="28"/>
        <v>10221600</v>
      </c>
      <c r="K3768" s="2">
        <f t="shared" si="29"/>
        <v>-5.4708909947748192E-2</v>
      </c>
      <c r="L3768" s="2" t="str">
        <f>IF(ISNUMBER(SEARCH("|",IMDB_Movies!$D3768)),LEFT(IMDB_Movies!$D3768,SEARCH("|",IMDB_Movies!$D3768)-1),IMDB_Movies!$D3768)</f>
        <v>Comedy</v>
      </c>
      <c r="V3768" s="2"/>
      <c r="W3768" s="2"/>
    </row>
    <row r="3769" spans="1:23" ht="12.5" x14ac:dyDescent="0.25">
      <c r="A3769" s="2" t="s">
        <v>6399</v>
      </c>
      <c r="B3769" s="2">
        <v>98</v>
      </c>
      <c r="C3769" s="2">
        <v>389804</v>
      </c>
      <c r="D3769" s="2" t="s">
        <v>514</v>
      </c>
      <c r="E3769" s="2" t="s">
        <v>6400</v>
      </c>
      <c r="F3769" s="2" t="s">
        <v>14</v>
      </c>
      <c r="G3769" s="2" t="s">
        <v>15</v>
      </c>
      <c r="H3769" s="2">
        <v>65000</v>
      </c>
      <c r="I3769" s="2">
        <v>6.3</v>
      </c>
      <c r="J3769" s="2">
        <f t="shared" si="28"/>
        <v>324804</v>
      </c>
      <c r="K3769" s="2">
        <f t="shared" si="29"/>
        <v>-4.2494522552357509E-3</v>
      </c>
      <c r="L3769" s="2" t="str">
        <f>IF(ISNUMBER(SEARCH("|",IMDB_Movies!$D3769)),LEFT(IMDB_Movies!$D3769,SEARCH("|",IMDB_Movies!$D3769)-1),IMDB_Movies!$D3769)</f>
        <v>Comedy</v>
      </c>
      <c r="V3769" s="2"/>
      <c r="W3769" s="2"/>
    </row>
    <row r="3770" spans="1:23" ht="12.5" x14ac:dyDescent="0.25">
      <c r="A3770" s="2" t="s">
        <v>1834</v>
      </c>
      <c r="B3770" s="2">
        <v>90</v>
      </c>
      <c r="C3770" s="2">
        <v>241816</v>
      </c>
      <c r="D3770" s="2" t="s">
        <v>1180</v>
      </c>
      <c r="E3770" s="2" t="s">
        <v>6401</v>
      </c>
      <c r="F3770" s="2" t="s">
        <v>14</v>
      </c>
      <c r="G3770" s="2" t="s">
        <v>15</v>
      </c>
      <c r="H3770" s="2">
        <v>42000</v>
      </c>
      <c r="I3770" s="2">
        <v>7.5</v>
      </c>
      <c r="J3770" s="2">
        <f t="shared" si="28"/>
        <v>199816</v>
      </c>
      <c r="K3770" s="2">
        <f t="shared" si="29"/>
        <v>-5.4816895537570286E-3</v>
      </c>
      <c r="L3770" s="2" t="str">
        <f>IF(ISNUMBER(SEARCH("|",IMDB_Movies!$D3770)),LEFT(IMDB_Movies!$D3770,SEARCH("|",IMDB_Movies!$D3770)-1),IMDB_Movies!$D3770)</f>
        <v>Drama</v>
      </c>
      <c r="V3770" s="2"/>
      <c r="W3770" s="2"/>
    </row>
    <row r="3771" spans="1:23" ht="12.5" x14ac:dyDescent="0.25">
      <c r="A3771" s="2" t="s">
        <v>6402</v>
      </c>
      <c r="B3771" s="2">
        <v>90</v>
      </c>
      <c r="C3771" s="2">
        <v>277233</v>
      </c>
      <c r="D3771" s="2" t="s">
        <v>600</v>
      </c>
      <c r="E3771" s="2" t="s">
        <v>6403</v>
      </c>
      <c r="F3771" s="2" t="s">
        <v>14</v>
      </c>
      <c r="G3771" s="2" t="s">
        <v>15</v>
      </c>
      <c r="H3771" s="2">
        <v>40000</v>
      </c>
      <c r="I3771" s="2">
        <v>7.6</v>
      </c>
      <c r="J3771" s="2">
        <f t="shared" si="28"/>
        <v>237233</v>
      </c>
      <c r="K3771" s="2">
        <f t="shared" si="29"/>
        <v>-1.0260767104245391E-2</v>
      </c>
      <c r="L3771" s="2" t="str">
        <f>IF(ISNUMBER(SEARCH("|",IMDB_Movies!$D3771)),LEFT(IMDB_Movies!$D3771,SEARCH("|",IMDB_Movies!$D3771)-1),IMDB_Movies!$D3771)</f>
        <v>Comedy</v>
      </c>
      <c r="V3771" s="2"/>
      <c r="W3771" s="2"/>
    </row>
    <row r="3772" spans="1:23" ht="12.5" x14ac:dyDescent="0.25">
      <c r="A3772" s="2" t="s">
        <v>6404</v>
      </c>
      <c r="B3772" s="2">
        <v>78</v>
      </c>
      <c r="C3772" s="2">
        <v>243768</v>
      </c>
      <c r="D3772" s="2" t="s">
        <v>5138</v>
      </c>
      <c r="E3772" s="2" t="s">
        <v>6405</v>
      </c>
      <c r="F3772" s="2" t="s">
        <v>14</v>
      </c>
      <c r="G3772" s="2" t="s">
        <v>15</v>
      </c>
      <c r="H3772" s="2">
        <v>30000</v>
      </c>
      <c r="I3772" s="2">
        <v>4.0999999999999996</v>
      </c>
      <c r="J3772" s="2">
        <f t="shared" si="28"/>
        <v>213768</v>
      </c>
      <c r="K3772" s="2">
        <f t="shared" si="29"/>
        <v>-1.5502688980633863E-2</v>
      </c>
      <c r="L3772" s="2" t="str">
        <f>IF(ISNUMBER(SEARCH("|",IMDB_Movies!$D3772)),LEFT(IMDB_Movies!$D3772,SEARCH("|",IMDB_Movies!$D3772)-1),IMDB_Movies!$D3772)</f>
        <v>Western</v>
      </c>
      <c r="V3772" s="2"/>
      <c r="W3772" s="2"/>
    </row>
    <row r="3773" spans="1:23" ht="12.5" x14ac:dyDescent="0.25">
      <c r="A3773" s="2" t="s">
        <v>2378</v>
      </c>
      <c r="B3773" s="2">
        <v>102</v>
      </c>
      <c r="C3773" s="2">
        <v>3151130</v>
      </c>
      <c r="D3773" s="2" t="s">
        <v>709</v>
      </c>
      <c r="E3773" s="2" t="s">
        <v>6406</v>
      </c>
      <c r="F3773" s="2" t="s">
        <v>14</v>
      </c>
      <c r="G3773" s="2" t="s">
        <v>15</v>
      </c>
      <c r="H3773" s="2">
        <v>230000</v>
      </c>
      <c r="I3773" s="2">
        <v>7.8</v>
      </c>
      <c r="J3773" s="2">
        <f t="shared" si="28"/>
        <v>2921130</v>
      </c>
      <c r="K3773" s="2">
        <f t="shared" si="29"/>
        <v>-2.3321212615027564E-2</v>
      </c>
      <c r="L3773" s="2" t="str">
        <f>IF(ISNUMBER(SEARCH("|",IMDB_Movies!$D3773)),LEFT(IMDB_Movies!$D3773,SEARCH("|",IMDB_Movies!$D3773)-1),IMDB_Movies!$D3773)</f>
        <v>Comedy</v>
      </c>
      <c r="V3773" s="2"/>
      <c r="W3773" s="2"/>
    </row>
    <row r="3774" spans="1:23" ht="12.5" x14ac:dyDescent="0.25">
      <c r="A3774" s="2" t="s">
        <v>6407</v>
      </c>
      <c r="B3774" s="2">
        <v>65</v>
      </c>
      <c r="C3774" s="2">
        <v>8231</v>
      </c>
      <c r="D3774" s="2" t="s">
        <v>1805</v>
      </c>
      <c r="E3774" s="2" t="s">
        <v>6408</v>
      </c>
      <c r="F3774" s="2" t="s">
        <v>14</v>
      </c>
      <c r="G3774" s="2" t="s">
        <v>15</v>
      </c>
      <c r="H3774" s="2">
        <v>27000</v>
      </c>
      <c r="I3774" s="2">
        <v>6.7</v>
      </c>
      <c r="J3774" s="2">
        <f t="shared" si="28"/>
        <v>-18769</v>
      </c>
      <c r="K3774" s="2">
        <f t="shared" si="29"/>
        <v>-0.14786064290849829</v>
      </c>
      <c r="L3774" s="2" t="str">
        <f>IF(ISNUMBER(SEARCH("|",IMDB_Movies!$D3774)),LEFT(IMDB_Movies!$D3774,SEARCH("|",IMDB_Movies!$D3774)-1),IMDB_Movies!$D3774)</f>
        <v>Drama</v>
      </c>
      <c r="V3774" s="2"/>
      <c r="W3774" s="2"/>
    </row>
    <row r="3775" spans="1:23" ht="12.5" x14ac:dyDescent="0.25">
      <c r="A3775" s="2" t="s">
        <v>3277</v>
      </c>
      <c r="B3775" s="2">
        <v>97</v>
      </c>
      <c r="C3775" s="2">
        <v>2856622</v>
      </c>
      <c r="D3775" s="2" t="s">
        <v>891</v>
      </c>
      <c r="E3775" s="2" t="s">
        <v>6409</v>
      </c>
      <c r="F3775" s="2" t="s">
        <v>14</v>
      </c>
      <c r="G3775" s="2" t="s">
        <v>104</v>
      </c>
      <c r="H3775" s="2">
        <v>25000</v>
      </c>
      <c r="I3775" s="2">
        <v>7.3</v>
      </c>
      <c r="J3775" s="2">
        <f t="shared" si="28"/>
        <v>2831622</v>
      </c>
      <c r="K3775" s="2">
        <f t="shared" si="29"/>
        <v>-0.16243144325914599</v>
      </c>
      <c r="L3775" s="2" t="str">
        <f>IF(ISNUMBER(SEARCH("|",IMDB_Movies!$D3775)),LEFT(IMDB_Movies!$D3775,SEARCH("|",IMDB_Movies!$D3775)-1),IMDB_Movies!$D3775)</f>
        <v>Comedy</v>
      </c>
      <c r="V3775" s="2"/>
      <c r="W3775" s="2"/>
    </row>
    <row r="3776" spans="1:23" ht="12.5" x14ac:dyDescent="0.25">
      <c r="A3776" s="2" t="s">
        <v>2991</v>
      </c>
      <c r="B3776" s="2">
        <v>100</v>
      </c>
      <c r="C3776" s="2">
        <v>1227508</v>
      </c>
      <c r="D3776" s="2" t="s">
        <v>891</v>
      </c>
      <c r="E3776" s="2" t="s">
        <v>6410</v>
      </c>
      <c r="F3776" s="2" t="s">
        <v>14</v>
      </c>
      <c r="G3776" s="2" t="s">
        <v>15</v>
      </c>
      <c r="H3776" s="2">
        <v>23000</v>
      </c>
      <c r="I3776" s="2">
        <v>7.1</v>
      </c>
      <c r="J3776" s="2">
        <f t="shared" si="28"/>
        <v>1204508</v>
      </c>
      <c r="K3776" s="2">
        <f t="shared" si="29"/>
        <v>-0.16910236737211509</v>
      </c>
      <c r="L3776" s="2" t="str">
        <f>IF(ISNUMBER(SEARCH("|",IMDB_Movies!$D3776)),LEFT(IMDB_Movies!$D3776,SEARCH("|",IMDB_Movies!$D3776)-1),IMDB_Movies!$D3776)</f>
        <v>Comedy</v>
      </c>
      <c r="V3776" s="2"/>
      <c r="W3776" s="2"/>
    </row>
    <row r="3777" spans="1:23" ht="12.5" x14ac:dyDescent="0.25">
      <c r="A3777" s="2" t="s">
        <v>4773</v>
      </c>
      <c r="B3777" s="2">
        <v>85</v>
      </c>
      <c r="C3777" s="2">
        <v>192467</v>
      </c>
      <c r="D3777" s="2" t="s">
        <v>514</v>
      </c>
      <c r="E3777" s="2" t="s">
        <v>6411</v>
      </c>
      <c r="F3777" s="2" t="s">
        <v>14</v>
      </c>
      <c r="G3777" s="2" t="s">
        <v>15</v>
      </c>
      <c r="H3777" s="2">
        <v>15000</v>
      </c>
      <c r="I3777" s="2">
        <v>6.6</v>
      </c>
      <c r="J3777" s="2">
        <f t="shared" si="28"/>
        <v>177467</v>
      </c>
      <c r="K3777" s="2">
        <f t="shared" si="29"/>
        <v>-0.15152433471351132</v>
      </c>
      <c r="L3777" s="2" t="str">
        <f>IF(ISNUMBER(SEARCH("|",IMDB_Movies!$D3777)),LEFT(IMDB_Movies!$D3777,SEARCH("|",IMDB_Movies!$D3777)-1),IMDB_Movies!$D3777)</f>
        <v>Comedy</v>
      </c>
      <c r="V3777" s="2"/>
      <c r="W3777" s="2"/>
    </row>
    <row r="3778" spans="1:23" ht="12.5" x14ac:dyDescent="0.25">
      <c r="A3778" s="2" t="s">
        <v>6412</v>
      </c>
      <c r="B3778" s="2">
        <v>88</v>
      </c>
      <c r="C3778" s="2">
        <v>76382</v>
      </c>
      <c r="D3778" s="2" t="s">
        <v>6413</v>
      </c>
      <c r="E3778" s="2" t="s">
        <v>6414</v>
      </c>
      <c r="F3778" s="2" t="s">
        <v>14</v>
      </c>
      <c r="G3778" s="2" t="s">
        <v>15</v>
      </c>
      <c r="H3778" s="2">
        <v>15000</v>
      </c>
      <c r="I3778" s="2">
        <v>6.2</v>
      </c>
      <c r="J3778" s="2">
        <f t="shared" si="28"/>
        <v>61382</v>
      </c>
      <c r="K3778" s="2">
        <f t="shared" si="29"/>
        <v>-0.16179812732927321</v>
      </c>
      <c r="L3778" s="2" t="str">
        <f>IF(ISNUMBER(SEARCH("|",IMDB_Movies!$D3778)),LEFT(IMDB_Movies!$D3778,SEARCH("|",IMDB_Movies!$D3778)-1),IMDB_Movies!$D3778)</f>
        <v>Romance</v>
      </c>
      <c r="V3778" s="2"/>
      <c r="W3778" s="2"/>
    </row>
    <row r="3779" spans="1:23" ht="12.5" x14ac:dyDescent="0.25">
      <c r="A3779" s="2" t="s">
        <v>4366</v>
      </c>
      <c r="B3779" s="2">
        <v>108</v>
      </c>
      <c r="C3779" s="2">
        <v>180483</v>
      </c>
      <c r="D3779" s="2" t="s">
        <v>6415</v>
      </c>
      <c r="E3779" s="2" t="s">
        <v>6416</v>
      </c>
      <c r="F3779" s="2" t="s">
        <v>14</v>
      </c>
      <c r="G3779" s="2" t="s">
        <v>15</v>
      </c>
      <c r="H3779" s="2">
        <v>10000</v>
      </c>
      <c r="I3779" s="2">
        <v>6.1</v>
      </c>
      <c r="J3779" s="2">
        <f t="shared" si="28"/>
        <v>170483</v>
      </c>
      <c r="K3779" s="2">
        <f t="shared" si="29"/>
        <v>-0.1831819854709443</v>
      </c>
      <c r="L3779" s="2" t="str">
        <f>IF(ISNUMBER(SEARCH("|",IMDB_Movies!$D3779)),LEFT(IMDB_Movies!$D3779,SEARCH("|",IMDB_Movies!$D3779)-1),IMDB_Movies!$D3779)</f>
        <v>Comedy</v>
      </c>
      <c r="V3779" s="2"/>
      <c r="W3779" s="2"/>
    </row>
    <row r="3780" spans="1:23" ht="12.5" x14ac:dyDescent="0.25">
      <c r="A3780" s="2" t="s">
        <v>4379</v>
      </c>
      <c r="B3780" s="2">
        <v>110</v>
      </c>
      <c r="C3780" s="2">
        <v>136007</v>
      </c>
      <c r="D3780" s="2" t="s">
        <v>2586</v>
      </c>
      <c r="E3780" s="2" t="s">
        <v>6417</v>
      </c>
      <c r="F3780" s="2" t="s">
        <v>1006</v>
      </c>
      <c r="G3780" s="2" t="s">
        <v>686</v>
      </c>
      <c r="H3780" s="2">
        <v>4500</v>
      </c>
      <c r="I3780" s="2">
        <v>6.9</v>
      </c>
      <c r="J3780" s="2">
        <f t="shared" si="28"/>
        <v>131507</v>
      </c>
      <c r="K3780" s="2">
        <f t="shared" si="29"/>
        <v>-0.20285898840204455</v>
      </c>
      <c r="L3780" s="2" t="str">
        <f>IF(ISNUMBER(SEARCH("|",IMDB_Movies!$D3780)),LEFT(IMDB_Movies!$D3780,SEARCH("|",IMDB_Movies!$D3780)-1),IMDB_Movies!$D3780)</f>
        <v>Drama</v>
      </c>
      <c r="V3780" s="2"/>
      <c r="W3780" s="2"/>
    </row>
    <row r="3781" spans="1:23" ht="12.5" x14ac:dyDescent="0.25">
      <c r="A3781" s="2" t="s">
        <v>6418</v>
      </c>
      <c r="B3781" s="2">
        <v>90</v>
      </c>
      <c r="C3781" s="2">
        <v>673780</v>
      </c>
      <c r="D3781" s="2" t="s">
        <v>1180</v>
      </c>
      <c r="E3781" s="2" t="s">
        <v>6419</v>
      </c>
      <c r="F3781" s="2" t="s">
        <v>6150</v>
      </c>
      <c r="G3781" s="2" t="s">
        <v>4295</v>
      </c>
      <c r="H3781" s="2">
        <v>10000</v>
      </c>
      <c r="I3781" s="2">
        <v>7.5</v>
      </c>
      <c r="J3781" s="2">
        <f t="shared" si="28"/>
        <v>663780</v>
      </c>
      <c r="K3781" s="2">
        <f t="shared" si="29"/>
        <v>-0.2353082799150131</v>
      </c>
      <c r="L3781" s="2" t="str">
        <f>IF(ISNUMBER(SEARCH("|",IMDB_Movies!$D3781)),LEFT(IMDB_Movies!$D3781,SEARCH("|",IMDB_Movies!$D3781)-1),IMDB_Movies!$D3781)</f>
        <v>Drama</v>
      </c>
      <c r="V3781" s="2"/>
      <c r="W3781" s="2"/>
    </row>
    <row r="3782" spans="1:23" ht="12.5" x14ac:dyDescent="0.25">
      <c r="A3782" s="2" t="s">
        <v>6420</v>
      </c>
      <c r="B3782" s="2">
        <v>111</v>
      </c>
      <c r="C3782" s="2">
        <v>94596</v>
      </c>
      <c r="D3782" s="2" t="s">
        <v>2591</v>
      </c>
      <c r="E3782" s="2" t="s">
        <v>6421</v>
      </c>
      <c r="F3782" s="2" t="s">
        <v>2568</v>
      </c>
      <c r="G3782" s="2" t="s">
        <v>1032</v>
      </c>
      <c r="H3782" s="2">
        <v>1000000</v>
      </c>
      <c r="I3782" s="2">
        <v>7.4</v>
      </c>
      <c r="J3782" s="2">
        <f t="shared" si="28"/>
        <v>-905404</v>
      </c>
      <c r="K3782" s="2">
        <f t="shared" si="29"/>
        <v>-0.22103529810581649</v>
      </c>
      <c r="L3782" s="2" t="str">
        <f>IF(ISNUMBER(SEARCH("|",IMDB_Movies!$D3782)),LEFT(IMDB_Movies!$D3782,SEARCH("|",IMDB_Movies!$D3782)-1),IMDB_Movies!$D3782)</f>
        <v>Crime</v>
      </c>
      <c r="V3782" s="2"/>
      <c r="W3782" s="2"/>
    </row>
    <row r="3783" spans="1:23" ht="12.5" x14ac:dyDescent="0.25">
      <c r="A3783" s="2" t="s">
        <v>6422</v>
      </c>
      <c r="B3783" s="2">
        <v>77</v>
      </c>
      <c r="C3783" s="2">
        <v>424760</v>
      </c>
      <c r="D3783" s="2" t="s">
        <v>942</v>
      </c>
      <c r="E3783" s="2" t="s">
        <v>6423</v>
      </c>
      <c r="F3783" s="2" t="s">
        <v>14</v>
      </c>
      <c r="G3783" s="2" t="s">
        <v>15</v>
      </c>
      <c r="H3783" s="2">
        <v>7000</v>
      </c>
      <c r="I3783" s="2">
        <v>7</v>
      </c>
      <c r="J3783" s="2">
        <f t="shared" si="28"/>
        <v>417760</v>
      </c>
      <c r="K3783" s="2">
        <f t="shared" si="29"/>
        <v>0.15056752546344818</v>
      </c>
      <c r="L3783" s="2" t="str">
        <f>IF(ISNUMBER(SEARCH("|",IMDB_Movies!$D3783)),LEFT(IMDB_Movies!$D3783,SEARCH("|",IMDB_Movies!$D3783)-1),IMDB_Movies!$D3783)</f>
        <v>Drama</v>
      </c>
      <c r="V3783" s="2"/>
      <c r="W3783" s="2"/>
    </row>
    <row r="3784" spans="1:23" ht="12.5" x14ac:dyDescent="0.25">
      <c r="A3784" s="2" t="s">
        <v>6424</v>
      </c>
      <c r="B3784" s="2">
        <v>80</v>
      </c>
      <c r="C3784" s="2">
        <v>70071</v>
      </c>
      <c r="D3784" s="2" t="s">
        <v>6110</v>
      </c>
      <c r="E3784" s="2" t="s">
        <v>6425</v>
      </c>
      <c r="F3784" s="2" t="s">
        <v>14</v>
      </c>
      <c r="G3784" s="2" t="s">
        <v>6426</v>
      </c>
      <c r="H3784" s="2">
        <v>7000</v>
      </c>
      <c r="I3784" s="2">
        <v>6.3</v>
      </c>
      <c r="J3784" s="2">
        <f t="shared" si="28"/>
        <v>63071</v>
      </c>
      <c r="K3784" s="2">
        <f t="shared" si="29"/>
        <v>0.16211766412850379</v>
      </c>
      <c r="L3784" s="2" t="str">
        <f>IF(ISNUMBER(SEARCH("|",IMDB_Movies!$D3784)),LEFT(IMDB_Movies!$D3784,SEARCH("|",IMDB_Movies!$D3784)-1),IMDB_Movies!$D3784)</f>
        <v>Thriller</v>
      </c>
      <c r="V3784" s="2"/>
      <c r="W3784" s="2"/>
    </row>
    <row r="3785" spans="1:23" ht="12.5" x14ac:dyDescent="0.25">
      <c r="A3785" s="2" t="s">
        <v>1666</v>
      </c>
      <c r="B3785" s="2">
        <v>81</v>
      </c>
      <c r="C3785" s="2">
        <v>2040920</v>
      </c>
      <c r="D3785" s="2" t="s">
        <v>1952</v>
      </c>
      <c r="E3785" s="2" t="s">
        <v>6427</v>
      </c>
      <c r="F3785" s="2" t="s">
        <v>971</v>
      </c>
      <c r="G3785" s="2" t="s">
        <v>15</v>
      </c>
      <c r="H3785" s="2">
        <v>7000</v>
      </c>
      <c r="I3785" s="2">
        <v>6.9</v>
      </c>
      <c r="J3785" s="2">
        <f t="shared" si="28"/>
        <v>2033920</v>
      </c>
      <c r="K3785" s="2">
        <f t="shared" si="29"/>
        <v>0.24031068974945888</v>
      </c>
      <c r="L3785" s="2" t="str">
        <f>IF(ISNUMBER(SEARCH("|",IMDB_Movies!$D3785)),LEFT(IMDB_Movies!$D3785,SEARCH("|",IMDB_Movies!$D3785)-1),IMDB_Movies!$D3785)</f>
        <v>Action</v>
      </c>
      <c r="V3785" s="2"/>
      <c r="W3785" s="2"/>
    </row>
    <row r="3786" spans="1:23" ht="12.5" x14ac:dyDescent="0.25">
      <c r="A3786" s="2" t="s">
        <v>5607</v>
      </c>
      <c r="B3786" s="2">
        <v>95</v>
      </c>
      <c r="C3786" s="2">
        <v>4584</v>
      </c>
      <c r="D3786" s="2" t="s">
        <v>891</v>
      </c>
      <c r="E3786" s="2" t="s">
        <v>6428</v>
      </c>
      <c r="F3786" s="2" t="s">
        <v>14</v>
      </c>
      <c r="G3786" s="2" t="s">
        <v>15</v>
      </c>
      <c r="H3786" s="2">
        <v>9000</v>
      </c>
      <c r="I3786" s="2">
        <v>6.4</v>
      </c>
      <c r="J3786" s="2">
        <f t="shared" si="28"/>
        <v>-4416</v>
      </c>
      <c r="K3786" s="2">
        <f t="shared" si="29"/>
        <v>-1</v>
      </c>
      <c r="L3786" s="2" t="str">
        <f>IF(ISNUMBER(SEARCH("|",IMDB_Movies!$D3786)),LEFT(IMDB_Movies!$D3786,SEARCH("|",IMDB_Movies!$D3786)-1),IMDB_Movies!$D3786)</f>
        <v>Comedy</v>
      </c>
      <c r="V3786" s="2"/>
      <c r="W3786" s="2"/>
    </row>
    <row r="3787" spans="1:23" ht="12.5" x14ac:dyDescent="0.25">
      <c r="A3787" s="2" t="s">
        <v>5805</v>
      </c>
      <c r="B3787" s="2">
        <v>90</v>
      </c>
      <c r="C3787" s="2">
        <v>85222</v>
      </c>
      <c r="D3787" s="2" t="s">
        <v>2943</v>
      </c>
      <c r="E3787" s="2" t="s">
        <v>6429</v>
      </c>
      <c r="F3787" s="2" t="s">
        <v>14</v>
      </c>
      <c r="G3787" s="2" t="s">
        <v>15</v>
      </c>
      <c r="H3787" s="2">
        <v>1100</v>
      </c>
      <c r="I3787" s="2">
        <v>6.6</v>
      </c>
      <c r="J3787" s="2">
        <f t="shared" si="28"/>
        <v>84122</v>
      </c>
      <c r="K3787" s="2" t="e">
        <f t="shared" si="29"/>
        <v>#DIV/0!</v>
      </c>
      <c r="L3787" s="2" t="str">
        <f>IF(ISNUMBER(SEARCH("|",IMDB_Movies!$D3787)),LEFT(IMDB_Movies!$D3787,SEARCH("|",IMDB_Movies!$D3787)-1),IMDB_Movies!$D3787)</f>
        <v>Documentary</v>
      </c>
      <c r="V3787" s="2"/>
      <c r="W3787" s="2"/>
    </row>
    <row r="3788" spans="1:23" ht="12.5" x14ac:dyDescent="0.25">
      <c r="V3788" s="2"/>
      <c r="W3788" s="2"/>
    </row>
    <row r="3789" spans="1:23" ht="12.5" x14ac:dyDescent="0.25">
      <c r="V3789" s="2"/>
      <c r="W3789" s="2"/>
    </row>
    <row r="3790" spans="1:23" ht="12.5" x14ac:dyDescent="0.25">
      <c r="V3790" s="2"/>
      <c r="W3790" s="2"/>
    </row>
    <row r="3791" spans="1:23" ht="12.5" x14ac:dyDescent="0.25">
      <c r="V3791" s="2"/>
      <c r="W3791" s="2"/>
    </row>
    <row r="3792" spans="1:23" ht="12.5" x14ac:dyDescent="0.25">
      <c r="V3792" s="2"/>
      <c r="W3792" s="2"/>
    </row>
    <row r="3793" spans="22:23" ht="12.5" x14ac:dyDescent="0.25">
      <c r="V3793" s="2"/>
      <c r="W3793" s="2"/>
    </row>
    <row r="3794" spans="22:23" ht="12.5" x14ac:dyDescent="0.25">
      <c r="V3794" s="2"/>
      <c r="W3794" s="2"/>
    </row>
    <row r="3795" spans="22:23" ht="12.5" x14ac:dyDescent="0.25">
      <c r="V3795" s="2"/>
      <c r="W3795" s="2"/>
    </row>
    <row r="3796" spans="22:23" ht="12.5" x14ac:dyDescent="0.25">
      <c r="V3796" s="2"/>
      <c r="W3796" s="2"/>
    </row>
    <row r="3797" spans="22:23" ht="12.5" x14ac:dyDescent="0.25">
      <c r="V3797" s="2"/>
      <c r="W3797" s="2"/>
    </row>
    <row r="3798" spans="22:23" ht="12.5" x14ac:dyDescent="0.25">
      <c r="V3798" s="2"/>
      <c r="W3798" s="2"/>
    </row>
    <row r="3799" spans="22:23" ht="12.5" x14ac:dyDescent="0.25">
      <c r="V3799" s="2"/>
      <c r="W3799" s="2"/>
    </row>
    <row r="3800" spans="22:23" ht="12.5" x14ac:dyDescent="0.25">
      <c r="V3800" s="2"/>
      <c r="W3800" s="2"/>
    </row>
    <row r="3801" spans="22:23" ht="12.5" x14ac:dyDescent="0.25">
      <c r="V3801" s="2"/>
      <c r="W3801" s="2"/>
    </row>
    <row r="3802" spans="22:23" ht="12.5" x14ac:dyDescent="0.25">
      <c r="V3802" s="2"/>
      <c r="W3802" s="2"/>
    </row>
    <row r="3803" spans="22:23" ht="12.5" x14ac:dyDescent="0.25">
      <c r="V3803" s="2"/>
      <c r="W3803" s="2"/>
    </row>
    <row r="3804" spans="22:23" ht="12.5" x14ac:dyDescent="0.25">
      <c r="V3804" s="2"/>
      <c r="W3804" s="2"/>
    </row>
    <row r="3805" spans="22:23" ht="12.5" x14ac:dyDescent="0.25">
      <c r="V3805" s="2"/>
      <c r="W3805" s="2"/>
    </row>
    <row r="3806" spans="22:23" ht="12.5" x14ac:dyDescent="0.25">
      <c r="V3806" s="2"/>
      <c r="W3806" s="2"/>
    </row>
    <row r="3807" spans="22:23" ht="12.5" x14ac:dyDescent="0.25">
      <c r="V3807" s="2"/>
      <c r="W3807" s="2"/>
    </row>
    <row r="3808" spans="22:23" ht="12.5" x14ac:dyDescent="0.25">
      <c r="V3808" s="2"/>
      <c r="W3808" s="2"/>
    </row>
    <row r="3809" spans="22:23" ht="12.5" x14ac:dyDescent="0.25">
      <c r="V3809" s="2"/>
      <c r="W3809" s="2"/>
    </row>
    <row r="3810" spans="22:23" ht="12.5" x14ac:dyDescent="0.25">
      <c r="V3810" s="2"/>
      <c r="W3810" s="2"/>
    </row>
    <row r="3811" spans="22:23" ht="12.5" x14ac:dyDescent="0.25">
      <c r="V3811" s="2"/>
      <c r="W3811" s="2"/>
    </row>
    <row r="3812" spans="22:23" ht="12.5" x14ac:dyDescent="0.25">
      <c r="V3812" s="2"/>
      <c r="W3812" s="2"/>
    </row>
    <row r="3813" spans="22:23" ht="12.5" x14ac:dyDescent="0.25">
      <c r="V3813" s="2"/>
      <c r="W3813" s="2"/>
    </row>
    <row r="3814" spans="22:23" ht="12.5" x14ac:dyDescent="0.25">
      <c r="V3814" s="2"/>
      <c r="W3814" s="2"/>
    </row>
    <row r="3815" spans="22:23" ht="12.5" x14ac:dyDescent="0.25">
      <c r="V3815" s="2"/>
      <c r="W3815" s="2"/>
    </row>
    <row r="3816" spans="22:23" ht="12.5" x14ac:dyDescent="0.25">
      <c r="V3816" s="2"/>
      <c r="W3816" s="2"/>
    </row>
    <row r="3817" spans="22:23" ht="12.5" x14ac:dyDescent="0.25">
      <c r="V3817" s="2"/>
      <c r="W3817" s="2"/>
    </row>
    <row r="3818" spans="22:23" ht="12.5" x14ac:dyDescent="0.25">
      <c r="V3818" s="2"/>
      <c r="W3818" s="2"/>
    </row>
    <row r="3819" spans="22:23" ht="12.5" x14ac:dyDescent="0.25">
      <c r="V3819" s="2"/>
      <c r="W3819" s="2"/>
    </row>
    <row r="3820" spans="22:23" ht="12.5" x14ac:dyDescent="0.25">
      <c r="V3820" s="2"/>
      <c r="W3820" s="2"/>
    </row>
    <row r="3821" spans="22:23" ht="12.5" x14ac:dyDescent="0.25">
      <c r="V3821" s="2"/>
      <c r="W3821" s="2"/>
    </row>
    <row r="3822" spans="22:23" ht="12.5" x14ac:dyDescent="0.25">
      <c r="V3822" s="2"/>
      <c r="W3822" s="2"/>
    </row>
    <row r="3823" spans="22:23" ht="12.5" x14ac:dyDescent="0.25">
      <c r="V3823" s="2"/>
      <c r="W3823" s="2"/>
    </row>
    <row r="3824" spans="22:23" ht="12.5" x14ac:dyDescent="0.25">
      <c r="V3824" s="2"/>
      <c r="W3824" s="2"/>
    </row>
    <row r="3825" spans="22:23" ht="12.5" x14ac:dyDescent="0.25">
      <c r="V3825" s="2"/>
      <c r="W3825" s="2"/>
    </row>
    <row r="3826" spans="22:23" ht="12.5" x14ac:dyDescent="0.25">
      <c r="V3826" s="2"/>
      <c r="W3826" s="2"/>
    </row>
    <row r="3827" spans="22:23" ht="12.5" x14ac:dyDescent="0.25">
      <c r="V3827" s="2"/>
      <c r="W3827" s="2"/>
    </row>
    <row r="3828" spans="22:23" ht="12.5" x14ac:dyDescent="0.25">
      <c r="V3828" s="2"/>
      <c r="W3828" s="2"/>
    </row>
    <row r="3829" spans="22:23" ht="12.5" x14ac:dyDescent="0.25">
      <c r="V3829" s="2"/>
      <c r="W3829" s="2"/>
    </row>
    <row r="3830" spans="22:23" ht="12.5" x14ac:dyDescent="0.25">
      <c r="V3830" s="2"/>
      <c r="W3830" s="2"/>
    </row>
    <row r="3831" spans="22:23" ht="12.5" x14ac:dyDescent="0.25">
      <c r="V3831" s="2"/>
      <c r="W3831" s="2"/>
    </row>
    <row r="3832" spans="22:23" ht="12.5" x14ac:dyDescent="0.25">
      <c r="V3832" s="2"/>
      <c r="W3832" s="2"/>
    </row>
    <row r="3833" spans="22:23" ht="12.5" x14ac:dyDescent="0.25">
      <c r="V3833" s="2"/>
      <c r="W3833" s="2"/>
    </row>
    <row r="3834" spans="22:23" ht="12.5" x14ac:dyDescent="0.25">
      <c r="V3834" s="2"/>
      <c r="W3834" s="2"/>
    </row>
    <row r="3835" spans="22:23" ht="12.5" x14ac:dyDescent="0.25">
      <c r="V3835" s="2"/>
      <c r="W3835" s="2"/>
    </row>
    <row r="3836" spans="22:23" ht="12.5" x14ac:dyDescent="0.25">
      <c r="V3836" s="2"/>
      <c r="W3836" s="2"/>
    </row>
    <row r="3837" spans="22:23" ht="12.5" x14ac:dyDescent="0.25">
      <c r="V3837" s="2"/>
      <c r="W3837" s="2"/>
    </row>
    <row r="3838" spans="22:23" ht="12.5" x14ac:dyDescent="0.25">
      <c r="V3838" s="2"/>
      <c r="W3838" s="2"/>
    </row>
    <row r="3839" spans="22:23" ht="12.5" x14ac:dyDescent="0.25">
      <c r="V3839" s="2"/>
      <c r="W3839" s="2"/>
    </row>
    <row r="3840" spans="22:23" ht="12.5" x14ac:dyDescent="0.25">
      <c r="V3840" s="2"/>
      <c r="W3840" s="2"/>
    </row>
    <row r="3841" spans="22:23" ht="12.5" x14ac:dyDescent="0.25">
      <c r="V3841" s="2"/>
      <c r="W3841" s="2"/>
    </row>
    <row r="3842" spans="22:23" ht="12.5" x14ac:dyDescent="0.25">
      <c r="V3842" s="2"/>
      <c r="W3842" s="2"/>
    </row>
    <row r="3843" spans="22:23" ht="12.5" x14ac:dyDescent="0.25">
      <c r="V3843" s="2"/>
      <c r="W3843" s="2"/>
    </row>
    <row r="3844" spans="22:23" ht="12.5" x14ac:dyDescent="0.25">
      <c r="V3844" s="2"/>
      <c r="W3844" s="2"/>
    </row>
  </sheetData>
  <autoFilter ref="A1:Z3844" xr:uid="{00000000-0001-0000-0000-000000000000}"/>
  <customSheetViews>
    <customSheetView guid="{5C84618A-05C3-463D-BDB7-E3431BA01E28}" filter="1" showAutoFilter="1">
      <pageMargins left="0.7" right="0.7" top="0.75" bottom="0.75" header="0.3" footer="0.3"/>
      <autoFilter ref="N103:S141" xr:uid="{9D13B645-A9D2-4F03-B258-7BE0757CDDCF}">
        <sortState xmlns:xlrd2="http://schemas.microsoft.com/office/spreadsheetml/2017/richdata2" ref="N103:S141">
          <sortCondition descending="1" ref="O103:O141"/>
        </sortState>
      </autoFilter>
    </customSheetView>
  </customSheetView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4A4-A571-4826-B7DC-000F1E45BB8D}">
  <dimension ref="B2:J21"/>
  <sheetViews>
    <sheetView topLeftCell="D1" zoomScale="88" workbookViewId="0">
      <selection activeCell="I14" sqref="I14"/>
    </sheetView>
  </sheetViews>
  <sheetFormatPr defaultRowHeight="12.5" x14ac:dyDescent="0.25"/>
  <cols>
    <col min="2" max="2" width="32.54296875" customWidth="1"/>
    <col min="3" max="3" width="13" customWidth="1"/>
    <col min="4" max="4" width="11.81640625" customWidth="1"/>
    <col min="5" max="5" width="12.54296875" customWidth="1"/>
    <col min="6" max="6" width="11.08984375" customWidth="1"/>
    <col min="7" max="7" width="9.7265625" customWidth="1"/>
    <col min="8" max="8" width="9.453125" customWidth="1"/>
    <col min="9" max="9" width="12.08984375" customWidth="1"/>
    <col min="10" max="10" width="11.81640625" customWidth="1"/>
  </cols>
  <sheetData>
    <row r="2" spans="2:10" ht="16.5" x14ac:dyDescent="0.35">
      <c r="B2" s="18" t="s">
        <v>23</v>
      </c>
    </row>
    <row r="4" spans="2:10" ht="13" x14ac:dyDescent="0.3">
      <c r="B4" s="1" t="s">
        <v>30</v>
      </c>
      <c r="C4" s="17" t="s">
        <v>31</v>
      </c>
      <c r="D4" s="1" t="s">
        <v>32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37</v>
      </c>
      <c r="J4" s="15" t="s">
        <v>38</v>
      </c>
    </row>
    <row r="5" spans="2:10" x14ac:dyDescent="0.25">
      <c r="B5" s="2" t="str">
        <f ca="1">IFERROR(__xludf.DUMMYFUNCTION("ARRAY_CONSTRAIN(ARRAYFORMULA(UNIQUE(L2:L3768)), 17, 1)"),"Action")</f>
        <v>Action</v>
      </c>
      <c r="C5" s="2">
        <v>935</v>
      </c>
      <c r="D5" s="2">
        <v>6.2859893048128423</v>
      </c>
      <c r="E5" s="2">
        <v>6.3</v>
      </c>
      <c r="F5" s="2">
        <v>6.6</v>
      </c>
      <c r="G5" s="2">
        <v>9</v>
      </c>
      <c r="H5" s="2">
        <v>2.1</v>
      </c>
      <c r="I5" s="2">
        <v>1.0383577359917382</v>
      </c>
      <c r="J5" s="16">
        <v>1.0781867878938882</v>
      </c>
    </row>
    <row r="6" spans="2:10" x14ac:dyDescent="0.25">
      <c r="B6" s="2" t="str">
        <f ca="1">IFERROR(__xludf.DUMMYFUNCTION("""COMPUTED_VALUE"""),"Adventure")</f>
        <v>Adventure</v>
      </c>
      <c r="C6" s="2">
        <v>766</v>
      </c>
      <c r="D6" s="2">
        <v>6.4549608355091435</v>
      </c>
      <c r="E6" s="2">
        <v>6.6</v>
      </c>
      <c r="F6" s="2">
        <v>6.6</v>
      </c>
      <c r="G6" s="2">
        <v>8.9</v>
      </c>
      <c r="H6" s="2">
        <v>2.2999999999999998</v>
      </c>
      <c r="I6" s="2">
        <v>1.1169263080208442</v>
      </c>
      <c r="J6" s="16">
        <v>1.2475243775490741</v>
      </c>
    </row>
    <row r="7" spans="2:10" x14ac:dyDescent="0.25">
      <c r="B7" s="2" t="str">
        <f ca="1">IFERROR(__xludf.DUMMYFUNCTION("""COMPUTED_VALUE"""),"Drama")</f>
        <v>Drama</v>
      </c>
      <c r="C7" s="2">
        <v>1911</v>
      </c>
      <c r="D7" s="2">
        <v>6.7891156462585176</v>
      </c>
      <c r="E7" s="2">
        <v>6.9</v>
      </c>
      <c r="F7" s="2">
        <v>6.7</v>
      </c>
      <c r="G7" s="2">
        <v>9.3000000000000007</v>
      </c>
      <c r="H7" s="2">
        <v>2.1</v>
      </c>
      <c r="I7" s="2">
        <v>0.8910648977844785</v>
      </c>
      <c r="J7" s="16">
        <v>0.7939966520636631</v>
      </c>
    </row>
    <row r="8" spans="2:10" x14ac:dyDescent="0.25">
      <c r="B8" s="2" t="str">
        <f ca="1">IFERROR(__xludf.DUMMYFUNCTION("""COMPUTED_VALUE"""),"Animation")</f>
        <v>Animation</v>
      </c>
      <c r="C8" s="2">
        <v>197</v>
      </c>
      <c r="D8" s="2">
        <v>6.7005076142131994</v>
      </c>
      <c r="E8" s="2">
        <v>6.8</v>
      </c>
      <c r="F8" s="2">
        <v>7.3</v>
      </c>
      <c r="G8" s="2">
        <v>8.6</v>
      </c>
      <c r="H8" s="2">
        <v>2.8</v>
      </c>
      <c r="I8" s="2">
        <v>0.99362752547446065</v>
      </c>
      <c r="J8" s="16">
        <v>0.9872956593804999</v>
      </c>
    </row>
    <row r="9" spans="2:10" x14ac:dyDescent="0.25">
      <c r="B9" s="2" t="str">
        <f ca="1">IFERROR(__xludf.DUMMYFUNCTION("""COMPUTED_VALUE"""),"Comedy")</f>
        <v>Comedy</v>
      </c>
      <c r="C9" s="2">
        <v>1492</v>
      </c>
      <c r="D9" s="2">
        <v>6.1833109919571152</v>
      </c>
      <c r="E9" s="2">
        <v>6.3</v>
      </c>
      <c r="F9" s="2">
        <v>6.3</v>
      </c>
      <c r="G9" s="2">
        <v>8.8000000000000007</v>
      </c>
      <c r="H9" s="2">
        <v>1.9</v>
      </c>
      <c r="I9" s="2">
        <v>1.039919012124018</v>
      </c>
      <c r="J9" s="16">
        <v>1.0814315517769937</v>
      </c>
    </row>
    <row r="10" spans="2:10" x14ac:dyDescent="0.25">
      <c r="B10" s="2" t="str">
        <f ca="1">IFERROR(__xludf.DUMMYFUNCTION("""COMPUTED_VALUE"""),"Mystery")</f>
        <v>Mystery</v>
      </c>
      <c r="C10" s="2">
        <v>377</v>
      </c>
      <c r="D10" s="2">
        <v>6.469496021220154</v>
      </c>
      <c r="E10" s="2">
        <v>6.5</v>
      </c>
      <c r="F10" s="2">
        <v>6.6</v>
      </c>
      <c r="G10" s="2">
        <v>8.6</v>
      </c>
      <c r="H10" s="2">
        <v>3.1</v>
      </c>
      <c r="I10" s="2">
        <v>1.0073918349677511</v>
      </c>
      <c r="J10" s="16">
        <v>1.0148383091596924</v>
      </c>
    </row>
    <row r="11" spans="2:10" x14ac:dyDescent="0.25">
      <c r="B11" s="2" t="str">
        <f ca="1">IFERROR(__xludf.DUMMYFUNCTION("""COMPUTED_VALUE"""),"Crime")</f>
        <v>Crime</v>
      </c>
      <c r="C11" s="2">
        <v>702</v>
      </c>
      <c r="D11" s="2">
        <v>6.5481481481481483</v>
      </c>
      <c r="E11" s="2">
        <v>6.6</v>
      </c>
      <c r="F11" s="2">
        <v>6.6</v>
      </c>
      <c r="G11" s="2">
        <v>9.3000000000000007</v>
      </c>
      <c r="H11" s="2">
        <v>2.4</v>
      </c>
      <c r="I11" s="2">
        <v>0.98410519875407976</v>
      </c>
      <c r="J11" s="16">
        <v>0.96846304221480684</v>
      </c>
    </row>
    <row r="12" spans="2:10" x14ac:dyDescent="0.25">
      <c r="B12" s="2" t="str">
        <f ca="1">IFERROR(__xludf.DUMMYFUNCTION("""COMPUTED_VALUE"""),"Biography")</f>
        <v>Biography</v>
      </c>
      <c r="C12" s="2">
        <v>242</v>
      </c>
      <c r="D12" s="2">
        <v>7.1400826446280972</v>
      </c>
      <c r="E12" s="2">
        <v>7.2</v>
      </c>
      <c r="F12" s="2">
        <v>7</v>
      </c>
      <c r="G12" s="2">
        <v>8.9</v>
      </c>
      <c r="H12" s="2">
        <v>4.5</v>
      </c>
      <c r="I12" s="2">
        <v>0.7100967099908756</v>
      </c>
      <c r="J12" s="16">
        <v>0.50423733753986566</v>
      </c>
    </row>
    <row r="13" spans="2:10" x14ac:dyDescent="0.25">
      <c r="B13" s="2" t="str">
        <f ca="1">IFERROR(__xludf.DUMMYFUNCTION("""COMPUTED_VALUE"""),"Fantasy")</f>
        <v>Fantasy</v>
      </c>
      <c r="C13" s="2">
        <v>496</v>
      </c>
      <c r="D13" s="2">
        <v>6.2850806451612904</v>
      </c>
      <c r="E13" s="2">
        <v>6.4</v>
      </c>
      <c r="F13" s="2">
        <v>6.7</v>
      </c>
      <c r="G13" s="2">
        <v>8.9</v>
      </c>
      <c r="H13" s="2">
        <v>2.2000000000000002</v>
      </c>
      <c r="I13" s="2">
        <v>1.1404142405055562</v>
      </c>
      <c r="J13" s="16">
        <v>1.3005446399478644</v>
      </c>
    </row>
    <row r="14" spans="2:10" x14ac:dyDescent="0.25">
      <c r="B14" s="2" t="str">
        <f ca="1">IFERROR(__xludf.DUMMYFUNCTION("""COMPUTED_VALUE"""),"Documentary")</f>
        <v>Documentary</v>
      </c>
      <c r="C14" s="2">
        <v>67</v>
      </c>
      <c r="D14" s="2">
        <v>7.0119402985074641</v>
      </c>
      <c r="E14" s="2">
        <v>7.2</v>
      </c>
      <c r="F14" s="2">
        <v>6.6</v>
      </c>
      <c r="G14" s="2">
        <v>8.5</v>
      </c>
      <c r="H14" s="2">
        <v>1.6</v>
      </c>
      <c r="I14" s="2">
        <v>1.1999396939467326</v>
      </c>
      <c r="J14" s="16">
        <v>1.4398552691089785</v>
      </c>
    </row>
    <row r="15" spans="2:10" x14ac:dyDescent="0.25">
      <c r="B15" s="2" t="str">
        <f ca="1">IFERROR(__xludf.DUMMYFUNCTION("""COMPUTED_VALUE"""),"Sci-Fi")</f>
        <v>Sci-Fi</v>
      </c>
      <c r="C15" s="2">
        <v>484</v>
      </c>
      <c r="D15" s="2">
        <v>6.3272727272727227</v>
      </c>
      <c r="E15" s="2">
        <v>6.4</v>
      </c>
      <c r="F15" s="2">
        <v>7</v>
      </c>
      <c r="G15" s="2">
        <v>8.8000000000000007</v>
      </c>
      <c r="H15" s="2">
        <v>1.9</v>
      </c>
      <c r="I15" s="2">
        <v>1.1671841502435489</v>
      </c>
      <c r="J15" s="16">
        <v>1.3623188405797553</v>
      </c>
    </row>
    <row r="16" spans="2:10" x14ac:dyDescent="0.25">
      <c r="B16" s="2" t="str">
        <f ca="1">IFERROR(__xludf.DUMMYFUNCTION("""COMPUTED_VALUE"""),"Horror")</f>
        <v>Horror</v>
      </c>
      <c r="C16" s="2">
        <v>379</v>
      </c>
      <c r="D16" s="2">
        <v>5.9039577836411574</v>
      </c>
      <c r="E16" s="2">
        <v>5.9</v>
      </c>
      <c r="F16" s="2">
        <v>6.2</v>
      </c>
      <c r="G16" s="2">
        <v>8.6</v>
      </c>
      <c r="H16" s="2">
        <v>2.2999999999999998</v>
      </c>
      <c r="I16" s="2">
        <v>0.99102328512111548</v>
      </c>
      <c r="J16" s="16">
        <v>0.98212715165224773</v>
      </c>
    </row>
    <row r="17" spans="2:10" x14ac:dyDescent="0.25">
      <c r="B17" s="2" t="str">
        <f ca="1">IFERROR(__xludf.DUMMYFUNCTION("""COMPUTED_VALUE"""),"Romance")</f>
        <v>Romance</v>
      </c>
      <c r="C17" s="2">
        <v>866</v>
      </c>
      <c r="D17" s="2">
        <v>6.4262124711316391</v>
      </c>
      <c r="E17" s="2">
        <v>6.5</v>
      </c>
      <c r="F17" s="2">
        <v>6.5</v>
      </c>
      <c r="G17" s="2">
        <v>8.5</v>
      </c>
      <c r="H17" s="2">
        <v>2.1</v>
      </c>
      <c r="I17" s="2">
        <v>0.96899624897434178</v>
      </c>
      <c r="J17" s="16">
        <v>0.93895373052634457</v>
      </c>
    </row>
    <row r="18" spans="2:10" x14ac:dyDescent="0.25">
      <c r="B18" s="2" t="str">
        <f ca="1">IFERROR(__xludf.DUMMYFUNCTION("""COMPUTED_VALUE"""),"Family")</f>
        <v>Family</v>
      </c>
      <c r="C18" s="2">
        <v>441</v>
      </c>
      <c r="D18" s="2">
        <v>6.2000000000000037</v>
      </c>
      <c r="E18" s="2">
        <v>6.3</v>
      </c>
      <c r="F18" s="2">
        <v>5.4</v>
      </c>
      <c r="G18" s="2">
        <v>8.6</v>
      </c>
      <c r="H18" s="2">
        <v>1.9</v>
      </c>
      <c r="I18" s="2">
        <v>1.1695764579150019</v>
      </c>
      <c r="J18" s="16">
        <v>1.3679090909090024</v>
      </c>
    </row>
    <row r="19" spans="2:10" x14ac:dyDescent="0.25">
      <c r="B19" s="2" t="str">
        <f ca="1">IFERROR(__xludf.DUMMYFUNCTION("""COMPUTED_VALUE"""),"Western")</f>
        <v>Western</v>
      </c>
      <c r="C19" s="2">
        <v>58</v>
      </c>
      <c r="D19" s="2">
        <v>6.7655172413793121</v>
      </c>
      <c r="E19" s="2">
        <v>6.8</v>
      </c>
      <c r="F19" s="2">
        <v>6.8</v>
      </c>
      <c r="G19" s="2">
        <v>8.9</v>
      </c>
      <c r="H19" s="2">
        <v>4.0999999999999996</v>
      </c>
      <c r="I19" s="2">
        <v>0.99851674631923981</v>
      </c>
      <c r="J19" s="16">
        <v>0.99703569267996117</v>
      </c>
    </row>
    <row r="20" spans="2:10" x14ac:dyDescent="0.25">
      <c r="B20" s="2" t="str">
        <f ca="1">IFERROR(__xludf.DUMMYFUNCTION("""COMPUTED_VALUE"""),"Musical")</f>
        <v>Musical</v>
      </c>
      <c r="C20" s="2">
        <v>102</v>
      </c>
      <c r="D20" s="2">
        <v>6.5509803921568643</v>
      </c>
      <c r="E20" s="2">
        <v>6.7</v>
      </c>
      <c r="F20" s="2">
        <v>7.1</v>
      </c>
      <c r="G20" s="2">
        <v>8.5</v>
      </c>
      <c r="H20" s="2">
        <v>2.1</v>
      </c>
      <c r="I20" s="2">
        <v>1.1435350001820657</v>
      </c>
      <c r="J20" s="16">
        <v>1.3076722966413967</v>
      </c>
    </row>
    <row r="21" spans="2:10" x14ac:dyDescent="0.25">
      <c r="B21" s="2" t="str">
        <f ca="1">IFERROR(__xludf.DUMMYFUNCTION("""COMPUTED_VALUE"""),"Thriller")</f>
        <v>Thriller</v>
      </c>
      <c r="C21" s="2">
        <v>1087</v>
      </c>
      <c r="D21" s="2">
        <v>6.3723091076357079</v>
      </c>
      <c r="E21" s="2">
        <v>6.4</v>
      </c>
      <c r="F21" s="2">
        <v>6.5</v>
      </c>
      <c r="G21" s="2">
        <v>9</v>
      </c>
      <c r="H21" s="2">
        <v>2.7</v>
      </c>
      <c r="I21" s="2">
        <v>0.96907832659447168</v>
      </c>
      <c r="J21" s="16">
        <v>0.93911280307514144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56FA-3036-4A9E-8E01-73CB3740F75C}">
  <dimension ref="B2:C9"/>
  <sheetViews>
    <sheetView workbookViewId="0">
      <selection activeCell="B2" sqref="B2"/>
    </sheetView>
  </sheetViews>
  <sheetFormatPr defaultRowHeight="12.5" x14ac:dyDescent="0.25"/>
  <cols>
    <col min="2" max="2" width="35.54296875" bestFit="1" customWidth="1"/>
    <col min="3" max="3" width="10.81640625" customWidth="1"/>
  </cols>
  <sheetData>
    <row r="2" spans="2:3" ht="19" x14ac:dyDescent="0.4">
      <c r="B2" s="29" t="s">
        <v>6430</v>
      </c>
    </row>
    <row r="4" spans="2:3" ht="13" x14ac:dyDescent="0.3">
      <c r="B4" s="1" t="s">
        <v>152</v>
      </c>
      <c r="C4" s="1" t="s">
        <v>153</v>
      </c>
    </row>
    <row r="5" spans="2:3" ht="13" x14ac:dyDescent="0.3">
      <c r="B5" s="1" t="s">
        <v>157</v>
      </c>
      <c r="C5" s="2">
        <v>109.80850501848917</v>
      </c>
    </row>
    <row r="6" spans="2:3" ht="13" x14ac:dyDescent="0.3">
      <c r="B6" s="1" t="s">
        <v>163</v>
      </c>
      <c r="C6" s="2">
        <v>105</v>
      </c>
    </row>
    <row r="7" spans="2:3" ht="13" x14ac:dyDescent="0.3">
      <c r="B7" s="1" t="s">
        <v>167</v>
      </c>
      <c r="C7" s="2">
        <v>101</v>
      </c>
    </row>
    <row r="8" spans="2:3" ht="13" x14ac:dyDescent="0.3">
      <c r="B8" s="1" t="s">
        <v>170</v>
      </c>
      <c r="C8" s="2">
        <v>22.763201004773606</v>
      </c>
    </row>
    <row r="9" spans="2:3" ht="13" x14ac:dyDescent="0.3">
      <c r="B9" s="1" t="s">
        <v>173</v>
      </c>
      <c r="C9" s="2">
        <v>518.16331998372607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0E8D-26F1-46CA-AE48-34342E68C579}">
  <dimension ref="B2:G42"/>
  <sheetViews>
    <sheetView workbookViewId="0">
      <selection activeCell="B2" sqref="B2"/>
    </sheetView>
  </sheetViews>
  <sheetFormatPr defaultRowHeight="12.5" x14ac:dyDescent="0.25"/>
  <cols>
    <col min="2" max="2" width="26.54296875" customWidth="1"/>
    <col min="3" max="4" width="15.36328125" bestFit="1" customWidth="1"/>
    <col min="5" max="6" width="14.453125" bestFit="1" customWidth="1"/>
    <col min="7" max="7" width="14.1796875" style="27" customWidth="1"/>
  </cols>
  <sheetData>
    <row r="2" spans="2:7" ht="15.5" x14ac:dyDescent="0.35">
      <c r="B2" s="28" t="s">
        <v>260</v>
      </c>
    </row>
    <row r="4" spans="2:7" ht="13" x14ac:dyDescent="0.3">
      <c r="B4" s="23" t="s">
        <v>269</v>
      </c>
      <c r="C4" s="23" t="s">
        <v>31</v>
      </c>
      <c r="D4" s="23" t="s">
        <v>270</v>
      </c>
      <c r="E4" s="23" t="s">
        <v>33</v>
      </c>
      <c r="F4" s="26" t="s">
        <v>37</v>
      </c>
      <c r="G4"/>
    </row>
    <row r="5" spans="2:7" ht="13" x14ac:dyDescent="0.3">
      <c r="B5" s="21" t="s">
        <v>14</v>
      </c>
      <c r="C5" s="19">
        <v>3606</v>
      </c>
      <c r="D5" s="19">
        <v>6.421436495</v>
      </c>
      <c r="E5" s="19">
        <v>6.5</v>
      </c>
      <c r="F5" s="19">
        <v>1.052498903</v>
      </c>
      <c r="G5"/>
    </row>
    <row r="6" spans="2:7" ht="13" x14ac:dyDescent="0.3">
      <c r="B6" s="22" t="s">
        <v>699</v>
      </c>
      <c r="C6" s="20">
        <v>14</v>
      </c>
      <c r="D6" s="20">
        <v>7.0214285710000004</v>
      </c>
      <c r="E6" s="20">
        <v>7.25</v>
      </c>
      <c r="F6" s="20">
        <v>0.76578624399999995</v>
      </c>
      <c r="G6"/>
    </row>
    <row r="7" spans="2:7" ht="13" x14ac:dyDescent="0.3">
      <c r="B7" s="21" t="s">
        <v>795</v>
      </c>
      <c r="C7" s="19">
        <v>2</v>
      </c>
      <c r="D7" s="19">
        <v>6.95</v>
      </c>
      <c r="E7" s="19">
        <v>6.95</v>
      </c>
      <c r="F7" s="19">
        <v>0.77781745899999999</v>
      </c>
      <c r="G7"/>
    </row>
    <row r="8" spans="2:7" ht="13" x14ac:dyDescent="0.3">
      <c r="B8" s="22" t="s">
        <v>971</v>
      </c>
      <c r="C8" s="20">
        <v>26</v>
      </c>
      <c r="D8" s="20">
        <v>7.05</v>
      </c>
      <c r="E8" s="20">
        <v>7.15</v>
      </c>
      <c r="F8" s="20">
        <v>0.82619610300000002</v>
      </c>
      <c r="G8"/>
    </row>
    <row r="9" spans="2:7" ht="13" x14ac:dyDescent="0.3">
      <c r="B9" s="21" t="s">
        <v>1006</v>
      </c>
      <c r="C9" s="19">
        <v>37</v>
      </c>
      <c r="D9" s="19">
        <v>7.2864864860000003</v>
      </c>
      <c r="E9" s="19">
        <v>7.2</v>
      </c>
      <c r="F9" s="19">
        <v>0.56132886100000001</v>
      </c>
      <c r="G9"/>
    </row>
    <row r="10" spans="2:7" ht="13" x14ac:dyDescent="0.3">
      <c r="B10" s="22" t="s">
        <v>1521</v>
      </c>
      <c r="C10" s="20">
        <v>1</v>
      </c>
      <c r="D10" s="20">
        <v>6.7</v>
      </c>
      <c r="E10" s="20">
        <v>6.7</v>
      </c>
      <c r="F10" s="20" t="e">
        <v>#DIV/0!</v>
      </c>
      <c r="G10"/>
    </row>
    <row r="11" spans="2:7" ht="13" x14ac:dyDescent="0.3">
      <c r="B11" s="21" t="s">
        <v>2165</v>
      </c>
      <c r="C11" s="19">
        <v>1</v>
      </c>
      <c r="D11" s="19">
        <v>7.8</v>
      </c>
      <c r="E11" s="19">
        <v>7.8</v>
      </c>
      <c r="F11" s="19" t="e">
        <v>#DIV/0!</v>
      </c>
      <c r="G11"/>
    </row>
    <row r="12" spans="2:7" ht="13" x14ac:dyDescent="0.3">
      <c r="B12" s="22" t="s">
        <v>2302</v>
      </c>
      <c r="C12" s="20">
        <v>1</v>
      </c>
      <c r="D12" s="20">
        <v>6</v>
      </c>
      <c r="E12" s="20">
        <v>6</v>
      </c>
      <c r="F12" s="20" t="e">
        <v>#DIV/0!</v>
      </c>
      <c r="G12"/>
    </row>
    <row r="13" spans="2:7" ht="13" x14ac:dyDescent="0.3">
      <c r="B13" s="21" t="s">
        <v>2311</v>
      </c>
      <c r="C13" s="19">
        <v>1</v>
      </c>
      <c r="D13" s="19">
        <v>8.4</v>
      </c>
      <c r="E13" s="19">
        <v>8.4</v>
      </c>
      <c r="F13" s="19" t="e">
        <v>#DIV/0!</v>
      </c>
      <c r="G13"/>
    </row>
    <row r="14" spans="2:7" ht="13" x14ac:dyDescent="0.3">
      <c r="B14" s="22" t="s">
        <v>2413</v>
      </c>
      <c r="C14" s="20">
        <v>8</v>
      </c>
      <c r="D14" s="20">
        <v>7.2374999999999998</v>
      </c>
      <c r="E14" s="20">
        <v>7.3</v>
      </c>
      <c r="F14" s="20">
        <v>0.44057592200000001</v>
      </c>
      <c r="G14"/>
    </row>
    <row r="15" spans="2:7" ht="13" x14ac:dyDescent="0.3">
      <c r="B15" s="21" t="s">
        <v>2568</v>
      </c>
      <c r="C15" s="19">
        <v>12</v>
      </c>
      <c r="D15" s="19">
        <v>7.625</v>
      </c>
      <c r="E15" s="19">
        <v>7.8</v>
      </c>
      <c r="F15" s="19">
        <v>0.89962113200000005</v>
      </c>
      <c r="G15"/>
    </row>
    <row r="16" spans="2:7" ht="13" x14ac:dyDescent="0.3">
      <c r="B16" s="22" t="s">
        <v>3055</v>
      </c>
      <c r="C16" s="20">
        <v>1</v>
      </c>
      <c r="D16" s="20">
        <v>7.1</v>
      </c>
      <c r="E16" s="20">
        <v>7.1</v>
      </c>
      <c r="F16" s="20" t="e">
        <v>#DIV/0!</v>
      </c>
      <c r="G16"/>
    </row>
    <row r="17" spans="2:7" ht="13" x14ac:dyDescent="0.3">
      <c r="B17" s="21" t="s">
        <v>3189</v>
      </c>
      <c r="C17" s="19">
        <v>7</v>
      </c>
      <c r="D17" s="19">
        <v>7.1857142859999996</v>
      </c>
      <c r="E17" s="19">
        <v>7</v>
      </c>
      <c r="F17" s="19">
        <v>1.1553189619999999</v>
      </c>
      <c r="G17"/>
    </row>
    <row r="18" spans="2:7" ht="13" x14ac:dyDescent="0.3">
      <c r="B18" s="22" t="s">
        <v>3392</v>
      </c>
      <c r="C18" s="20">
        <v>3</v>
      </c>
      <c r="D18" s="20">
        <v>7.5666666669999998</v>
      </c>
      <c r="E18" s="20">
        <v>7.8</v>
      </c>
      <c r="F18" s="20">
        <v>0.40414518799999999</v>
      </c>
      <c r="G18"/>
    </row>
    <row r="19" spans="2:7" ht="13" x14ac:dyDescent="0.3">
      <c r="B19" s="21" t="s">
        <v>3589</v>
      </c>
      <c r="C19" s="19">
        <v>2</v>
      </c>
      <c r="D19" s="19">
        <v>7.5</v>
      </c>
      <c r="E19" s="19">
        <v>7.4</v>
      </c>
      <c r="F19" s="19">
        <v>0.73231937499999999</v>
      </c>
      <c r="G19"/>
    </row>
    <row r="20" spans="2:7" ht="13" x14ac:dyDescent="0.3">
      <c r="B20" s="22" t="s">
        <v>3713</v>
      </c>
      <c r="C20" s="20">
        <v>13</v>
      </c>
      <c r="D20" s="20">
        <v>7.692307692</v>
      </c>
      <c r="E20" s="20">
        <v>7.7</v>
      </c>
      <c r="F20" s="20">
        <v>0.64091281099999997</v>
      </c>
      <c r="G20"/>
    </row>
    <row r="21" spans="2:7" ht="13" x14ac:dyDescent="0.3">
      <c r="B21" s="21" t="s">
        <v>3833</v>
      </c>
      <c r="C21" s="19">
        <v>1</v>
      </c>
      <c r="D21" s="19">
        <v>7.3</v>
      </c>
      <c r="E21" s="19">
        <v>7.3</v>
      </c>
      <c r="F21" s="19" t="e">
        <v>#DIV/0!</v>
      </c>
      <c r="G21"/>
    </row>
    <row r="22" spans="2:7" ht="13" x14ac:dyDescent="0.3">
      <c r="B22" s="22" t="s">
        <v>4220</v>
      </c>
      <c r="C22" s="20">
        <v>3</v>
      </c>
      <c r="D22" s="20">
        <v>6.6333333330000004</v>
      </c>
      <c r="E22" s="20">
        <v>6.6</v>
      </c>
      <c r="F22" s="20">
        <v>0.45092497500000001</v>
      </c>
      <c r="G22"/>
    </row>
    <row r="23" spans="2:7" ht="13" x14ac:dyDescent="0.3">
      <c r="B23" s="21" t="s">
        <v>4399</v>
      </c>
      <c r="C23" s="19">
        <v>1</v>
      </c>
      <c r="D23" s="19">
        <v>4.3</v>
      </c>
      <c r="E23" s="19">
        <v>4.3</v>
      </c>
      <c r="F23" s="19" t="e">
        <v>#DIV/0!</v>
      </c>
      <c r="G23"/>
    </row>
    <row r="24" spans="2:7" ht="13" x14ac:dyDescent="0.3">
      <c r="B24" s="22" t="s">
        <v>4432</v>
      </c>
      <c r="C24" s="20">
        <v>5</v>
      </c>
      <c r="D24" s="20">
        <v>7.7</v>
      </c>
      <c r="E24" s="20">
        <v>7.7</v>
      </c>
      <c r="F24" s="20">
        <v>0.57008771300000005</v>
      </c>
      <c r="G24"/>
    </row>
    <row r="25" spans="2:7" ht="13" x14ac:dyDescent="0.3">
      <c r="B25" s="21" t="s">
        <v>4556</v>
      </c>
      <c r="C25" s="19">
        <v>1</v>
      </c>
      <c r="D25" s="19">
        <v>7.1</v>
      </c>
      <c r="E25" s="19">
        <v>7.1</v>
      </c>
      <c r="F25" s="19" t="e">
        <v>#DIV/0!</v>
      </c>
      <c r="G25"/>
    </row>
    <row r="26" spans="2:7" ht="13" x14ac:dyDescent="0.3">
      <c r="B26" s="22" t="s">
        <v>4629</v>
      </c>
      <c r="C26" s="20">
        <v>10</v>
      </c>
      <c r="D26" s="20">
        <v>6.76</v>
      </c>
      <c r="E26" s="20">
        <v>7.05</v>
      </c>
      <c r="F26" s="20">
        <v>1.1117553689999999</v>
      </c>
      <c r="G26"/>
    </row>
    <row r="27" spans="2:7" ht="13" x14ac:dyDescent="0.3">
      <c r="B27" s="21" t="s">
        <v>4850</v>
      </c>
      <c r="C27" s="19">
        <v>1</v>
      </c>
      <c r="D27" s="19">
        <v>6.9</v>
      </c>
      <c r="E27" s="19">
        <v>6.9</v>
      </c>
      <c r="F27" s="19" t="e">
        <v>#DIV/0!</v>
      </c>
      <c r="G27"/>
    </row>
    <row r="28" spans="2:7" ht="13" x14ac:dyDescent="0.3">
      <c r="B28" s="22" t="s">
        <v>4909</v>
      </c>
      <c r="C28" s="20">
        <v>3</v>
      </c>
      <c r="D28" s="20">
        <v>7.9</v>
      </c>
      <c r="E28" s="20">
        <v>8.1</v>
      </c>
      <c r="F28" s="20">
        <v>0.52915026200000004</v>
      </c>
      <c r="G28"/>
    </row>
    <row r="29" spans="2:7" ht="13" x14ac:dyDescent="0.3">
      <c r="B29" s="21" t="s">
        <v>5153</v>
      </c>
      <c r="C29" s="19">
        <v>5</v>
      </c>
      <c r="D29" s="19">
        <v>7.76</v>
      </c>
      <c r="E29" s="19">
        <v>8</v>
      </c>
      <c r="F29" s="19">
        <v>0.97877474399999997</v>
      </c>
      <c r="G29"/>
    </row>
    <row r="30" spans="2:7" ht="13" x14ac:dyDescent="0.3">
      <c r="B30" s="22" t="s">
        <v>5315</v>
      </c>
      <c r="C30" s="20">
        <v>4</v>
      </c>
      <c r="D30" s="20">
        <v>7.15</v>
      </c>
      <c r="E30" s="20">
        <v>7.3</v>
      </c>
      <c r="F30" s="20">
        <v>0.57445626500000002</v>
      </c>
      <c r="G30"/>
    </row>
    <row r="31" spans="2:7" ht="13" x14ac:dyDescent="0.3">
      <c r="B31" s="21" t="s">
        <v>5453</v>
      </c>
      <c r="C31" s="19">
        <v>1</v>
      </c>
      <c r="D31" s="19">
        <v>7.4</v>
      </c>
      <c r="E31" s="19">
        <v>7.4</v>
      </c>
      <c r="F31" s="19" t="e">
        <v>#DIV/0!</v>
      </c>
      <c r="G31"/>
    </row>
    <row r="32" spans="2:7" ht="13" x14ac:dyDescent="0.3">
      <c r="B32" s="22" t="s">
        <v>5500</v>
      </c>
      <c r="C32" s="20">
        <v>1</v>
      </c>
      <c r="D32" s="20">
        <v>6.5</v>
      </c>
      <c r="E32" s="20">
        <v>6.5</v>
      </c>
      <c r="F32" s="20" t="e">
        <v>#DIV/0!</v>
      </c>
      <c r="G32"/>
    </row>
    <row r="33" spans="2:7" ht="13" x14ac:dyDescent="0.3">
      <c r="B33" s="21" t="s">
        <v>5548</v>
      </c>
      <c r="C33" s="19">
        <v>1</v>
      </c>
      <c r="D33" s="19">
        <v>8.5</v>
      </c>
      <c r="E33" s="19">
        <v>8.5</v>
      </c>
      <c r="F33" s="19" t="e">
        <v>#DIV/0!</v>
      </c>
      <c r="G33"/>
    </row>
    <row r="34" spans="2:7" ht="13" x14ac:dyDescent="0.3">
      <c r="B34" s="22" t="s">
        <v>5703</v>
      </c>
      <c r="C34" s="20">
        <v>1</v>
      </c>
      <c r="D34" s="20">
        <v>7.3</v>
      </c>
      <c r="E34" s="20">
        <v>7.3</v>
      </c>
      <c r="F34" s="20" t="e">
        <v>#DIV/0!</v>
      </c>
      <c r="G34"/>
    </row>
    <row r="35" spans="2:7" ht="13" x14ac:dyDescent="0.3">
      <c r="B35" s="21" t="s">
        <v>5851</v>
      </c>
      <c r="C35" s="19">
        <v>3</v>
      </c>
      <c r="D35" s="19">
        <v>7.5</v>
      </c>
      <c r="E35" s="19">
        <v>7.3</v>
      </c>
      <c r="F35" s="19">
        <v>0.435889894</v>
      </c>
      <c r="G35"/>
    </row>
    <row r="36" spans="2:7" ht="13" x14ac:dyDescent="0.3">
      <c r="B36" s="22" t="s">
        <v>5910</v>
      </c>
      <c r="C36" s="20">
        <v>1</v>
      </c>
      <c r="D36" s="20">
        <v>7.5</v>
      </c>
      <c r="E36" s="20">
        <v>7.5</v>
      </c>
      <c r="F36" s="20" t="e">
        <v>#DIV/0!</v>
      </c>
      <c r="G36"/>
    </row>
    <row r="37" spans="2:7" ht="13" x14ac:dyDescent="0.3">
      <c r="B37" s="21" t="s">
        <v>5929</v>
      </c>
      <c r="C37" s="19">
        <v>1</v>
      </c>
      <c r="D37" s="19">
        <v>7.2</v>
      </c>
      <c r="E37" s="19">
        <v>7.2</v>
      </c>
      <c r="F37" s="19" t="e">
        <v>#DIV/0!</v>
      </c>
      <c r="G37"/>
    </row>
    <row r="38" spans="2:7" ht="13" x14ac:dyDescent="0.3">
      <c r="B38" s="22" t="s">
        <v>5987</v>
      </c>
      <c r="C38" s="20">
        <v>1</v>
      </c>
      <c r="D38" s="20">
        <v>7.4</v>
      </c>
      <c r="E38" s="20">
        <v>7.4</v>
      </c>
      <c r="F38" s="20" t="e">
        <v>#DIV/0!</v>
      </c>
      <c r="G38"/>
    </row>
    <row r="39" spans="2:7" ht="13" x14ac:dyDescent="0.3">
      <c r="B39" s="21" t="s">
        <v>6039</v>
      </c>
      <c r="C39" s="19">
        <v>2</v>
      </c>
      <c r="D39" s="19">
        <v>7.9</v>
      </c>
      <c r="E39" s="19">
        <v>7.9</v>
      </c>
      <c r="F39" s="19">
        <v>0.42426406900000002</v>
      </c>
      <c r="G39"/>
    </row>
    <row r="40" spans="2:7" ht="13" x14ac:dyDescent="0.3">
      <c r="B40" s="22" t="s">
        <v>6133</v>
      </c>
      <c r="C40" s="20">
        <v>1</v>
      </c>
      <c r="D40" s="20">
        <v>7.9</v>
      </c>
      <c r="E40" s="20">
        <v>7.9</v>
      </c>
      <c r="F40" s="20" t="e">
        <v>#DIV/0!</v>
      </c>
      <c r="G40"/>
    </row>
    <row r="41" spans="2:7" ht="13" x14ac:dyDescent="0.3">
      <c r="B41" s="21" t="s">
        <v>6150</v>
      </c>
      <c r="C41" s="19">
        <v>3</v>
      </c>
      <c r="D41" s="19">
        <v>8.1333333329999995</v>
      </c>
      <c r="E41" s="19">
        <v>8.4</v>
      </c>
      <c r="F41" s="19">
        <v>0.55075705500000005</v>
      </c>
      <c r="G41"/>
    </row>
    <row r="42" spans="2:7" ht="13" x14ac:dyDescent="0.3">
      <c r="B42" s="24" t="s">
        <v>6262</v>
      </c>
      <c r="C42" s="25">
        <v>1</v>
      </c>
      <c r="D42" s="25">
        <v>7.6</v>
      </c>
      <c r="E42" s="25">
        <v>7.6</v>
      </c>
      <c r="F42" s="25" t="e">
        <v>#DIV/0!</v>
      </c>
      <c r="G4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566D-7D4C-48A0-A9AB-2A78F595FF41}">
  <dimension ref="B1:E1754"/>
  <sheetViews>
    <sheetView topLeftCell="A7" zoomScaleNormal="100" workbookViewId="0">
      <selection activeCell="B13" sqref="B13"/>
    </sheetView>
  </sheetViews>
  <sheetFormatPr defaultRowHeight="12.5" x14ac:dyDescent="0.25"/>
  <cols>
    <col min="2" max="2" width="31.81640625" customWidth="1"/>
    <col min="3" max="3" width="15.453125" customWidth="1"/>
    <col min="4" max="4" width="11.7265625" customWidth="1"/>
    <col min="5" max="5" width="15.453125" customWidth="1"/>
  </cols>
  <sheetData>
    <row r="1" spans="2:5" ht="19" x14ac:dyDescent="0.4">
      <c r="B1" s="14" t="s">
        <v>357</v>
      </c>
    </row>
    <row r="3" spans="2:5" ht="13" x14ac:dyDescent="0.3">
      <c r="B3" s="9" t="s">
        <v>362</v>
      </c>
      <c r="C3" s="9" t="s">
        <v>270</v>
      </c>
      <c r="D3" s="9" t="s">
        <v>363</v>
      </c>
      <c r="E3" s="9" t="s">
        <v>364</v>
      </c>
    </row>
    <row r="4" spans="2:5" x14ac:dyDescent="0.25">
      <c r="B4" s="11" t="str">
        <f ca="1">IFERROR(__xludf.DUMMYFUNCTION("UNIQUE(A2:A3787)"),"James Cameron")</f>
        <v>James Cameron</v>
      </c>
      <c r="C4" s="11">
        <v>7.9142857142857137</v>
      </c>
      <c r="D4" s="11">
        <v>0.97599999999999998</v>
      </c>
      <c r="E4" s="11">
        <v>7</v>
      </c>
    </row>
    <row r="5" spans="2:5" x14ac:dyDescent="0.25">
      <c r="B5" s="12" t="str">
        <f ca="1">IFERROR(__xludf.DUMMYFUNCTION("""COMPUTED_VALUE"""),"Gore Verbinski")</f>
        <v>Gore Verbinski</v>
      </c>
      <c r="C5" s="12">
        <v>6.9857142857142858</v>
      </c>
      <c r="D5" s="12">
        <v>0.72199999999999998</v>
      </c>
      <c r="E5" s="12">
        <v>7</v>
      </c>
    </row>
    <row r="6" spans="2:5" x14ac:dyDescent="0.25">
      <c r="B6" s="11" t="str">
        <f ca="1">IFERROR(__xludf.DUMMYFUNCTION("""COMPUTED_VALUE"""),"Sam Mendes")</f>
        <v>Sam Mendes</v>
      </c>
      <c r="C6" s="11">
        <v>7.4571428571428564</v>
      </c>
      <c r="D6" s="11">
        <v>0.89100000000000001</v>
      </c>
      <c r="E6" s="11">
        <v>7</v>
      </c>
    </row>
    <row r="7" spans="2:5" x14ac:dyDescent="0.25">
      <c r="B7" s="12" t="str">
        <f ca="1">IFERROR(__xludf.DUMMYFUNCTION("""COMPUTED_VALUE"""),"Christopher Nolan")</f>
        <v>Christopher Nolan</v>
      </c>
      <c r="C7" s="12">
        <v>8.4250000000000007</v>
      </c>
      <c r="D7" s="12">
        <v>0.995</v>
      </c>
      <c r="E7" s="12">
        <v>8</v>
      </c>
    </row>
    <row r="8" spans="2:5" x14ac:dyDescent="0.25">
      <c r="B8" s="11" t="str">
        <f ca="1">IFERROR(__xludf.DUMMYFUNCTION("""COMPUTED_VALUE"""),"Andrew Stanton")</f>
        <v>Andrew Stanton</v>
      </c>
      <c r="C8" s="11">
        <v>7.7333333333333334</v>
      </c>
      <c r="D8" s="11">
        <v>0.95299999999999996</v>
      </c>
      <c r="E8" s="11">
        <v>3</v>
      </c>
    </row>
    <row r="9" spans="2:5" x14ac:dyDescent="0.25">
      <c r="B9" s="12" t="str">
        <f ca="1">IFERROR(__xludf.DUMMYFUNCTION("""COMPUTED_VALUE"""),"Sam Raimi")</f>
        <v>Sam Raimi</v>
      </c>
      <c r="C9" s="12">
        <v>6.9600000000000009</v>
      </c>
      <c r="D9" s="12">
        <v>0.71799999999999997</v>
      </c>
      <c r="E9" s="12">
        <v>10</v>
      </c>
    </row>
    <row r="10" spans="2:5" x14ac:dyDescent="0.25">
      <c r="B10" s="11" t="str">
        <f ca="1">IFERROR(__xludf.DUMMYFUNCTION("""COMPUTED_VALUE"""),"Nathan Greno")</f>
        <v>Nathan Greno</v>
      </c>
      <c r="C10" s="11">
        <v>7.8</v>
      </c>
      <c r="D10" s="11">
        <v>0.95799999999999996</v>
      </c>
      <c r="E10" s="11">
        <v>1</v>
      </c>
    </row>
    <row r="11" spans="2:5" x14ac:dyDescent="0.25">
      <c r="B11" s="12" t="str">
        <f ca="1">IFERROR(__xludf.DUMMYFUNCTION("""COMPUTED_VALUE"""),"Joss Whedon")</f>
        <v>Joss Whedon</v>
      </c>
      <c r="C11" s="12">
        <v>7.8666666666666671</v>
      </c>
      <c r="D11" s="12">
        <v>0.96899999999999997</v>
      </c>
      <c r="E11" s="12">
        <v>3</v>
      </c>
    </row>
    <row r="12" spans="2:5" x14ac:dyDescent="0.25">
      <c r="B12" s="11" t="str">
        <f ca="1">IFERROR(__xludf.DUMMYFUNCTION("""COMPUTED_VALUE"""),"David Yates")</f>
        <v>David Yates</v>
      </c>
      <c r="C12" s="11">
        <v>7.2</v>
      </c>
      <c r="D12" s="11">
        <v>0.81200000000000006</v>
      </c>
      <c r="E12" s="11">
        <v>3</v>
      </c>
    </row>
    <row r="13" spans="2:5" x14ac:dyDescent="0.25">
      <c r="B13" s="12" t="str">
        <f ca="1">IFERROR(__xludf.DUMMYFUNCTION("""COMPUTED_VALUE"""),"Zack Snyder")</f>
        <v>Zack Snyder</v>
      </c>
      <c r="C13" s="12">
        <v>7.1428571428571432</v>
      </c>
      <c r="D13" s="12">
        <v>0.80400000000000005</v>
      </c>
      <c r="E13" s="12">
        <v>7</v>
      </c>
    </row>
    <row r="14" spans="2:5" x14ac:dyDescent="0.25">
      <c r="B14" s="11" t="str">
        <f ca="1">IFERROR(__xludf.DUMMYFUNCTION("""COMPUTED_VALUE"""),"Bryan Singer")</f>
        <v>Bryan Singer</v>
      </c>
      <c r="C14" s="11">
        <v>7.2875000000000005</v>
      </c>
      <c r="D14" s="11">
        <v>0.84899999999999998</v>
      </c>
      <c r="E14" s="11">
        <v>8</v>
      </c>
    </row>
    <row r="15" spans="2:5" x14ac:dyDescent="0.25">
      <c r="B15" s="12" t="str">
        <f ca="1">IFERROR(__xludf.DUMMYFUNCTION("""COMPUTED_VALUE"""),"Marc Forster")</f>
        <v>Marc Forster</v>
      </c>
      <c r="C15" s="12">
        <v>7.2285714285714286</v>
      </c>
      <c r="D15" s="12">
        <v>0.84099999999999997</v>
      </c>
      <c r="E15" s="12">
        <v>7</v>
      </c>
    </row>
    <row r="16" spans="2:5" x14ac:dyDescent="0.25">
      <c r="B16" s="11" t="str">
        <f ca="1">IFERROR(__xludf.DUMMYFUNCTION("""COMPUTED_VALUE"""),"Andrew Adamson")</f>
        <v>Andrew Adamson</v>
      </c>
      <c r="C16" s="11">
        <v>7.15</v>
      </c>
      <c r="D16" s="11">
        <v>0.80500000000000005</v>
      </c>
      <c r="E16" s="11">
        <v>4</v>
      </c>
    </row>
    <row r="17" spans="2:5" x14ac:dyDescent="0.25">
      <c r="B17" s="12" t="str">
        <f ca="1">IFERROR(__xludf.DUMMYFUNCTION("""COMPUTED_VALUE"""),"Rob Marshall")</f>
        <v>Rob Marshall</v>
      </c>
      <c r="C17" s="12">
        <v>6.6</v>
      </c>
      <c r="D17" s="12">
        <v>0.55300000000000005</v>
      </c>
      <c r="E17" s="12">
        <v>5</v>
      </c>
    </row>
    <row r="18" spans="2:5" x14ac:dyDescent="0.25">
      <c r="B18" s="11" t="str">
        <f ca="1">IFERROR(__xludf.DUMMYFUNCTION("""COMPUTED_VALUE"""),"Barry Sonnenfeld")</f>
        <v>Barry Sonnenfeld</v>
      </c>
      <c r="C18" s="11">
        <v>6.4571428571428564</v>
      </c>
      <c r="D18" s="11">
        <v>0.5</v>
      </c>
      <c r="E18" s="11">
        <v>7</v>
      </c>
    </row>
    <row r="19" spans="2:5" x14ac:dyDescent="0.25">
      <c r="B19" s="12" t="str">
        <f ca="1">IFERROR(__xludf.DUMMYFUNCTION("""COMPUTED_VALUE"""),"Peter Jackson")</f>
        <v>Peter Jackson</v>
      </c>
      <c r="C19" s="12">
        <v>7.8888888888888893</v>
      </c>
      <c r="D19" s="12">
        <v>0.96899999999999997</v>
      </c>
      <c r="E19" s="12">
        <v>9</v>
      </c>
    </row>
    <row r="20" spans="2:5" x14ac:dyDescent="0.25">
      <c r="B20" s="11" t="str">
        <f ca="1">IFERROR(__xludf.DUMMYFUNCTION("""COMPUTED_VALUE"""),"Marc Webb")</f>
        <v>Marc Webb</v>
      </c>
      <c r="C20" s="11">
        <v>7.1333333333333329</v>
      </c>
      <c r="D20" s="11">
        <v>0.80100000000000005</v>
      </c>
      <c r="E20" s="11">
        <v>3</v>
      </c>
    </row>
    <row r="21" spans="2:5" x14ac:dyDescent="0.25">
      <c r="B21" s="12" t="str">
        <f ca="1">IFERROR(__xludf.DUMMYFUNCTION("""COMPUTED_VALUE"""),"Ridley Scott")</f>
        <v>Ridley Scott</v>
      </c>
      <c r="C21" s="12">
        <v>7.1312499999999996</v>
      </c>
      <c r="D21" s="12">
        <v>0.8</v>
      </c>
      <c r="E21" s="12">
        <v>16</v>
      </c>
    </row>
    <row r="22" spans="2:5" x14ac:dyDescent="0.25">
      <c r="B22" s="11" t="str">
        <f ca="1">IFERROR(__xludf.DUMMYFUNCTION("""COMPUTED_VALUE"""),"Chris Weitz")</f>
        <v>Chris Weitz</v>
      </c>
      <c r="C22" s="11">
        <v>6.08</v>
      </c>
      <c r="D22" s="11">
        <v>0.34799999999999998</v>
      </c>
      <c r="E22" s="11">
        <v>5</v>
      </c>
    </row>
    <row r="23" spans="2:5" x14ac:dyDescent="0.25">
      <c r="B23" s="12" t="str">
        <f ca="1">IFERROR(__xludf.DUMMYFUNCTION("""COMPUTED_VALUE"""),"Anthony Russo")</f>
        <v>Anthony Russo</v>
      </c>
      <c r="C23" s="12">
        <v>7</v>
      </c>
      <c r="D23" s="12">
        <v>0.72299999999999998</v>
      </c>
      <c r="E23" s="12">
        <v>4</v>
      </c>
    </row>
    <row r="24" spans="2:5" x14ac:dyDescent="0.25">
      <c r="B24" s="11" t="str">
        <f ca="1">IFERROR(__xludf.DUMMYFUNCTION("""COMPUTED_VALUE"""),"Peter Berg")</f>
        <v>Peter Berg</v>
      </c>
      <c r="C24" s="11">
        <v>6.666666666666667</v>
      </c>
      <c r="D24" s="11">
        <v>0.59199999999999997</v>
      </c>
      <c r="E24" s="11">
        <v>6</v>
      </c>
    </row>
    <row r="25" spans="2:5" x14ac:dyDescent="0.25">
      <c r="B25" s="12" t="str">
        <f ca="1">IFERROR(__xludf.DUMMYFUNCTION("""COMPUTED_VALUE"""),"Colin Trevorrow")</f>
        <v>Colin Trevorrow</v>
      </c>
      <c r="C25" s="12">
        <v>7</v>
      </c>
      <c r="D25" s="12">
        <v>0.72299999999999998</v>
      </c>
      <c r="E25" s="12">
        <v>2</v>
      </c>
    </row>
    <row r="26" spans="2:5" x14ac:dyDescent="0.25">
      <c r="B26" s="11" t="str">
        <f ca="1">IFERROR(__xludf.DUMMYFUNCTION("""COMPUTED_VALUE"""),"Shane Black")</f>
        <v>Shane Black</v>
      </c>
      <c r="C26" s="11">
        <v>7.4</v>
      </c>
      <c r="D26" s="11">
        <v>0.875</v>
      </c>
      <c r="E26" s="11">
        <v>2</v>
      </c>
    </row>
    <row r="27" spans="2:5" x14ac:dyDescent="0.25">
      <c r="B27" s="12" t="str">
        <f ca="1">IFERROR(__xludf.DUMMYFUNCTION("""COMPUTED_VALUE"""),"Tim Burton")</f>
        <v>Tim Burton</v>
      </c>
      <c r="C27" s="12">
        <v>7.05</v>
      </c>
      <c r="D27" s="12">
        <v>0.76500000000000001</v>
      </c>
      <c r="E27" s="12">
        <v>14</v>
      </c>
    </row>
    <row r="28" spans="2:5" x14ac:dyDescent="0.25">
      <c r="B28" s="11" t="str">
        <f ca="1">IFERROR(__xludf.DUMMYFUNCTION("""COMPUTED_VALUE"""),"Brett Ratner")</f>
        <v>Brett Ratner</v>
      </c>
      <c r="C28" s="11">
        <v>6.4555555555555557</v>
      </c>
      <c r="D28" s="11">
        <v>0.499</v>
      </c>
      <c r="E28" s="11">
        <v>9</v>
      </c>
    </row>
    <row r="29" spans="2:5" x14ac:dyDescent="0.25">
      <c r="B29" s="12" t="str">
        <f ca="1">IFERROR(__xludf.DUMMYFUNCTION("""COMPUTED_VALUE"""),"Dan Scanlon")</f>
        <v>Dan Scanlon</v>
      </c>
      <c r="C29" s="12">
        <v>7.3</v>
      </c>
      <c r="D29" s="12">
        <v>0.84899999999999998</v>
      </c>
      <c r="E29" s="12">
        <v>1</v>
      </c>
    </row>
    <row r="30" spans="2:5" x14ac:dyDescent="0.25">
      <c r="B30" s="11" t="str">
        <f ca="1">IFERROR(__xludf.DUMMYFUNCTION("""COMPUTED_VALUE"""),"Michael Bay")</f>
        <v>Michael Bay</v>
      </c>
      <c r="C30" s="11">
        <v>6.6166666666666671</v>
      </c>
      <c r="D30" s="11">
        <v>0.58299999999999996</v>
      </c>
      <c r="E30" s="11">
        <v>12</v>
      </c>
    </row>
    <row r="31" spans="2:5" x14ac:dyDescent="0.25">
      <c r="B31" s="12" t="str">
        <f ca="1">IFERROR(__xludf.DUMMYFUNCTION("""COMPUTED_VALUE"""),"Joseph Kosinski")</f>
        <v>Joseph Kosinski</v>
      </c>
      <c r="C31" s="12">
        <v>6.9</v>
      </c>
      <c r="D31" s="12">
        <v>0.68200000000000005</v>
      </c>
      <c r="E31" s="12">
        <v>2</v>
      </c>
    </row>
    <row r="32" spans="2:5" x14ac:dyDescent="0.25">
      <c r="B32" s="11" t="str">
        <f ca="1">IFERROR(__xludf.DUMMYFUNCTION("""COMPUTED_VALUE"""),"John Lasseter")</f>
        <v>John Lasseter</v>
      </c>
      <c r="C32" s="11">
        <v>7.38</v>
      </c>
      <c r="D32" s="11">
        <v>0.873</v>
      </c>
      <c r="E32" s="11">
        <v>5</v>
      </c>
    </row>
    <row r="33" spans="2:5" x14ac:dyDescent="0.25">
      <c r="B33" s="12" t="str">
        <f ca="1">IFERROR(__xludf.DUMMYFUNCTION("""COMPUTED_VALUE"""),"Martin Campbell")</f>
        <v>Martin Campbell</v>
      </c>
      <c r="C33" s="12">
        <v>6.5500000000000007</v>
      </c>
      <c r="D33" s="12">
        <v>0.54600000000000004</v>
      </c>
      <c r="E33" s="12">
        <v>8</v>
      </c>
    </row>
    <row r="34" spans="2:5" x14ac:dyDescent="0.25">
      <c r="B34" s="11" t="str">
        <f ca="1">IFERROR(__xludf.DUMMYFUNCTION("""COMPUTED_VALUE"""),"Lee Unkrich")</f>
        <v>Lee Unkrich</v>
      </c>
      <c r="C34" s="11">
        <v>8.3000000000000007</v>
      </c>
      <c r="D34" s="11">
        <v>0.99</v>
      </c>
      <c r="E34" s="11">
        <v>1</v>
      </c>
    </row>
    <row r="35" spans="2:5" x14ac:dyDescent="0.25">
      <c r="B35" s="12" t="str">
        <f ca="1">IFERROR(__xludf.DUMMYFUNCTION("""COMPUTED_VALUE"""),"McG")</f>
        <v>McG</v>
      </c>
      <c r="C35" s="12">
        <v>6.083333333333333</v>
      </c>
      <c r="D35" s="12">
        <v>0.34899999999999998</v>
      </c>
      <c r="E35" s="12">
        <v>6</v>
      </c>
    </row>
    <row r="36" spans="2:5" x14ac:dyDescent="0.25">
      <c r="B36" s="11" t="str">
        <f ca="1">IFERROR(__xludf.DUMMYFUNCTION("""COMPUTED_VALUE"""),"James Wan")</f>
        <v>James Wan</v>
      </c>
      <c r="C36" s="11">
        <v>7.2</v>
      </c>
      <c r="D36" s="11">
        <v>0.81200000000000006</v>
      </c>
      <c r="E36" s="11">
        <v>7</v>
      </c>
    </row>
    <row r="37" spans="2:5" x14ac:dyDescent="0.25">
      <c r="B37" s="12" t="str">
        <f ca="1">IFERROR(__xludf.DUMMYFUNCTION("""COMPUTED_VALUE"""),"J.J. Abrams")</f>
        <v>J.J. Abrams</v>
      </c>
      <c r="C37" s="12">
        <v>7.4499999999999993</v>
      </c>
      <c r="D37" s="12">
        <v>0.88800000000000001</v>
      </c>
      <c r="E37" s="12">
        <v>4</v>
      </c>
    </row>
    <row r="38" spans="2:5" x14ac:dyDescent="0.25">
      <c r="B38" s="11" t="str">
        <f ca="1">IFERROR(__xludf.DUMMYFUNCTION("""COMPUTED_VALUE"""),"Baz Luhrmann")</f>
        <v>Baz Luhrmann</v>
      </c>
      <c r="C38" s="11">
        <v>7.0750000000000002</v>
      </c>
      <c r="D38" s="11">
        <v>0.77</v>
      </c>
      <c r="E38" s="11">
        <v>4</v>
      </c>
    </row>
    <row r="39" spans="2:5" x14ac:dyDescent="0.25">
      <c r="B39" s="12" t="str">
        <f ca="1">IFERROR(__xludf.DUMMYFUNCTION("""COMPUTED_VALUE"""),"Mike Newell")</f>
        <v>Mike Newell</v>
      </c>
      <c r="C39" s="12">
        <v>6.8428571428571425</v>
      </c>
      <c r="D39" s="12">
        <v>0.66800000000000004</v>
      </c>
      <c r="E39" s="12">
        <v>7</v>
      </c>
    </row>
    <row r="40" spans="2:5" x14ac:dyDescent="0.25">
      <c r="B40" s="11" t="str">
        <f ca="1">IFERROR(__xludf.DUMMYFUNCTION("""COMPUTED_VALUE"""),"Guillermo del Toro")</f>
        <v>Guillermo del Toro</v>
      </c>
      <c r="C40" s="11">
        <v>7.1400000000000006</v>
      </c>
      <c r="D40" s="11">
        <v>0.80300000000000005</v>
      </c>
      <c r="E40" s="11">
        <v>5</v>
      </c>
    </row>
    <row r="41" spans="2:5" x14ac:dyDescent="0.25">
      <c r="B41" s="12" t="str">
        <f ca="1">IFERROR(__xludf.DUMMYFUNCTION("""COMPUTED_VALUE"""),"Steven Spielberg")</f>
        <v>Steven Spielberg</v>
      </c>
      <c r="C41" s="12">
        <v>7.5439999999999996</v>
      </c>
      <c r="D41" s="12">
        <v>0.90900000000000003</v>
      </c>
      <c r="E41" s="12">
        <v>25</v>
      </c>
    </row>
    <row r="42" spans="2:5" x14ac:dyDescent="0.25">
      <c r="B42" s="11" t="str">
        <f ca="1">IFERROR(__xludf.DUMMYFUNCTION("""COMPUTED_VALUE"""),"Mark Andrews")</f>
        <v>Mark Andrews</v>
      </c>
      <c r="C42" s="11">
        <v>7.2</v>
      </c>
      <c r="D42" s="11">
        <v>0.81200000000000006</v>
      </c>
      <c r="E42" s="11">
        <v>1</v>
      </c>
    </row>
    <row r="43" spans="2:5" x14ac:dyDescent="0.25">
      <c r="B43" s="12" t="str">
        <f ca="1">IFERROR(__xludf.DUMMYFUNCTION("""COMPUTED_VALUE"""),"Justin Lin")</f>
        <v>Justin Lin</v>
      </c>
      <c r="C43" s="12">
        <v>6.8400000000000007</v>
      </c>
      <c r="D43" s="12">
        <v>0.66700000000000004</v>
      </c>
      <c r="E43" s="12">
        <v>5</v>
      </c>
    </row>
    <row r="44" spans="2:5" x14ac:dyDescent="0.25">
      <c r="B44" s="11" t="str">
        <f ca="1">IFERROR(__xludf.DUMMYFUNCTION("""COMPUTED_VALUE"""),"Roland Emmerich")</f>
        <v>Roland Emmerich</v>
      </c>
      <c r="C44" s="11">
        <v>6.1875</v>
      </c>
      <c r="D44" s="11">
        <v>0.38900000000000001</v>
      </c>
      <c r="E44" s="11">
        <v>8</v>
      </c>
    </row>
    <row r="45" spans="2:5" x14ac:dyDescent="0.25">
      <c r="B45" s="12" t="str">
        <f ca="1">IFERROR(__xludf.DUMMYFUNCTION("""COMPUTED_VALUE"""),"Robert Zemeckis")</f>
        <v>Robert Zemeckis</v>
      </c>
      <c r="C45" s="12">
        <v>7.3076923076923084</v>
      </c>
      <c r="D45" s="12">
        <v>0.86799999999999999</v>
      </c>
      <c r="E45" s="12">
        <v>13</v>
      </c>
    </row>
    <row r="46" spans="2:5" x14ac:dyDescent="0.25">
      <c r="B46" s="11" t="str">
        <f ca="1">IFERROR(__xludf.DUMMYFUNCTION("""COMPUTED_VALUE"""),"Lana Wachowski")</f>
        <v>Lana Wachowski</v>
      </c>
      <c r="C46" s="11">
        <v>6.9166666666666652</v>
      </c>
      <c r="D46" s="11">
        <v>0.70699999999999996</v>
      </c>
      <c r="E46" s="11">
        <v>6</v>
      </c>
    </row>
    <row r="47" spans="2:5" x14ac:dyDescent="0.25">
      <c r="B47" s="12" t="str">
        <f ca="1">IFERROR(__xludf.DUMMYFUNCTION("""COMPUTED_VALUE"""),"Pete Docter")</f>
        <v>Pete Docter</v>
      </c>
      <c r="C47" s="12">
        <v>8.2333333333333343</v>
      </c>
      <c r="D47" s="12">
        <v>0.99</v>
      </c>
      <c r="E47" s="12">
        <v>3</v>
      </c>
    </row>
    <row r="48" spans="2:5" x14ac:dyDescent="0.25">
      <c r="B48" s="11" t="str">
        <f ca="1">IFERROR(__xludf.DUMMYFUNCTION("""COMPUTED_VALUE"""),"Rob Letterman")</f>
        <v>Rob Letterman</v>
      </c>
      <c r="C48" s="11">
        <v>5.9333333333333336</v>
      </c>
      <c r="D48" s="11">
        <v>0.3</v>
      </c>
      <c r="E48" s="11">
        <v>3</v>
      </c>
    </row>
    <row r="49" spans="2:5" x14ac:dyDescent="0.25">
      <c r="B49" s="12" t="str">
        <f ca="1">IFERROR(__xludf.DUMMYFUNCTION("""COMPUTED_VALUE"""),"Jon Favreau")</f>
        <v>Jon Favreau</v>
      </c>
      <c r="C49" s="12">
        <v>7.0166666666666657</v>
      </c>
      <c r="D49" s="12">
        <v>0.76100000000000001</v>
      </c>
      <c r="E49" s="12">
        <v>6</v>
      </c>
    </row>
    <row r="50" spans="2:5" x14ac:dyDescent="0.25">
      <c r="B50" s="11" t="str">
        <f ca="1">IFERROR(__xludf.DUMMYFUNCTION("""COMPUTED_VALUE"""),"Martin Scorsese")</f>
        <v>Martin Scorsese</v>
      </c>
      <c r="C50" s="11">
        <v>7.6749999999999998</v>
      </c>
      <c r="D50" s="11">
        <v>0.93799999999999994</v>
      </c>
      <c r="E50" s="11">
        <v>16</v>
      </c>
    </row>
    <row r="51" spans="2:5" x14ac:dyDescent="0.25">
      <c r="B51" s="12" t="str">
        <f ca="1">IFERROR(__xludf.DUMMYFUNCTION("""COMPUTED_VALUE"""),"Rob Cohen")</f>
        <v>Rob Cohen</v>
      </c>
      <c r="C51" s="12">
        <v>5.5777777777777784</v>
      </c>
      <c r="D51" s="12">
        <v>0.19600000000000001</v>
      </c>
      <c r="E51" s="12">
        <v>9</v>
      </c>
    </row>
    <row r="52" spans="2:5" x14ac:dyDescent="0.25">
      <c r="B52" s="11" t="str">
        <f ca="1">IFERROR(__xludf.DUMMYFUNCTION("""COMPUTED_VALUE"""),"David Ayer")</f>
        <v>David Ayer</v>
      </c>
      <c r="C52" s="11">
        <v>6.95</v>
      </c>
      <c r="D52" s="11">
        <v>0.71599999999999997</v>
      </c>
      <c r="E52" s="11">
        <v>6</v>
      </c>
    </row>
    <row r="53" spans="2:5" x14ac:dyDescent="0.25">
      <c r="B53" s="12" t="str">
        <f ca="1">IFERROR(__xludf.DUMMYFUNCTION("""COMPUTED_VALUE"""),"Tom Shadyac")</f>
        <v>Tom Shadyac</v>
      </c>
      <c r="C53" s="12">
        <v>6.3142857142857149</v>
      </c>
      <c r="D53" s="12">
        <v>0.45200000000000001</v>
      </c>
      <c r="E53" s="12">
        <v>7</v>
      </c>
    </row>
    <row r="54" spans="2:5" x14ac:dyDescent="0.25">
      <c r="B54" s="11" t="str">
        <f ca="1">IFERROR(__xludf.DUMMYFUNCTION("""COMPUTED_VALUE"""),"Doug Liman")</f>
        <v>Doug Liman</v>
      </c>
      <c r="C54" s="11">
        <v>7.1285714285714272</v>
      </c>
      <c r="D54" s="11">
        <v>0.79900000000000004</v>
      </c>
      <c r="E54" s="11">
        <v>7</v>
      </c>
    </row>
    <row r="55" spans="2:5" x14ac:dyDescent="0.25">
      <c r="B55" s="12" t="str">
        <f ca="1">IFERROR(__xludf.DUMMYFUNCTION("""COMPUTED_VALUE"""),"Kevin Reynolds")</f>
        <v>Kevin Reynolds</v>
      </c>
      <c r="C55" s="12">
        <v>6.68</v>
      </c>
      <c r="D55" s="12">
        <v>0.59799999999999998</v>
      </c>
      <c r="E55" s="12">
        <v>5</v>
      </c>
    </row>
    <row r="56" spans="2:5" x14ac:dyDescent="0.25">
      <c r="B56" s="11" t="str">
        <f ca="1">IFERROR(__xludf.DUMMYFUNCTION("""COMPUTED_VALUE"""),"Stephen Sommers")</f>
        <v>Stephen Sommers</v>
      </c>
      <c r="C56" s="11">
        <v>6.0750000000000002</v>
      </c>
      <c r="D56" s="11">
        <v>0.34699999999999998</v>
      </c>
      <c r="E56" s="11">
        <v>4</v>
      </c>
    </row>
    <row r="57" spans="2:5" x14ac:dyDescent="0.25">
      <c r="B57" s="12" t="str">
        <f ca="1">IFERROR(__xludf.DUMMYFUNCTION("""COMPUTED_VALUE"""),"Rupert Sanders")</f>
        <v>Rupert Sanders</v>
      </c>
      <c r="C57" s="12">
        <v>6.1</v>
      </c>
      <c r="D57" s="12">
        <v>0.35099999999999998</v>
      </c>
      <c r="E57" s="12">
        <v>1</v>
      </c>
    </row>
    <row r="58" spans="2:5" x14ac:dyDescent="0.25">
      <c r="B58" s="11" t="str">
        <f ca="1">IFERROR(__xludf.DUMMYFUNCTION("""COMPUTED_VALUE"""),"Robert Stromberg")</f>
        <v>Robert Stromberg</v>
      </c>
      <c r="C58" s="11">
        <v>7</v>
      </c>
      <c r="D58" s="11">
        <v>0.72299999999999998</v>
      </c>
      <c r="E58" s="11">
        <v>1</v>
      </c>
    </row>
    <row r="59" spans="2:5" x14ac:dyDescent="0.25">
      <c r="B59" s="12" t="str">
        <f ca="1">IFERROR(__xludf.DUMMYFUNCTION("""COMPUTED_VALUE"""),"Matt Reeves")</f>
        <v>Matt Reeves</v>
      </c>
      <c r="C59" s="12">
        <v>7.2666666666666666</v>
      </c>
      <c r="D59" s="12">
        <v>0.84699999999999998</v>
      </c>
      <c r="E59" s="12">
        <v>3</v>
      </c>
    </row>
    <row r="60" spans="2:5" x14ac:dyDescent="0.25">
      <c r="B60" s="11" t="str">
        <f ca="1">IFERROR(__xludf.DUMMYFUNCTION("""COMPUTED_VALUE"""),"Carl Rinsch")</f>
        <v>Carl Rinsch</v>
      </c>
      <c r="C60" s="11">
        <v>6.3</v>
      </c>
      <c r="D60" s="11">
        <v>0.42299999999999999</v>
      </c>
      <c r="E60" s="11">
        <v>1</v>
      </c>
    </row>
    <row r="61" spans="2:5" x14ac:dyDescent="0.25">
      <c r="B61" s="12" t="str">
        <f ca="1">IFERROR(__xludf.DUMMYFUNCTION("""COMPUTED_VALUE"""),"Mike Mitchell")</f>
        <v>Mike Mitchell</v>
      </c>
      <c r="C61" s="12">
        <v>5.6749999999999998</v>
      </c>
      <c r="D61" s="12">
        <v>0.22700000000000001</v>
      </c>
      <c r="E61" s="12">
        <v>4</v>
      </c>
    </row>
    <row r="62" spans="2:5" x14ac:dyDescent="0.25">
      <c r="B62" s="11" t="str">
        <f ca="1">IFERROR(__xludf.DUMMYFUNCTION("""COMPUTED_VALUE"""),"Brad Bird")</f>
        <v>Brad Bird</v>
      </c>
      <c r="C62" s="11">
        <v>7.58</v>
      </c>
      <c r="D62" s="11">
        <v>0.91300000000000003</v>
      </c>
      <c r="E62" s="11">
        <v>5</v>
      </c>
    </row>
    <row r="63" spans="2:5" x14ac:dyDescent="0.25">
      <c r="B63" s="12" t="str">
        <f ca="1">IFERROR(__xludf.DUMMYFUNCTION("""COMPUTED_VALUE"""),"Don Hall")</f>
        <v>Don Hall</v>
      </c>
      <c r="C63" s="12">
        <v>7.9</v>
      </c>
      <c r="D63" s="12">
        <v>0.97</v>
      </c>
      <c r="E63" s="12">
        <v>1</v>
      </c>
    </row>
    <row r="64" spans="2:5" x14ac:dyDescent="0.25">
      <c r="B64" s="11" t="str">
        <f ca="1">IFERROR(__xludf.DUMMYFUNCTION("""COMPUTED_VALUE"""),"Rich Moore")</f>
        <v>Rich Moore</v>
      </c>
      <c r="C64" s="11">
        <v>7.8</v>
      </c>
      <c r="D64" s="11">
        <v>0.95799999999999996</v>
      </c>
      <c r="E64" s="11">
        <v>1</v>
      </c>
    </row>
    <row r="65" spans="2:5" x14ac:dyDescent="0.25">
      <c r="B65" s="12" t="str">
        <f ca="1">IFERROR(__xludf.DUMMYFUNCTION("""COMPUTED_VALUE"""),"Dean DeBlois")</f>
        <v>Dean DeBlois</v>
      </c>
      <c r="C65" s="12">
        <v>7.7666666666666666</v>
      </c>
      <c r="D65" s="12">
        <v>0.95699999999999996</v>
      </c>
      <c r="E65" s="12">
        <v>3</v>
      </c>
    </row>
    <row r="66" spans="2:5" x14ac:dyDescent="0.25">
      <c r="B66" s="11" t="str">
        <f ca="1">IFERROR(__xludf.DUMMYFUNCTION("""COMPUTED_VALUE"""),"Jonathan Mostow")</f>
        <v>Jonathan Mostow</v>
      </c>
      <c r="C66" s="11">
        <v>6.5499999999999989</v>
      </c>
      <c r="D66" s="11">
        <v>0.54200000000000004</v>
      </c>
      <c r="E66" s="11">
        <v>4</v>
      </c>
    </row>
    <row r="67" spans="2:5" x14ac:dyDescent="0.25">
      <c r="B67" s="12" t="str">
        <f ca="1">IFERROR(__xludf.DUMMYFUNCTION("""COMPUTED_VALUE"""),"James Gunn")</f>
        <v>James Gunn</v>
      </c>
      <c r="C67" s="12">
        <v>7.1333333333333329</v>
      </c>
      <c r="D67" s="12">
        <v>0.80100000000000005</v>
      </c>
      <c r="E67" s="12">
        <v>3</v>
      </c>
    </row>
    <row r="68" spans="2:5" x14ac:dyDescent="0.25">
      <c r="B68" s="11" t="str">
        <f ca="1">IFERROR(__xludf.DUMMYFUNCTION("""COMPUTED_VALUE"""),"David Fincher")</f>
        <v>David Fincher</v>
      </c>
      <c r="C68" s="11">
        <v>7.7499999999999982</v>
      </c>
      <c r="D68" s="11">
        <v>0.95399999999999996</v>
      </c>
      <c r="E68" s="11">
        <v>10</v>
      </c>
    </row>
    <row r="69" spans="2:5" x14ac:dyDescent="0.25">
      <c r="B69" s="12" t="str">
        <f ca="1">IFERROR(__xludf.DUMMYFUNCTION("""COMPUTED_VALUE"""),"Matthew Vaughn")</f>
        <v>Matthew Vaughn</v>
      </c>
      <c r="C69" s="12">
        <v>7.65</v>
      </c>
      <c r="D69" s="12">
        <v>0.93300000000000005</v>
      </c>
      <c r="E69" s="12">
        <v>4</v>
      </c>
    </row>
    <row r="70" spans="2:5" x14ac:dyDescent="0.25">
      <c r="B70" s="11" t="str">
        <f ca="1">IFERROR(__xludf.DUMMYFUNCTION("""COMPUTED_VALUE"""),"Francis Lawrence")</f>
        <v>Francis Lawrence</v>
      </c>
      <c r="C70" s="11">
        <v>7</v>
      </c>
      <c r="D70" s="11">
        <v>0.72299999999999998</v>
      </c>
      <c r="E70" s="11">
        <v>5</v>
      </c>
    </row>
    <row r="71" spans="2:5" x14ac:dyDescent="0.25">
      <c r="B71" s="12" t="str">
        <f ca="1">IFERROR(__xludf.DUMMYFUNCTION("""COMPUTED_VALUE"""),"Jon Turteltaub")</f>
        <v>Jon Turteltaub</v>
      </c>
      <c r="C71" s="12">
        <v>6.5</v>
      </c>
      <c r="D71" s="12">
        <v>0.504</v>
      </c>
      <c r="E71" s="12">
        <v>7</v>
      </c>
    </row>
    <row r="72" spans="2:5" x14ac:dyDescent="0.25">
      <c r="B72" s="11" t="str">
        <f ca="1">IFERROR(__xludf.DUMMYFUNCTION("""COMPUTED_VALUE"""),"Wolfgang Petersen")</f>
        <v>Wolfgang Petersen</v>
      </c>
      <c r="C72" s="11">
        <v>6.7666666666666666</v>
      </c>
      <c r="D72" s="11">
        <v>0.63200000000000001</v>
      </c>
      <c r="E72" s="11">
        <v>6</v>
      </c>
    </row>
    <row r="73" spans="2:5" x14ac:dyDescent="0.25">
      <c r="B73" s="12" t="str">
        <f ca="1">IFERROR(__xludf.DUMMYFUNCTION("""COMPUTED_VALUE"""),"James Bobin")</f>
        <v>James Bobin</v>
      </c>
      <c r="C73" s="12">
        <v>6.6333333333333329</v>
      </c>
      <c r="D73" s="12">
        <v>0.58499999999999996</v>
      </c>
      <c r="E73" s="12">
        <v>3</v>
      </c>
    </row>
    <row r="74" spans="2:5" x14ac:dyDescent="0.25">
      <c r="B74" s="11" t="str">
        <f ca="1">IFERROR(__xludf.DUMMYFUNCTION("""COMPUTED_VALUE"""),"Chris Miller")</f>
        <v>Chris Miller</v>
      </c>
      <c r="C74" s="11">
        <v>6.4</v>
      </c>
      <c r="D74" s="11">
        <v>0.46400000000000002</v>
      </c>
      <c r="E74" s="11">
        <v>2</v>
      </c>
    </row>
    <row r="75" spans="2:5" x14ac:dyDescent="0.25">
      <c r="B75" s="12" t="str">
        <f ca="1">IFERROR(__xludf.DUMMYFUNCTION("""COMPUTED_VALUE"""),"Duncan Jones")</f>
        <v>Duncan Jones</v>
      </c>
      <c r="C75" s="12">
        <v>7.5666666666666673</v>
      </c>
      <c r="D75" s="12">
        <v>0.91200000000000003</v>
      </c>
      <c r="E75" s="12">
        <v>3</v>
      </c>
    </row>
    <row r="76" spans="2:5" x14ac:dyDescent="0.25">
      <c r="B76" s="11" t="str">
        <f ca="1">IFERROR(__xludf.DUMMYFUNCTION("""COMPUTED_VALUE"""),"Alan Taylor")</f>
        <v>Alan Taylor</v>
      </c>
      <c r="C76" s="11">
        <v>6.85</v>
      </c>
      <c r="D76" s="11">
        <v>0.66800000000000004</v>
      </c>
      <c r="E76" s="11">
        <v>2</v>
      </c>
    </row>
    <row r="77" spans="2:5" x14ac:dyDescent="0.25">
      <c r="B77" s="12" t="str">
        <f ca="1">IFERROR(__xludf.DUMMYFUNCTION("""COMPUTED_VALUE"""),"Michael Apted")</f>
        <v>Michael Apted</v>
      </c>
      <c r="C77" s="12">
        <v>6.3199999999999994</v>
      </c>
      <c r="D77" s="12">
        <v>0.45200000000000001</v>
      </c>
      <c r="E77" s="12">
        <v>5</v>
      </c>
    </row>
    <row r="78" spans="2:5" x14ac:dyDescent="0.25">
      <c r="B78" s="11" t="str">
        <f ca="1">IFERROR(__xludf.DUMMYFUNCTION("""COMPUTED_VALUE"""),"Oliver Stone")</f>
        <v>Oliver Stone</v>
      </c>
      <c r="C78" s="11">
        <v>6.9076923076923071</v>
      </c>
      <c r="D78" s="11">
        <v>0.70699999999999996</v>
      </c>
      <c r="E78" s="11">
        <v>13</v>
      </c>
    </row>
    <row r="79" spans="2:5" x14ac:dyDescent="0.25">
      <c r="B79" s="12" t="str">
        <f ca="1">IFERROR(__xludf.DUMMYFUNCTION("""COMPUTED_VALUE"""),"Eric Darnell")</f>
        <v>Eric Darnell</v>
      </c>
      <c r="C79" s="12">
        <v>6.7600000000000007</v>
      </c>
      <c r="D79" s="12">
        <v>0.63</v>
      </c>
      <c r="E79" s="12">
        <v>5</v>
      </c>
    </row>
    <row r="80" spans="2:5" x14ac:dyDescent="0.25">
      <c r="B80" s="11" t="str">
        <f ca="1">IFERROR(__xludf.DUMMYFUNCTION("""COMPUTED_VALUE"""),"Shawn Levy")</f>
        <v>Shawn Levy</v>
      </c>
      <c r="C80" s="11">
        <v>6.0909090909090908</v>
      </c>
      <c r="D80" s="11">
        <v>0.35099999999999998</v>
      </c>
      <c r="E80" s="11">
        <v>11</v>
      </c>
    </row>
    <row r="81" spans="2:5" x14ac:dyDescent="0.25">
      <c r="B81" s="12" t="str">
        <f ca="1">IFERROR(__xludf.DUMMYFUNCTION("""COMPUTED_VALUE"""),"Gavin Hood")</f>
        <v>Gavin Hood</v>
      </c>
      <c r="C81" s="12">
        <v>6.875</v>
      </c>
      <c r="D81" s="12">
        <v>0.67900000000000005</v>
      </c>
      <c r="E81" s="12">
        <v>4</v>
      </c>
    </row>
    <row r="82" spans="2:5" x14ac:dyDescent="0.25">
      <c r="B82" s="11" t="str">
        <f ca="1">IFERROR(__xludf.DUMMYFUNCTION("""COMPUTED_VALUE"""),"Chris Buck")</f>
        <v>Chris Buck</v>
      </c>
      <c r="C82" s="11">
        <v>7.6</v>
      </c>
      <c r="D82" s="11">
        <v>0.91500000000000004</v>
      </c>
      <c r="E82" s="11">
        <v>1</v>
      </c>
    </row>
    <row r="83" spans="2:5" x14ac:dyDescent="0.25">
      <c r="B83" s="12" t="str">
        <f ca="1">IFERROR(__xludf.DUMMYFUNCTION("""COMPUTED_VALUE"""),"George Miller")</f>
        <v>George Miller</v>
      </c>
      <c r="C83" s="12">
        <v>6.6833333333333336</v>
      </c>
      <c r="D83" s="12">
        <v>0.59899999999999998</v>
      </c>
      <c r="E83" s="12">
        <v>6</v>
      </c>
    </row>
    <row r="84" spans="2:5" x14ac:dyDescent="0.25">
      <c r="B84" s="11" t="str">
        <f ca="1">IFERROR(__xludf.DUMMYFUNCTION("""COMPUTED_VALUE"""),"Ron Howard")</f>
        <v>Ron Howard</v>
      </c>
      <c r="C84" s="11">
        <v>6.9307692307692301</v>
      </c>
      <c r="D84" s="11">
        <v>0.71099999999999997</v>
      </c>
      <c r="E84" s="11">
        <v>13</v>
      </c>
    </row>
    <row r="85" spans="2:5" x14ac:dyDescent="0.25">
      <c r="B85" s="12" t="str">
        <f ca="1">IFERROR(__xludf.DUMMYFUNCTION("""COMPUTED_VALUE"""),"Kenneth Branagh")</f>
        <v>Kenneth Branagh</v>
      </c>
      <c r="C85" s="12">
        <v>7.1833333333333336</v>
      </c>
      <c r="D85" s="12">
        <v>0.81100000000000005</v>
      </c>
      <c r="E85" s="12">
        <v>6</v>
      </c>
    </row>
    <row r="86" spans="2:5" x14ac:dyDescent="0.25">
      <c r="B86" s="11" t="str">
        <f ca="1">IFERROR(__xludf.DUMMYFUNCTION("""COMPUTED_VALUE"""),"Byron Howard")</f>
        <v>Byron Howard</v>
      </c>
      <c r="C86" s="11">
        <v>6.9</v>
      </c>
      <c r="D86" s="11">
        <v>0.68200000000000005</v>
      </c>
      <c r="E86" s="11">
        <v>1</v>
      </c>
    </row>
    <row r="87" spans="2:5" x14ac:dyDescent="0.25">
      <c r="B87" s="12" t="str">
        <f ca="1">IFERROR(__xludf.DUMMYFUNCTION("""COMPUTED_VALUE"""),"Hoyt Yeatman")</f>
        <v>Hoyt Yeatman</v>
      </c>
      <c r="C87" s="12">
        <v>5.0999999999999996</v>
      </c>
      <c r="D87" s="12">
        <v>9.7000000000000003E-2</v>
      </c>
      <c r="E87" s="12">
        <v>1</v>
      </c>
    </row>
    <row r="88" spans="2:5" x14ac:dyDescent="0.25">
      <c r="B88" s="11" t="str">
        <f ca="1">IFERROR(__xludf.DUMMYFUNCTION("""COMPUTED_VALUE"""),"Jonathan Liebesman")</f>
        <v>Jonathan Liebesman</v>
      </c>
      <c r="C88" s="11">
        <v>5.6599999999999993</v>
      </c>
      <c r="D88" s="11">
        <v>0.22600000000000001</v>
      </c>
      <c r="E88" s="11">
        <v>5</v>
      </c>
    </row>
    <row r="89" spans="2:5" x14ac:dyDescent="0.25">
      <c r="B89" s="12" t="str">
        <f ca="1">IFERROR(__xludf.DUMMYFUNCTION("""COMPUTED_VALUE"""),"Christopher McQuarrie")</f>
        <v>Christopher McQuarrie</v>
      </c>
      <c r="C89" s="12">
        <v>7.0333333333333341</v>
      </c>
      <c r="D89" s="12">
        <v>0.76300000000000001</v>
      </c>
      <c r="E89" s="12">
        <v>3</v>
      </c>
    </row>
    <row r="90" spans="2:5" x14ac:dyDescent="0.25">
      <c r="B90" s="11" t="str">
        <f ca="1">IFERROR(__xludf.DUMMYFUNCTION("""COMPUTED_VALUE"""),"Joe Johnston")</f>
        <v>Joe Johnston</v>
      </c>
      <c r="C90" s="11">
        <v>6.3250000000000002</v>
      </c>
      <c r="D90" s="11">
        <v>0.45300000000000001</v>
      </c>
      <c r="E90" s="11">
        <v>4</v>
      </c>
    </row>
    <row r="91" spans="2:5" x14ac:dyDescent="0.25">
      <c r="B91" s="12" t="str">
        <f ca="1">IFERROR(__xludf.DUMMYFUNCTION("""COMPUTED_VALUE"""),"Steve Hickner")</f>
        <v>Steve Hickner</v>
      </c>
      <c r="C91" s="12">
        <v>6.2</v>
      </c>
      <c r="D91" s="12">
        <v>0.39100000000000001</v>
      </c>
      <c r="E91" s="12">
        <v>1</v>
      </c>
    </row>
    <row r="92" spans="2:5" x14ac:dyDescent="0.25">
      <c r="B92" s="11" t="str">
        <f ca="1">IFERROR(__xludf.DUMMYFUNCTION("""COMPUTED_VALUE"""),"Jennifer Yuh Nelson")</f>
        <v>Jennifer Yuh Nelson</v>
      </c>
      <c r="C92" s="11">
        <v>7.3</v>
      </c>
      <c r="D92" s="11">
        <v>0.84899999999999998</v>
      </c>
      <c r="E92" s="11">
        <v>1</v>
      </c>
    </row>
    <row r="93" spans="2:5" x14ac:dyDescent="0.25">
      <c r="B93" s="12" t="str">
        <f ca="1">IFERROR(__xludf.DUMMYFUNCTION("""COMPUTED_VALUE"""),"M. Night Shyamalan")</f>
        <v>M. Night Shyamalan</v>
      </c>
      <c r="C93" s="12">
        <v>6.0444444444444452</v>
      </c>
      <c r="D93" s="12">
        <v>0.33900000000000002</v>
      </c>
      <c r="E93" s="12">
        <v>9</v>
      </c>
    </row>
    <row r="94" spans="2:5" x14ac:dyDescent="0.25">
      <c r="B94" s="11" t="str">
        <f ca="1">IFERROR(__xludf.DUMMYFUNCTION("""COMPUTED_VALUE"""),"Simon Wells")</f>
        <v>Simon Wells</v>
      </c>
      <c r="C94" s="11">
        <v>5.65</v>
      </c>
      <c r="D94" s="11">
        <v>0.223</v>
      </c>
      <c r="E94" s="11">
        <v>2</v>
      </c>
    </row>
    <row r="95" spans="2:5" x14ac:dyDescent="0.25">
      <c r="B95" s="12" t="str">
        <f ca="1">IFERROR(__xludf.DUMMYFUNCTION("""COMPUTED_VALUE"""),"David Bowers")</f>
        <v>David Bowers</v>
      </c>
      <c r="C95" s="12">
        <v>6.5</v>
      </c>
      <c r="D95" s="12">
        <v>0.504</v>
      </c>
      <c r="E95" s="12">
        <v>4</v>
      </c>
    </row>
    <row r="96" spans="2:5" x14ac:dyDescent="0.25">
      <c r="B96" s="11" t="str">
        <f ca="1">IFERROR(__xludf.DUMMYFUNCTION("""COMPUTED_VALUE"""),"Joe Wright")</f>
        <v>Joe Wright</v>
      </c>
      <c r="C96" s="11">
        <v>6.9799999999999995</v>
      </c>
      <c r="D96" s="11">
        <v>0.72</v>
      </c>
      <c r="E96" s="11">
        <v>5</v>
      </c>
    </row>
    <row r="97" spans="2:5" x14ac:dyDescent="0.25">
      <c r="B97" s="12" t="str">
        <f ca="1">IFERROR(__xludf.DUMMYFUNCTION("""COMPUTED_VALUE"""),"Rob Minkoff")</f>
        <v>Rob Minkoff</v>
      </c>
      <c r="C97" s="12">
        <v>5.94</v>
      </c>
      <c r="D97" s="12">
        <v>0.30099999999999999</v>
      </c>
      <c r="E97" s="12">
        <v>5</v>
      </c>
    </row>
    <row r="98" spans="2:5" x14ac:dyDescent="0.25">
      <c r="B98" s="11" t="str">
        <f ca="1">IFERROR(__xludf.DUMMYFUNCTION("""COMPUTED_VALUE"""),"Lee Tamahori")</f>
        <v>Lee Tamahori</v>
      </c>
      <c r="C98" s="11">
        <v>5.9499999999999993</v>
      </c>
      <c r="D98" s="11">
        <v>0.30099999999999999</v>
      </c>
      <c r="E98" s="11">
        <v>4</v>
      </c>
    </row>
    <row r="99" spans="2:5" x14ac:dyDescent="0.25">
      <c r="B99" s="12" t="str">
        <f ca="1">IFERROR(__xludf.DUMMYFUNCTION("""COMPUTED_VALUE"""),"Paul Feig")</f>
        <v>Paul Feig</v>
      </c>
      <c r="C99" s="12">
        <v>6</v>
      </c>
      <c r="D99" s="12">
        <v>0.312</v>
      </c>
      <c r="E99" s="12">
        <v>4</v>
      </c>
    </row>
    <row r="100" spans="2:5" x14ac:dyDescent="0.25">
      <c r="B100" s="11" t="str">
        <f ca="1">IFERROR(__xludf.DUMMYFUNCTION("""COMPUTED_VALUE"""),"Alessandro Carloni")</f>
        <v>Alessandro Carloni</v>
      </c>
      <c r="C100" s="11">
        <v>7.2</v>
      </c>
      <c r="D100" s="11">
        <v>0.81200000000000006</v>
      </c>
      <c r="E100" s="11">
        <v>1</v>
      </c>
    </row>
    <row r="101" spans="2:5" x14ac:dyDescent="0.25">
      <c r="B101" s="12" t="str">
        <f ca="1">IFERROR(__xludf.DUMMYFUNCTION("""COMPUTED_VALUE"""),"Peter Ramsey")</f>
        <v>Peter Ramsey</v>
      </c>
      <c r="C101" s="12">
        <v>7.3</v>
      </c>
      <c r="D101" s="12">
        <v>0.84899999999999998</v>
      </c>
      <c r="E101" s="12">
        <v>1</v>
      </c>
    </row>
    <row r="102" spans="2:5" x14ac:dyDescent="0.25">
      <c r="B102" s="11" t="str">
        <f ca="1">IFERROR(__xludf.DUMMYFUNCTION("""COMPUTED_VALUE"""),"Dean Parisot")</f>
        <v>Dean Parisot</v>
      </c>
      <c r="C102" s="11">
        <v>6.2750000000000004</v>
      </c>
      <c r="D102" s="11">
        <v>0.42199999999999999</v>
      </c>
      <c r="E102" s="11">
        <v>4</v>
      </c>
    </row>
    <row r="103" spans="2:5" x14ac:dyDescent="0.25">
      <c r="B103" s="12" t="str">
        <f ca="1">IFERROR(__xludf.DUMMYFUNCTION("""COMPUTED_VALUE"""),"Edward Zwick")</f>
        <v>Edward Zwick</v>
      </c>
      <c r="C103" s="12">
        <v>7.2428571428571429</v>
      </c>
      <c r="D103" s="12">
        <v>0.84299999999999997</v>
      </c>
      <c r="E103" s="12">
        <v>7</v>
      </c>
    </row>
    <row r="104" spans="2:5" x14ac:dyDescent="0.25">
      <c r="B104" s="11" t="str">
        <f ca="1">IFERROR(__xludf.DUMMYFUNCTION("""COMPUTED_VALUE"""),"Alex Proyas")</f>
        <v>Alex Proyas</v>
      </c>
      <c r="C104" s="11">
        <v>6.82</v>
      </c>
      <c r="D104" s="11">
        <v>0.66300000000000003</v>
      </c>
      <c r="E104" s="11">
        <v>5</v>
      </c>
    </row>
    <row r="105" spans="2:5" x14ac:dyDescent="0.25">
      <c r="B105" s="12" t="str">
        <f ca="1">IFERROR(__xludf.DUMMYFUNCTION("""COMPUTED_VALUE"""),"Richard Donner")</f>
        <v>Richard Donner</v>
      </c>
      <c r="C105" s="12">
        <v>6.6333333333333337</v>
      </c>
      <c r="D105" s="12">
        <v>0.58599999999999997</v>
      </c>
      <c r="E105" s="12">
        <v>9</v>
      </c>
    </row>
    <row r="106" spans="2:5" x14ac:dyDescent="0.25">
      <c r="B106" s="11" t="str">
        <f ca="1">IFERROR(__xludf.DUMMYFUNCTION("""COMPUTED_VALUE"""),"Ang Lee")</f>
        <v>Ang Lee</v>
      </c>
      <c r="C106" s="11">
        <v>7.2500000000000009</v>
      </c>
      <c r="D106" s="11">
        <v>0.84699999999999998</v>
      </c>
      <c r="E106" s="11">
        <v>8</v>
      </c>
    </row>
    <row r="107" spans="2:5" x14ac:dyDescent="0.25">
      <c r="B107" s="12" t="str">
        <f ca="1">IFERROR(__xludf.DUMMYFUNCTION("""COMPUTED_VALUE"""),"Jon M. Chu")</f>
        <v>Jon M. Chu</v>
      </c>
      <c r="C107" s="12">
        <v>5.34</v>
      </c>
      <c r="D107" s="12">
        <v>0.151</v>
      </c>
      <c r="E107" s="12">
        <v>5</v>
      </c>
    </row>
    <row r="108" spans="2:5" x14ac:dyDescent="0.25">
      <c r="B108" s="11" t="str">
        <f ca="1">IFERROR(__xludf.DUMMYFUNCTION("""COMPUTED_VALUE"""),"Breck Eisner")</f>
        <v>Breck Eisner</v>
      </c>
      <c r="C108" s="11">
        <v>6.166666666666667</v>
      </c>
      <c r="D108" s="11">
        <v>0.38600000000000001</v>
      </c>
      <c r="E108" s="11">
        <v>3</v>
      </c>
    </row>
    <row r="109" spans="2:5" x14ac:dyDescent="0.25">
      <c r="B109" s="12" t="str">
        <f ca="1">IFERROR(__xludf.DUMMYFUNCTION("""COMPUTED_VALUE"""),"Hironobu Sakaguchi")</f>
        <v>Hironobu Sakaguchi</v>
      </c>
      <c r="C109" s="12">
        <v>6.4</v>
      </c>
      <c r="D109" s="12">
        <v>0.46400000000000002</v>
      </c>
      <c r="E109" s="12">
        <v>1</v>
      </c>
    </row>
    <row r="110" spans="2:5" x14ac:dyDescent="0.25">
      <c r="B110" s="11" t="str">
        <f ca="1">IFERROR(__xludf.DUMMYFUNCTION("""COMPUTED_VALUE"""),"Peter Weir")</f>
        <v>Peter Weir</v>
      </c>
      <c r="C110" s="11">
        <v>7.7249999999999996</v>
      </c>
      <c r="D110" s="11">
        <v>0.95299999999999996</v>
      </c>
      <c r="E110" s="11">
        <v>4</v>
      </c>
    </row>
    <row r="111" spans="2:5" x14ac:dyDescent="0.25">
      <c r="B111" s="12" t="str">
        <f ca="1">IFERROR(__xludf.DUMMYFUNCTION("""COMPUTED_VALUE"""),"Bill Condon")</f>
        <v>Bill Condon</v>
      </c>
      <c r="C111" s="12">
        <v>6.56</v>
      </c>
      <c r="D111" s="12">
        <v>0.54700000000000004</v>
      </c>
      <c r="E111" s="12">
        <v>5</v>
      </c>
    </row>
    <row r="112" spans="2:5" x14ac:dyDescent="0.25">
      <c r="B112" s="11" t="str">
        <f ca="1">IFERROR(__xludf.DUMMYFUNCTION("""COMPUTED_VALUE"""),"Louis Leterrier")</f>
        <v>Louis Leterrier</v>
      </c>
      <c r="C112" s="11">
        <v>6.6666666666666652</v>
      </c>
      <c r="D112" s="11">
        <v>0.59099999999999997</v>
      </c>
      <c r="E112" s="11">
        <v>6</v>
      </c>
    </row>
    <row r="113" spans="2:5" x14ac:dyDescent="0.25">
      <c r="B113" s="12" t="str">
        <f ca="1">IFERROR(__xludf.DUMMYFUNCTION("""COMPUTED_VALUE"""),"Alejandro G. Iñárritu")</f>
        <v>Alejandro G. Iñárritu</v>
      </c>
      <c r="C113" s="12">
        <v>7.8400000000000007</v>
      </c>
      <c r="D113" s="12">
        <v>0.96799999999999997</v>
      </c>
      <c r="E113" s="12">
        <v>5</v>
      </c>
    </row>
    <row r="114" spans="2:5" x14ac:dyDescent="0.25">
      <c r="B114" s="11" t="str">
        <f ca="1">IFERROR(__xludf.DUMMYFUNCTION("""COMPUTED_VALUE"""),"David Soren")</f>
        <v>David Soren</v>
      </c>
      <c r="C114" s="11">
        <v>6.5</v>
      </c>
      <c r="D114" s="11">
        <v>0.504</v>
      </c>
      <c r="E114" s="11">
        <v>1</v>
      </c>
    </row>
    <row r="115" spans="2:5" x14ac:dyDescent="0.25">
      <c r="B115" s="12" t="str">
        <f ca="1">IFERROR(__xludf.DUMMYFUNCTION("""COMPUTED_VALUE"""),"Paul Greengrass")</f>
        <v>Paul Greengrass</v>
      </c>
      <c r="C115" s="12">
        <v>7.5857142857142872</v>
      </c>
      <c r="D115" s="12">
        <v>0.91400000000000003</v>
      </c>
      <c r="E115" s="12">
        <v>7</v>
      </c>
    </row>
    <row r="116" spans="2:5" x14ac:dyDescent="0.25">
      <c r="B116" s="11" t="str">
        <f ca="1">IFERROR(__xludf.DUMMYFUNCTION("""COMPUTED_VALUE"""),"Mark Osborne")</f>
        <v>Mark Osborne</v>
      </c>
      <c r="C116" s="11">
        <v>7.6999999999999993</v>
      </c>
      <c r="D116" s="11">
        <v>0.93899999999999995</v>
      </c>
      <c r="E116" s="11">
        <v>2</v>
      </c>
    </row>
    <row r="117" spans="2:5" x14ac:dyDescent="0.25">
      <c r="B117" s="12" t="str">
        <f ca="1">IFERROR(__xludf.DUMMYFUNCTION("""COMPUTED_VALUE"""),"Peyton Reed")</f>
        <v>Peyton Reed</v>
      </c>
      <c r="C117" s="12">
        <v>6.4749999999999996</v>
      </c>
      <c r="D117" s="12">
        <v>0.502</v>
      </c>
      <c r="E117" s="12">
        <v>4</v>
      </c>
    </row>
    <row r="118" spans="2:5" x14ac:dyDescent="0.25">
      <c r="B118" s="11" t="str">
        <f ca="1">IFERROR(__xludf.DUMMYFUNCTION("""COMPUTED_VALUE"""),"Tim Johnson")</f>
        <v>Tim Johnson</v>
      </c>
      <c r="C118" s="11">
        <v>6.75</v>
      </c>
      <c r="D118" s="11">
        <v>0.627</v>
      </c>
      <c r="E118" s="11">
        <v>2</v>
      </c>
    </row>
    <row r="119" spans="2:5" x14ac:dyDescent="0.25">
      <c r="B119" s="12" t="str">
        <f ca="1">IFERROR(__xludf.DUMMYFUNCTION("""COMPUTED_VALUE"""),"Phillip Noyce")</f>
        <v>Phillip Noyce</v>
      </c>
      <c r="C119" s="12">
        <v>6.7666666666666675</v>
      </c>
      <c r="D119" s="12">
        <v>0.63400000000000001</v>
      </c>
      <c r="E119" s="12">
        <v>9</v>
      </c>
    </row>
    <row r="120" spans="2:5" x14ac:dyDescent="0.25">
      <c r="B120" s="11" t="str">
        <f ca="1">IFERROR(__xludf.DUMMYFUNCTION("""COMPUTED_VALUE"""),"Darren Aronofsky")</f>
        <v>Darren Aronofsky</v>
      </c>
      <c r="C120" s="11">
        <v>7.4833333333333334</v>
      </c>
      <c r="D120" s="11">
        <v>0.89200000000000002</v>
      </c>
      <c r="E120" s="11">
        <v>6</v>
      </c>
    </row>
    <row r="121" spans="2:5" x14ac:dyDescent="0.25">
      <c r="B121" s="12" t="str">
        <f ca="1">IFERROR(__xludf.DUMMYFUNCTION("""COMPUTED_VALUE"""),"Alfonso Cuarón")</f>
        <v>Alfonso Cuarón</v>
      </c>
      <c r="C121" s="12">
        <v>7.8</v>
      </c>
      <c r="D121" s="12">
        <v>0.95799999999999996</v>
      </c>
      <c r="E121" s="12">
        <v>4</v>
      </c>
    </row>
    <row r="122" spans="2:5" x14ac:dyDescent="0.25">
      <c r="B122" s="11" t="str">
        <f ca="1">IFERROR(__xludf.DUMMYFUNCTION("""COMPUTED_VALUE"""),"Eric Leighton")</f>
        <v>Eric Leighton</v>
      </c>
      <c r="C122" s="11">
        <v>6.5</v>
      </c>
      <c r="D122" s="11">
        <v>0.504</v>
      </c>
      <c r="E122" s="11">
        <v>1</v>
      </c>
    </row>
    <row r="123" spans="2:5" x14ac:dyDescent="0.25">
      <c r="B123" s="12" t="str">
        <f ca="1">IFERROR(__xludf.DUMMYFUNCTION("""COMPUTED_VALUE"""),"Tom McGrath")</f>
        <v>Tom McGrath</v>
      </c>
      <c r="C123" s="12">
        <v>7.3</v>
      </c>
      <c r="D123" s="12">
        <v>0.84899999999999998</v>
      </c>
      <c r="E123" s="12">
        <v>1</v>
      </c>
    </row>
    <row r="124" spans="2:5" x14ac:dyDescent="0.25">
      <c r="B124" s="11" t="str">
        <f ca="1">IFERROR(__xludf.DUMMYFUNCTION("""COMPUTED_VALUE"""),"Chris Columbus")</f>
        <v>Chris Columbus</v>
      </c>
      <c r="C124" s="11">
        <v>6.6545454545454552</v>
      </c>
      <c r="D124" s="11">
        <v>0.59</v>
      </c>
      <c r="E124" s="11">
        <v>11</v>
      </c>
    </row>
    <row r="125" spans="2:5" x14ac:dyDescent="0.25">
      <c r="B125" s="12" t="str">
        <f ca="1">IFERROR(__xludf.DUMMYFUNCTION("""COMPUTED_VALUE"""),"Robert Schwentke")</f>
        <v>Robert Schwentke</v>
      </c>
      <c r="C125" s="12">
        <v>6.3499999999999988</v>
      </c>
      <c r="D125" s="12">
        <v>0.45600000000000002</v>
      </c>
      <c r="E125" s="12">
        <v>6</v>
      </c>
    </row>
    <row r="126" spans="2:5" x14ac:dyDescent="0.25">
      <c r="B126" s="11" t="str">
        <f ca="1">IFERROR(__xludf.DUMMYFUNCTION("""COMPUTED_VALUE"""),"Carlos Saldanha")</f>
        <v>Carlos Saldanha</v>
      </c>
      <c r="C126" s="11">
        <v>6.8249999999999993</v>
      </c>
      <c r="D126" s="11">
        <v>0.66400000000000003</v>
      </c>
      <c r="E126" s="11">
        <v>4</v>
      </c>
    </row>
    <row r="127" spans="2:5" x14ac:dyDescent="0.25">
      <c r="B127" s="12" t="str">
        <f ca="1">IFERROR(__xludf.DUMMYFUNCTION("""COMPUTED_VALUE"""),"Guy Ritchie")</f>
        <v>Guy Ritchie</v>
      </c>
      <c r="C127" s="12">
        <v>7.1142857142857139</v>
      </c>
      <c r="D127" s="12">
        <v>0.79800000000000004</v>
      </c>
      <c r="E127" s="12">
        <v>7</v>
      </c>
    </row>
    <row r="128" spans="2:5" x14ac:dyDescent="0.25">
      <c r="B128" s="11" t="str">
        <f ca="1">IFERROR(__xludf.DUMMYFUNCTION("""COMPUTED_VALUE"""),"Paul Verhoeven")</f>
        <v>Paul Verhoeven</v>
      </c>
      <c r="C128" s="11">
        <v>6.56</v>
      </c>
      <c r="D128" s="11">
        <v>0.54700000000000004</v>
      </c>
      <c r="E128" s="11">
        <v>5</v>
      </c>
    </row>
    <row r="129" spans="2:5" x14ac:dyDescent="0.25">
      <c r="B129" s="12" t="str">
        <f ca="1">IFERROR(__xludf.DUMMYFUNCTION("""COMPUTED_VALUE"""),"John McTiernan")</f>
        <v>John McTiernan</v>
      </c>
      <c r="C129" s="12">
        <v>6.63</v>
      </c>
      <c r="D129" s="12">
        <v>0.58499999999999996</v>
      </c>
      <c r="E129" s="12">
        <v>10</v>
      </c>
    </row>
    <row r="130" spans="2:5" x14ac:dyDescent="0.25">
      <c r="B130" s="11" t="str">
        <f ca="1">IFERROR(__xludf.DUMMYFUNCTION("""COMPUTED_VALUE"""),"Tony Gilroy")</f>
        <v>Tony Gilroy</v>
      </c>
      <c r="C130" s="11">
        <v>6.7333333333333334</v>
      </c>
      <c r="D130" s="11">
        <v>0.623</v>
      </c>
      <c r="E130" s="11">
        <v>3</v>
      </c>
    </row>
    <row r="131" spans="2:5" x14ac:dyDescent="0.25">
      <c r="B131" s="12" t="str">
        <f ca="1">IFERROR(__xludf.DUMMYFUNCTION("""COMPUTED_VALUE"""),"Joel Schumacher")</f>
        <v>Joel Schumacher</v>
      </c>
      <c r="C131" s="12">
        <v>6.3416666666666659</v>
      </c>
      <c r="D131" s="12">
        <v>0.45500000000000002</v>
      </c>
      <c r="E131" s="12">
        <v>12</v>
      </c>
    </row>
    <row r="132" spans="2:5" x14ac:dyDescent="0.25">
      <c r="B132" s="11" t="str">
        <f ca="1">IFERROR(__xludf.DUMMYFUNCTION("""COMPUTED_VALUE"""),"John Woo")</f>
        <v>John Woo</v>
      </c>
      <c r="C132" s="11">
        <v>6.5166666666666666</v>
      </c>
      <c r="D132" s="11">
        <v>0.53800000000000003</v>
      </c>
      <c r="E132" s="11">
        <v>6</v>
      </c>
    </row>
    <row r="133" spans="2:5" x14ac:dyDescent="0.25">
      <c r="B133" s="12" t="str">
        <f ca="1">IFERROR(__xludf.DUMMYFUNCTION("""COMPUTED_VALUE"""),"Tim Story")</f>
        <v>Tim Story</v>
      </c>
      <c r="C133" s="12">
        <v>6.05</v>
      </c>
      <c r="D133" s="12">
        <v>0.34</v>
      </c>
      <c r="E133" s="12">
        <v>6</v>
      </c>
    </row>
    <row r="134" spans="2:5" x14ac:dyDescent="0.25">
      <c r="B134" s="11" t="str">
        <f ca="1">IFERROR(__xludf.DUMMYFUNCTION("""COMPUTED_VALUE"""),"Mark Steven Johnson")</f>
        <v>Mark Steven Johnson</v>
      </c>
      <c r="C134" s="11">
        <v>6.0500000000000007</v>
      </c>
      <c r="D134" s="11">
        <v>0.34399999999999997</v>
      </c>
      <c r="E134" s="11">
        <v>2</v>
      </c>
    </row>
    <row r="135" spans="2:5" x14ac:dyDescent="0.25">
      <c r="B135" s="12" t="str">
        <f ca="1">IFERROR(__xludf.DUMMYFUNCTION("""COMPUTED_VALUE"""),"Neill Blomkamp")</f>
        <v>Neill Blomkamp</v>
      </c>
      <c r="C135" s="12">
        <v>7.166666666666667</v>
      </c>
      <c r="D135" s="12">
        <v>0.80900000000000005</v>
      </c>
      <c r="E135" s="12">
        <v>3</v>
      </c>
    </row>
    <row r="136" spans="2:5" x14ac:dyDescent="0.25">
      <c r="B136" s="11" t="str">
        <f ca="1">IFERROR(__xludf.DUMMYFUNCTION("""COMPUTED_VALUE"""),"David Twohy")</f>
        <v>David Twohy</v>
      </c>
      <c r="C136" s="11">
        <v>6.6750000000000007</v>
      </c>
      <c r="D136" s="11">
        <v>0.59699999999999998</v>
      </c>
      <c r="E136" s="11">
        <v>4</v>
      </c>
    </row>
    <row r="137" spans="2:5" x14ac:dyDescent="0.25">
      <c r="B137" s="12" t="str">
        <f ca="1">IFERROR(__xludf.DUMMYFUNCTION("""COMPUTED_VALUE"""),"José Padilha")</f>
        <v>José Padilha</v>
      </c>
      <c r="C137" s="12">
        <v>7.15</v>
      </c>
      <c r="D137" s="12">
        <v>0.80500000000000005</v>
      </c>
      <c r="E137" s="12">
        <v>2</v>
      </c>
    </row>
    <row r="138" spans="2:5" x14ac:dyDescent="0.25">
      <c r="B138" s="11" t="str">
        <f ca="1">IFERROR(__xludf.DUMMYFUNCTION("""COMPUTED_VALUE"""),"James L. Brooks")</f>
        <v>James L. Brooks</v>
      </c>
      <c r="C138" s="11">
        <v>6.5</v>
      </c>
      <c r="D138" s="11">
        <v>0.504</v>
      </c>
      <c r="E138" s="11">
        <v>3</v>
      </c>
    </row>
    <row r="139" spans="2:5" x14ac:dyDescent="0.25">
      <c r="B139" s="12" t="str">
        <f ca="1">IFERROR(__xludf.DUMMYFUNCTION("""COMPUTED_VALUE"""),"James Mangold")</f>
        <v>James Mangold</v>
      </c>
      <c r="C139" s="12">
        <v>7.0749999999999993</v>
      </c>
      <c r="D139" s="12">
        <v>0.76900000000000002</v>
      </c>
      <c r="E139" s="12">
        <v>8</v>
      </c>
    </row>
    <row r="140" spans="2:5" x14ac:dyDescent="0.25">
      <c r="B140" s="11" t="str">
        <f ca="1">IFERROR(__xludf.DUMMYFUNCTION("""COMPUTED_VALUE"""),"George Lucas")</f>
        <v>George Lucas</v>
      </c>
      <c r="C140" s="11">
        <v>7.4</v>
      </c>
      <c r="D140" s="11">
        <v>0.875</v>
      </c>
      <c r="E140" s="11">
        <v>5</v>
      </c>
    </row>
    <row r="141" spans="2:5" x14ac:dyDescent="0.25">
      <c r="B141" s="12" t="str">
        <f ca="1">IFERROR(__xludf.DUMMYFUNCTION("""COMPUTED_VALUE"""),"Kirk De Micco")</f>
        <v>Kirk De Micco</v>
      </c>
      <c r="C141" s="12">
        <v>5.9</v>
      </c>
      <c r="D141" s="12">
        <v>0.27100000000000002</v>
      </c>
      <c r="E141" s="12">
        <v>2</v>
      </c>
    </row>
    <row r="142" spans="2:5" x14ac:dyDescent="0.25">
      <c r="B142" s="11" t="str">
        <f ca="1">IFERROR(__xludf.DUMMYFUNCTION("""COMPUTED_VALUE"""),"Cedric Nicolas-Troyan")</f>
        <v>Cedric Nicolas-Troyan</v>
      </c>
      <c r="C142" s="11">
        <v>6.1</v>
      </c>
      <c r="D142" s="11">
        <v>0.35099999999999998</v>
      </c>
      <c r="E142" s="11">
        <v>1</v>
      </c>
    </row>
    <row r="143" spans="2:5" x14ac:dyDescent="0.25">
      <c r="B143" s="12" t="str">
        <f ca="1">IFERROR(__xludf.DUMMYFUNCTION("""COMPUTED_VALUE"""),"Roger Donaldson")</f>
        <v>Roger Donaldson</v>
      </c>
      <c r="C143" s="12">
        <v>6.7714285714285705</v>
      </c>
      <c r="D143" s="12">
        <v>0.63500000000000001</v>
      </c>
      <c r="E143" s="12">
        <v>7</v>
      </c>
    </row>
    <row r="144" spans="2:5" x14ac:dyDescent="0.25">
      <c r="B144" s="11" t="str">
        <f ca="1">IFERROR(__xludf.DUMMYFUNCTION("""COMPUTED_VALUE"""),"Dave Green")</f>
        <v>Dave Green</v>
      </c>
      <c r="C144" s="11">
        <v>6.05</v>
      </c>
      <c r="D144" s="11">
        <v>0.34</v>
      </c>
      <c r="E144" s="11">
        <v>2</v>
      </c>
    </row>
    <row r="145" spans="2:5" x14ac:dyDescent="0.25">
      <c r="B145" s="12" t="str">
        <f ca="1">IFERROR(__xludf.DUMMYFUNCTION("""COMPUTED_VALUE"""),"Josh Trank")</f>
        <v>Josh Trank</v>
      </c>
      <c r="C145" s="12">
        <v>5.6999999999999993</v>
      </c>
      <c r="D145" s="12">
        <v>0.22900000000000001</v>
      </c>
      <c r="E145" s="12">
        <v>2</v>
      </c>
    </row>
    <row r="146" spans="2:5" x14ac:dyDescent="0.25">
      <c r="B146" s="11" t="str">
        <f ca="1">IFERROR(__xludf.DUMMYFUNCTION("""COMPUTED_VALUE"""),"Brad Peyton")</f>
        <v>Brad Peyton</v>
      </c>
      <c r="C146" s="11">
        <v>5.3999999999999995</v>
      </c>
      <c r="D146" s="11">
        <v>0.154</v>
      </c>
      <c r="E146" s="11">
        <v>3</v>
      </c>
    </row>
    <row r="147" spans="2:5" x14ac:dyDescent="0.25">
      <c r="B147" s="12" t="str">
        <f ca="1">IFERROR(__xludf.DUMMYFUNCTION("""COMPUTED_VALUE"""),"Roger Spottiswoode")</f>
        <v>Roger Spottiswoode</v>
      </c>
      <c r="C147" s="12">
        <v>6.5</v>
      </c>
      <c r="D147" s="12">
        <v>0.504</v>
      </c>
      <c r="E147" s="12">
        <v>3</v>
      </c>
    </row>
    <row r="148" spans="2:5" x14ac:dyDescent="0.25">
      <c r="B148" s="11" t="str">
        <f ca="1">IFERROR(__xludf.DUMMYFUNCTION("""COMPUTED_VALUE"""),"Steven Soderbergh")</f>
        <v>Steven Soderbergh</v>
      </c>
      <c r="C148" s="11">
        <v>6.6800000000000006</v>
      </c>
      <c r="D148" s="11">
        <v>0.59799999999999998</v>
      </c>
      <c r="E148" s="11">
        <v>15</v>
      </c>
    </row>
    <row r="149" spans="2:5" x14ac:dyDescent="0.25">
      <c r="B149" s="12" t="str">
        <f ca="1">IFERROR(__xludf.DUMMYFUNCTION("""COMPUTED_VALUE"""),"Michel Gondry")</f>
        <v>Michel Gondry</v>
      </c>
      <c r="C149" s="12">
        <v>6.9249999999999998</v>
      </c>
      <c r="D149" s="12">
        <v>0.70799999999999996</v>
      </c>
      <c r="E149" s="12">
        <v>4</v>
      </c>
    </row>
    <row r="150" spans="2:5" x14ac:dyDescent="0.25">
      <c r="B150" s="11" t="str">
        <f ca="1">IFERROR(__xludf.DUMMYFUNCTION("""COMPUTED_VALUE"""),"Noam Murro")</f>
        <v>Noam Murro</v>
      </c>
      <c r="C150" s="11">
        <v>6.2</v>
      </c>
      <c r="D150" s="11">
        <v>0.39100000000000001</v>
      </c>
      <c r="E150" s="11">
        <v>1</v>
      </c>
    </row>
    <row r="151" spans="2:5" x14ac:dyDescent="0.25">
      <c r="B151" s="12" t="str">
        <f ca="1">IFERROR(__xludf.DUMMYFUNCTION("""COMPUTED_VALUE"""),"Raja Gosnell")</f>
        <v>Raja Gosnell</v>
      </c>
      <c r="C151" s="12">
        <v>4.9166666666666661</v>
      </c>
      <c r="D151" s="12">
        <v>8.6999999999999994E-2</v>
      </c>
      <c r="E151" s="12">
        <v>6</v>
      </c>
    </row>
    <row r="152" spans="2:5" x14ac:dyDescent="0.25">
      <c r="B152" s="11" t="str">
        <f ca="1">IFERROR(__xludf.DUMMYFUNCTION("""COMPUTED_VALUE"""),"Will Finn")</f>
        <v>Will Finn</v>
      </c>
      <c r="C152" s="11">
        <v>5.5</v>
      </c>
      <c r="D152" s="11">
        <v>0.17699999999999999</v>
      </c>
      <c r="E152" s="11">
        <v>2</v>
      </c>
    </row>
    <row r="153" spans="2:5" x14ac:dyDescent="0.25">
      <c r="B153" s="12" t="str">
        <f ca="1">IFERROR(__xludf.DUMMYFUNCTION("""COMPUTED_VALUE"""),"Jan de Bont")</f>
        <v>Jan de Bont</v>
      </c>
      <c r="C153" s="12">
        <v>5.52</v>
      </c>
      <c r="D153" s="12">
        <v>0.192</v>
      </c>
      <c r="E153" s="12">
        <v>5</v>
      </c>
    </row>
    <row r="154" spans="2:5" x14ac:dyDescent="0.25">
      <c r="B154" s="11" t="str">
        <f ca="1">IFERROR(__xludf.DUMMYFUNCTION("""COMPUTED_VALUE"""),"Len Wiseman")</f>
        <v>Len Wiseman</v>
      </c>
      <c r="C154" s="11">
        <v>7</v>
      </c>
      <c r="D154" s="11">
        <v>0.72299999999999998</v>
      </c>
      <c r="E154" s="11">
        <v>3</v>
      </c>
    </row>
    <row r="155" spans="2:5" x14ac:dyDescent="0.25">
      <c r="B155" s="12" t="str">
        <f ca="1">IFERROR(__xludf.DUMMYFUNCTION("""COMPUTED_VALUE"""),"Frank Coraci")</f>
        <v>Frank Coraci</v>
      </c>
      <c r="C155" s="12">
        <v>6.083333333333333</v>
      </c>
      <c r="D155" s="12">
        <v>0.34899999999999998</v>
      </c>
      <c r="E155" s="12">
        <v>6</v>
      </c>
    </row>
    <row r="156" spans="2:5" x14ac:dyDescent="0.25">
      <c r="B156" s="11" t="str">
        <f ca="1">IFERROR(__xludf.DUMMYFUNCTION("""COMPUTED_VALUE"""),"Michael Mann")</f>
        <v>Michael Mann</v>
      </c>
      <c r="C156" s="11">
        <v>7.083333333333333</v>
      </c>
      <c r="D156" s="11">
        <v>0.77100000000000002</v>
      </c>
      <c r="E156" s="11">
        <v>6</v>
      </c>
    </row>
    <row r="157" spans="2:5" x14ac:dyDescent="0.25">
      <c r="B157" s="12" t="str">
        <f ca="1">IFERROR(__xludf.DUMMYFUNCTION("""COMPUTED_VALUE"""),"Bo Welch")</f>
        <v>Bo Welch</v>
      </c>
      <c r="C157" s="12">
        <v>3.8</v>
      </c>
      <c r="D157" s="12">
        <v>2.4E-2</v>
      </c>
      <c r="E157" s="12">
        <v>1</v>
      </c>
    </row>
    <row r="158" spans="2:5" x14ac:dyDescent="0.25">
      <c r="B158" s="11" t="str">
        <f ca="1">IFERROR(__xludf.DUMMYFUNCTION("""COMPUTED_VALUE"""),"Ron Clements")</f>
        <v>Ron Clements</v>
      </c>
      <c r="C158" s="11">
        <v>7.3999999999999995</v>
      </c>
      <c r="D158" s="11">
        <v>0.874</v>
      </c>
      <c r="E158" s="11">
        <v>3</v>
      </c>
    </row>
    <row r="159" spans="2:5" x14ac:dyDescent="0.25">
      <c r="B159" s="12" t="str">
        <f ca="1">IFERROR(__xludf.DUMMYFUNCTION("""COMPUTED_VALUE"""),"Peter Chelsom")</f>
        <v>Peter Chelsom</v>
      </c>
      <c r="C159" s="12">
        <v>5.4</v>
      </c>
      <c r="D159" s="12">
        <v>0.155</v>
      </c>
      <c r="E159" s="12">
        <v>4</v>
      </c>
    </row>
    <row r="160" spans="2:5" x14ac:dyDescent="0.25">
      <c r="B160" s="11" t="str">
        <f ca="1">IFERROR(__xludf.DUMMYFUNCTION("""COMPUTED_VALUE"""),"Dominic Sena")</f>
        <v>Dominic Sena</v>
      </c>
      <c r="C160" s="11">
        <v>6.166666666666667</v>
      </c>
      <c r="D160" s="11">
        <v>0.38600000000000001</v>
      </c>
      <c r="E160" s="11">
        <v>3</v>
      </c>
    </row>
    <row r="161" spans="2:5" x14ac:dyDescent="0.25">
      <c r="B161" s="12" t="str">
        <f ca="1">IFERROR(__xludf.DUMMYFUNCTION("""COMPUTED_VALUE"""),"Tony Scott")</f>
        <v>Tony Scott</v>
      </c>
      <c r="C161" s="12">
        <v>6.791666666666667</v>
      </c>
      <c r="D161" s="12">
        <v>0.63800000000000001</v>
      </c>
      <c r="E161" s="12">
        <v>12</v>
      </c>
    </row>
    <row r="162" spans="2:5" x14ac:dyDescent="0.25">
      <c r="B162" s="11" t="str">
        <f ca="1">IFERROR(__xludf.DUMMYFUNCTION("""COMPUTED_VALUE"""),"Paul Weitz")</f>
        <v>Paul Weitz</v>
      </c>
      <c r="C162" s="11">
        <v>6.0166666666666657</v>
      </c>
      <c r="D162" s="11">
        <v>0.33500000000000002</v>
      </c>
      <c r="E162" s="11">
        <v>6</v>
      </c>
    </row>
    <row r="163" spans="2:5" x14ac:dyDescent="0.25">
      <c r="B163" s="12" t="str">
        <f ca="1">IFERROR(__xludf.DUMMYFUNCTION("""COMPUTED_VALUE"""),"Adam McKay")</f>
        <v>Adam McKay</v>
      </c>
      <c r="C163" s="12">
        <v>6.9166666666666679</v>
      </c>
      <c r="D163" s="12">
        <v>0.70799999999999996</v>
      </c>
      <c r="E163" s="12">
        <v>6</v>
      </c>
    </row>
    <row r="164" spans="2:5" x14ac:dyDescent="0.25">
      <c r="B164" s="11" t="str">
        <f ca="1">IFERROR(__xludf.DUMMYFUNCTION("""COMPUTED_VALUE"""),"Chuck Russell")</f>
        <v>Chuck Russell</v>
      </c>
      <c r="C164" s="11">
        <v>6.0400000000000009</v>
      </c>
      <c r="D164" s="11">
        <v>0.33800000000000002</v>
      </c>
      <c r="E164" s="11">
        <v>5</v>
      </c>
    </row>
    <row r="165" spans="2:5" x14ac:dyDescent="0.25">
      <c r="B165" s="12" t="str">
        <f ca="1">IFERROR(__xludf.DUMMYFUNCTION("""COMPUTED_VALUE"""),"Quentin Tarantino")</f>
        <v>Quentin Tarantino</v>
      </c>
      <c r="C165" s="12">
        <v>8.2000000000000011</v>
      </c>
      <c r="D165" s="12">
        <v>0.98899999999999999</v>
      </c>
      <c r="E165" s="12">
        <v>8</v>
      </c>
    </row>
    <row r="166" spans="2:5" x14ac:dyDescent="0.25">
      <c r="B166" s="11" t="str">
        <f ca="1">IFERROR(__xludf.DUMMYFUNCTION("""COMPUTED_VALUE"""),"Gary Trousdale")</f>
        <v>Gary Trousdale</v>
      </c>
      <c r="C166" s="11">
        <v>6.85</v>
      </c>
      <c r="D166" s="11">
        <v>0.66800000000000004</v>
      </c>
      <c r="E166" s="11">
        <v>2</v>
      </c>
    </row>
    <row r="167" spans="2:5" x14ac:dyDescent="0.25">
      <c r="B167" s="12" t="str">
        <f ca="1">IFERROR(__xludf.DUMMYFUNCTION("""COMPUTED_VALUE"""),"Mark Dindal")</f>
        <v>Mark Dindal</v>
      </c>
      <c r="C167" s="12">
        <v>6.666666666666667</v>
      </c>
      <c r="D167" s="12">
        <v>0.59199999999999997</v>
      </c>
      <c r="E167" s="12">
        <v>3</v>
      </c>
    </row>
    <row r="168" spans="2:5" x14ac:dyDescent="0.25">
      <c r="B168" s="11" t="str">
        <f ca="1">IFERROR(__xludf.DUMMYFUNCTION("""COMPUTED_VALUE"""),"Simon West")</f>
        <v>Simon West</v>
      </c>
      <c r="C168" s="11">
        <v>6.0857142857142863</v>
      </c>
      <c r="D168" s="11">
        <v>0.35</v>
      </c>
      <c r="E168" s="11">
        <v>7</v>
      </c>
    </row>
    <row r="169" spans="2:5" x14ac:dyDescent="0.25">
      <c r="B169" s="12" t="str">
        <f ca="1">IFERROR(__xludf.DUMMYFUNCTION("""COMPUTED_VALUE"""),"Stefen Fangmeier")</f>
        <v>Stefen Fangmeier</v>
      </c>
      <c r="C169" s="12">
        <v>5.0999999999999996</v>
      </c>
      <c r="D169" s="12">
        <v>9.7000000000000003E-2</v>
      </c>
      <c r="E169" s="12">
        <v>1</v>
      </c>
    </row>
    <row r="170" spans="2:5" x14ac:dyDescent="0.25">
      <c r="B170" s="11" t="str">
        <f ca="1">IFERROR(__xludf.DUMMYFUNCTION("""COMPUTED_VALUE"""),"Spike Jonze")</f>
        <v>Spike Jonze</v>
      </c>
      <c r="C170" s="11">
        <v>7.5750000000000002</v>
      </c>
      <c r="D170" s="11">
        <v>0.91300000000000003</v>
      </c>
      <c r="E170" s="11">
        <v>4</v>
      </c>
    </row>
    <row r="171" spans="2:5" x14ac:dyDescent="0.25">
      <c r="B171" s="12" t="str">
        <f ca="1">IFERROR(__xludf.DUMMYFUNCTION("""COMPUTED_VALUE"""),"Chris Wedge")</f>
        <v>Chris Wedge</v>
      </c>
      <c r="C171" s="12">
        <v>6.8666666666666671</v>
      </c>
      <c r="D171" s="12">
        <v>0.67800000000000005</v>
      </c>
      <c r="E171" s="12">
        <v>3</v>
      </c>
    </row>
    <row r="172" spans="2:5" x14ac:dyDescent="0.25">
      <c r="B172" s="11" t="str">
        <f ca="1">IFERROR(__xludf.DUMMYFUNCTION("""COMPUTED_VALUE"""),"Florian Henckel von Donnersmarck")</f>
        <v>Florian Henckel von Donnersmarck</v>
      </c>
      <c r="C172" s="11">
        <v>7.25</v>
      </c>
      <c r="D172" s="11">
        <v>0.84399999999999997</v>
      </c>
      <c r="E172" s="11">
        <v>2</v>
      </c>
    </row>
    <row r="173" spans="2:5" x14ac:dyDescent="0.25">
      <c r="B173" s="12" t="str">
        <f ca="1">IFERROR(__xludf.DUMMYFUNCTION("""COMPUTED_VALUE"""),"Peter Hyams")</f>
        <v>Peter Hyams</v>
      </c>
      <c r="C173" s="12">
        <v>5.2200000000000006</v>
      </c>
      <c r="D173" s="12">
        <v>0.124</v>
      </c>
      <c r="E173" s="12">
        <v>5</v>
      </c>
    </row>
    <row r="174" spans="2:5" x14ac:dyDescent="0.25">
      <c r="B174" s="11" t="str">
        <f ca="1">IFERROR(__xludf.DUMMYFUNCTION("""COMPUTED_VALUE"""),"Tom Tykwer")</f>
        <v>Tom Tykwer</v>
      </c>
      <c r="C174" s="11">
        <v>7.3250000000000002</v>
      </c>
      <c r="D174" s="11">
        <v>0.86899999999999999</v>
      </c>
      <c r="E174" s="11">
        <v>4</v>
      </c>
    </row>
    <row r="175" spans="2:5" x14ac:dyDescent="0.25">
      <c r="B175" s="12" t="str">
        <f ca="1">IFERROR(__xludf.DUMMYFUNCTION("""COMPUTED_VALUE"""),"Pitof")</f>
        <v>Pitof</v>
      </c>
      <c r="C175" s="12">
        <v>3.3</v>
      </c>
      <c r="D175" s="12">
        <v>0.01</v>
      </c>
      <c r="E175" s="12">
        <v>1</v>
      </c>
    </row>
    <row r="176" spans="2:5" x14ac:dyDescent="0.25">
      <c r="B176" s="11" t="str">
        <f ca="1">IFERROR(__xludf.DUMMYFUNCTION("""COMPUTED_VALUE"""),"Brad Silberling")</f>
        <v>Brad Silberling</v>
      </c>
      <c r="C176" s="11">
        <v>6.2</v>
      </c>
      <c r="D176" s="11">
        <v>0.39100000000000001</v>
      </c>
      <c r="E176" s="11">
        <v>4</v>
      </c>
    </row>
    <row r="177" spans="2:5" x14ac:dyDescent="0.25">
      <c r="B177" s="12" t="str">
        <f ca="1">IFERROR(__xludf.DUMMYFUNCTION("""COMPUTED_VALUE"""),"Patrick Hughes")</f>
        <v>Patrick Hughes</v>
      </c>
      <c r="C177" s="12">
        <v>6.1</v>
      </c>
      <c r="D177" s="12">
        <v>0.35099999999999998</v>
      </c>
      <c r="E177" s="12">
        <v>1</v>
      </c>
    </row>
    <row r="178" spans="2:5" x14ac:dyDescent="0.25">
      <c r="B178" s="11" t="str">
        <f ca="1">IFERROR(__xludf.DUMMYFUNCTION("""COMPUTED_VALUE"""),"Ericson Core")</f>
        <v>Ericson Core</v>
      </c>
      <c r="C178" s="11">
        <v>5.3</v>
      </c>
      <c r="D178" s="11">
        <v>0.13</v>
      </c>
      <c r="E178" s="11">
        <v>1</v>
      </c>
    </row>
    <row r="179" spans="2:5" x14ac:dyDescent="0.25">
      <c r="B179" s="12" t="str">
        <f ca="1">IFERROR(__xludf.DUMMYFUNCTION("""COMPUTED_VALUE"""),"Lawrence Guterman")</f>
        <v>Lawrence Guterman</v>
      </c>
      <c r="C179" s="12">
        <v>3.7</v>
      </c>
      <c r="D179" s="12">
        <v>2.3E-2</v>
      </c>
      <c r="E179" s="12">
        <v>2</v>
      </c>
    </row>
    <row r="180" spans="2:5" x14ac:dyDescent="0.25">
      <c r="B180" s="11" t="str">
        <f ca="1">IFERROR(__xludf.DUMMYFUNCTION("""COMPUTED_VALUE"""),"Ron Underwood")</f>
        <v>Ron Underwood</v>
      </c>
      <c r="C180" s="11">
        <v>5.5</v>
      </c>
      <c r="D180" s="11">
        <v>0.17699999999999999</v>
      </c>
      <c r="E180" s="11">
        <v>3</v>
      </c>
    </row>
    <row r="181" spans="2:5" x14ac:dyDescent="0.25">
      <c r="B181" s="12" t="str">
        <f ca="1">IFERROR(__xludf.DUMMYFUNCTION("""COMPUTED_VALUE"""),"Steve Martino")</f>
        <v>Steve Martino</v>
      </c>
      <c r="C181" s="12">
        <v>6.9</v>
      </c>
      <c r="D181" s="12">
        <v>0.68200000000000005</v>
      </c>
      <c r="E181" s="12">
        <v>2</v>
      </c>
    </row>
    <row r="182" spans="2:5" x14ac:dyDescent="0.25">
      <c r="B182" s="11" t="str">
        <f ca="1">IFERROR(__xludf.DUMMYFUNCTION("""COMPUTED_VALUE"""),"David Mamet")</f>
        <v>David Mamet</v>
      </c>
      <c r="C182" s="11">
        <v>7.05</v>
      </c>
      <c r="D182" s="11">
        <v>0.76500000000000001</v>
      </c>
      <c r="E182" s="11">
        <v>2</v>
      </c>
    </row>
    <row r="183" spans="2:5" x14ac:dyDescent="0.25">
      <c r="B183" s="12" t="str">
        <f ca="1">IFERROR(__xludf.DUMMYFUNCTION("""COMPUTED_VALUE"""),"Yimou Zhang")</f>
        <v>Yimou Zhang</v>
      </c>
      <c r="C183" s="12">
        <v>7.5250000000000004</v>
      </c>
      <c r="D183" s="12">
        <v>0.90800000000000003</v>
      </c>
      <c r="E183" s="12">
        <v>4</v>
      </c>
    </row>
    <row r="184" spans="2:5" x14ac:dyDescent="0.25">
      <c r="B184" s="11" t="str">
        <f ca="1">IFERROR(__xludf.DUMMYFUNCTION("""COMPUTED_VALUE"""),"Ash Brannon")</f>
        <v>Ash Brannon</v>
      </c>
      <c r="C184" s="11">
        <v>6.8</v>
      </c>
      <c r="D184" s="11">
        <v>0.63800000000000001</v>
      </c>
      <c r="E184" s="11">
        <v>1</v>
      </c>
    </row>
    <row r="185" spans="2:5" x14ac:dyDescent="0.25">
      <c r="B185" s="12" t="str">
        <f ca="1">IFERROR(__xludf.DUMMYFUNCTION("""COMPUTED_VALUE"""),"Frank Oz")</f>
        <v>Frank Oz</v>
      </c>
      <c r="C185" s="12">
        <v>6.4142857142857137</v>
      </c>
      <c r="D185" s="12">
        <v>0.48899999999999999</v>
      </c>
      <c r="E185" s="12">
        <v>7</v>
      </c>
    </row>
    <row r="186" spans="2:5" x14ac:dyDescent="0.25">
      <c r="B186" s="11" t="str">
        <f ca="1">IFERROR(__xludf.DUMMYFUNCTION("""COMPUTED_VALUE"""),"Jay Roach")</f>
        <v>Jay Roach</v>
      </c>
      <c r="C186" s="11">
        <v>6.5714285714285712</v>
      </c>
      <c r="D186" s="11">
        <v>0.55000000000000004</v>
      </c>
      <c r="E186" s="11">
        <v>7</v>
      </c>
    </row>
    <row r="187" spans="2:5" x14ac:dyDescent="0.25">
      <c r="B187" s="12" t="str">
        <f ca="1">IFERROR(__xludf.DUMMYFUNCTION("""COMPUTED_VALUE"""),"Luc Besson")</f>
        <v>Luc Besson</v>
      </c>
      <c r="C187" s="12">
        <v>6.625</v>
      </c>
      <c r="D187" s="12">
        <v>0.58299999999999996</v>
      </c>
      <c r="E187" s="12">
        <v>4</v>
      </c>
    </row>
    <row r="188" spans="2:5" x14ac:dyDescent="0.25">
      <c r="B188" s="11" t="str">
        <f ca="1">IFERROR(__xludf.DUMMYFUNCTION("""COMPUTED_VALUE"""),"Michael Patrick King")</f>
        <v>Michael Patrick King</v>
      </c>
      <c r="C188" s="11">
        <v>4.3</v>
      </c>
      <c r="D188" s="11">
        <v>4.4999999999999998E-2</v>
      </c>
      <c r="E188" s="11">
        <v>1</v>
      </c>
    </row>
    <row r="189" spans="2:5" x14ac:dyDescent="0.25">
      <c r="B189" s="12" t="str">
        <f ca="1">IFERROR(__xludf.DUMMYFUNCTION("""COMPUTED_VALUE"""),"Bibo Bergeron")</f>
        <v>Bibo Bergeron</v>
      </c>
      <c r="C189" s="12">
        <v>6.45</v>
      </c>
      <c r="D189" s="12">
        <v>0.496</v>
      </c>
      <c r="E189" s="12">
        <v>2</v>
      </c>
    </row>
    <row r="190" spans="2:5" x14ac:dyDescent="0.25">
      <c r="B190" s="11" t="str">
        <f ca="1">IFERROR(__xludf.DUMMYFUNCTION("""COMPUTED_VALUE"""),"Sergey Bodrov")</f>
        <v>Sergey Bodrov</v>
      </c>
      <c r="C190" s="11">
        <v>6.2666666666666666</v>
      </c>
      <c r="D190" s="11">
        <v>0.42099999999999999</v>
      </c>
      <c r="E190" s="11">
        <v>3</v>
      </c>
    </row>
    <row r="191" spans="2:5" x14ac:dyDescent="0.25">
      <c r="B191" s="12" t="str">
        <f ca="1">IFERROR(__xludf.DUMMYFUNCTION("""COMPUTED_VALUE"""),"Wally Pfister")</f>
        <v>Wally Pfister</v>
      </c>
      <c r="C191" s="12">
        <v>6.3</v>
      </c>
      <c r="D191" s="12">
        <v>0.42299999999999999</v>
      </c>
      <c r="E191" s="12">
        <v>1</v>
      </c>
    </row>
    <row r="192" spans="2:5" x14ac:dyDescent="0.25">
      <c r="B192" s="11" t="str">
        <f ca="1">IFERROR(__xludf.DUMMYFUNCTION("""COMPUTED_VALUE"""),"Rupert Wyatt")</f>
        <v>Rupert Wyatt</v>
      </c>
      <c r="C192" s="11">
        <v>6.8</v>
      </c>
      <c r="D192" s="11">
        <v>0.63800000000000001</v>
      </c>
      <c r="E192" s="11">
        <v>2</v>
      </c>
    </row>
    <row r="193" spans="2:5" x14ac:dyDescent="0.25">
      <c r="B193" s="12" t="str">
        <f ca="1">IFERROR(__xludf.DUMMYFUNCTION("""COMPUTED_VALUE"""),"Mark Waters")</f>
        <v>Mark Waters</v>
      </c>
      <c r="C193" s="12">
        <v>6.3</v>
      </c>
      <c r="D193" s="12">
        <v>0.42299999999999999</v>
      </c>
      <c r="E193" s="12">
        <v>6</v>
      </c>
    </row>
    <row r="194" spans="2:5" x14ac:dyDescent="0.25">
      <c r="B194" s="11" t="str">
        <f ca="1">IFERROR(__xludf.DUMMYFUNCTION("""COMPUTED_VALUE"""),"John Moore")</f>
        <v>John Moore</v>
      </c>
      <c r="C194" s="11">
        <v>5.7999999999999989</v>
      </c>
      <c r="D194" s="11">
        <v>0.251</v>
      </c>
      <c r="E194" s="11">
        <v>4</v>
      </c>
    </row>
    <row r="195" spans="2:5" x14ac:dyDescent="0.25">
      <c r="B195" s="12" t="str">
        <f ca="1">IFERROR(__xludf.DUMMYFUNCTION("""COMPUTED_VALUE"""),"John Lee Hancock")</f>
        <v>John Lee Hancock</v>
      </c>
      <c r="C195" s="12">
        <v>7.05</v>
      </c>
      <c r="D195" s="12">
        <v>0.76500000000000001</v>
      </c>
      <c r="E195" s="12">
        <v>4</v>
      </c>
    </row>
    <row r="196" spans="2:5" x14ac:dyDescent="0.25">
      <c r="B196" s="11" t="str">
        <f ca="1">IFERROR(__xludf.DUMMYFUNCTION("""COMPUTED_VALUE"""),"Renny Harlin")</f>
        <v>Renny Harlin</v>
      </c>
      <c r="C196" s="11">
        <v>5.7466666666666661</v>
      </c>
      <c r="D196" s="11">
        <v>0.247</v>
      </c>
      <c r="E196" s="11">
        <v>15</v>
      </c>
    </row>
    <row r="197" spans="2:5" x14ac:dyDescent="0.25">
      <c r="B197" s="12" t="str">
        <f ca="1">IFERROR(__xludf.DUMMYFUNCTION("""COMPUTED_VALUE"""),"Phil Lord")</f>
        <v>Phil Lord</v>
      </c>
      <c r="C197" s="12">
        <v>7.2749999999999995</v>
      </c>
      <c r="D197" s="12">
        <v>0.84799999999999998</v>
      </c>
      <c r="E197" s="12">
        <v>4</v>
      </c>
    </row>
    <row r="198" spans="2:5" x14ac:dyDescent="0.25">
      <c r="B198" s="11" t="str">
        <f ca="1">IFERROR(__xludf.DUMMYFUNCTION("""COMPUTED_VALUE"""),"Ben Stiller")</f>
        <v>Ben Stiller</v>
      </c>
      <c r="C198" s="11">
        <v>6.3400000000000007</v>
      </c>
      <c r="D198" s="11">
        <v>0.45400000000000001</v>
      </c>
      <c r="E198" s="11">
        <v>5</v>
      </c>
    </row>
    <row r="199" spans="2:5" x14ac:dyDescent="0.25">
      <c r="B199" s="12" t="str">
        <f ca="1">IFERROR(__xludf.DUMMYFUNCTION("""COMPUTED_VALUE"""),"Tony Bancroft")</f>
        <v>Tony Bancroft</v>
      </c>
      <c r="C199" s="12">
        <v>7.5</v>
      </c>
      <c r="D199" s="12">
        <v>0.89300000000000002</v>
      </c>
      <c r="E199" s="12">
        <v>1</v>
      </c>
    </row>
    <row r="200" spans="2:5" x14ac:dyDescent="0.25">
      <c r="B200" s="11" t="str">
        <f ca="1">IFERROR(__xludf.DUMMYFUNCTION("""COMPUTED_VALUE"""),"Walt Becker")</f>
        <v>Walt Becker</v>
      </c>
      <c r="C200" s="11">
        <v>5.6000000000000005</v>
      </c>
      <c r="D200" s="11">
        <v>0.219</v>
      </c>
      <c r="E200" s="11">
        <v>3</v>
      </c>
    </row>
    <row r="201" spans="2:5" x14ac:dyDescent="0.25">
      <c r="B201" s="12" t="str">
        <f ca="1">IFERROR(__xludf.DUMMYFUNCTION("""COMPUTED_VALUE"""),"Dennis Dugan")</f>
        <v>Dennis Dugan</v>
      </c>
      <c r="C201" s="12">
        <v>5.7333333333333325</v>
      </c>
      <c r="D201" s="12">
        <v>0.246</v>
      </c>
      <c r="E201" s="12">
        <v>9</v>
      </c>
    </row>
    <row r="202" spans="2:5" x14ac:dyDescent="0.25">
      <c r="B202" s="11" t="str">
        <f ca="1">IFERROR(__xludf.DUMMYFUNCTION("""COMPUTED_VALUE"""),"Sydney Pollack")</f>
        <v>Sydney Pollack</v>
      </c>
      <c r="C202" s="11">
        <v>6.58</v>
      </c>
      <c r="D202" s="11">
        <v>0.55100000000000005</v>
      </c>
      <c r="E202" s="11">
        <v>5</v>
      </c>
    </row>
    <row r="203" spans="2:5" x14ac:dyDescent="0.25">
      <c r="B203" s="12" t="str">
        <f ca="1">IFERROR(__xludf.DUMMYFUNCTION("""COMPUTED_VALUE"""),"Thor Freudenthal")</f>
        <v>Thor Freudenthal</v>
      </c>
      <c r="C203" s="12">
        <v>5.833333333333333</v>
      </c>
      <c r="D203" s="12">
        <v>0.26700000000000002</v>
      </c>
      <c r="E203" s="12">
        <v>3</v>
      </c>
    </row>
    <row r="204" spans="2:5" x14ac:dyDescent="0.25">
      <c r="B204" s="11" t="str">
        <f ca="1">IFERROR(__xludf.DUMMYFUNCTION("""COMPUTED_VALUE"""),"Brian De Palma")</f>
        <v>Brian De Palma</v>
      </c>
      <c r="C204" s="11">
        <v>6.6</v>
      </c>
      <c r="D204" s="11">
        <v>0.55300000000000005</v>
      </c>
      <c r="E204" s="11">
        <v>10</v>
      </c>
    </row>
    <row r="205" spans="2:5" x14ac:dyDescent="0.25">
      <c r="B205" s="12" t="str">
        <f ca="1">IFERROR(__xludf.DUMMYFUNCTION("""COMPUTED_VALUE"""),"Mick Jackson")</f>
        <v>Mick Jackson</v>
      </c>
      <c r="C205" s="12">
        <v>5.75</v>
      </c>
      <c r="D205" s="12">
        <v>0.247</v>
      </c>
      <c r="E205" s="12">
        <v>2</v>
      </c>
    </row>
    <row r="206" spans="2:5" x14ac:dyDescent="0.25">
      <c r="B206" s="11" t="str">
        <f ca="1">IFERROR(__xludf.DUMMYFUNCTION("""COMPUTED_VALUE"""),"Alan J. Pakula")</f>
        <v>Alan J. Pakula</v>
      </c>
      <c r="C206" s="11">
        <v>6.3</v>
      </c>
      <c r="D206" s="11">
        <v>0.42299999999999999</v>
      </c>
      <c r="E206" s="11">
        <v>2</v>
      </c>
    </row>
    <row r="207" spans="2:5" x14ac:dyDescent="0.25">
      <c r="B207" s="12" t="str">
        <f ca="1">IFERROR(__xludf.DUMMYFUNCTION("""COMPUTED_VALUE"""),"Kathryn Bigelow")</f>
        <v>Kathryn Bigelow</v>
      </c>
      <c r="C207" s="12">
        <v>7.2333333333333343</v>
      </c>
      <c r="D207" s="12">
        <v>0.84299999999999997</v>
      </c>
      <c r="E207" s="12">
        <v>3</v>
      </c>
    </row>
    <row r="208" spans="2:5" x14ac:dyDescent="0.25">
      <c r="B208" s="11" t="str">
        <f ca="1">IFERROR(__xludf.DUMMYFUNCTION("""COMPUTED_VALUE"""),"John Milius")</f>
        <v>John Milius</v>
      </c>
      <c r="C208" s="11">
        <v>6.3000000000000007</v>
      </c>
      <c r="D208" s="11">
        <v>0.44900000000000001</v>
      </c>
      <c r="E208" s="11">
        <v>2</v>
      </c>
    </row>
    <row r="209" spans="2:5" x14ac:dyDescent="0.25">
      <c r="B209" s="12" t="str">
        <f ca="1">IFERROR(__xludf.DUMMYFUNCTION("""COMPUTED_VALUE"""),"Andrey Konchalovskiy")</f>
        <v>Andrey Konchalovskiy</v>
      </c>
      <c r="C209" s="12">
        <v>5.35</v>
      </c>
      <c r="D209" s="12">
        <v>0.152</v>
      </c>
      <c r="E209" s="12">
        <v>2</v>
      </c>
    </row>
    <row r="210" spans="2:5" x14ac:dyDescent="0.25">
      <c r="B210" s="11" t="str">
        <f ca="1">IFERROR(__xludf.DUMMYFUNCTION("""COMPUTED_VALUE"""),"Gary Ross")</f>
        <v>Gary Ross</v>
      </c>
      <c r="C210" s="11">
        <v>7.1000000000000005</v>
      </c>
      <c r="D210" s="11">
        <v>0.79600000000000004</v>
      </c>
      <c r="E210" s="11">
        <v>3</v>
      </c>
    </row>
    <row r="211" spans="2:5" x14ac:dyDescent="0.25">
      <c r="B211" s="12" t="str">
        <f ca="1">IFERROR(__xludf.DUMMYFUNCTION("""COMPUTED_VALUE"""),"Paul W.S. Anderson")</f>
        <v>Paul W.S. Anderson</v>
      </c>
      <c r="C211" s="12">
        <v>5.99</v>
      </c>
      <c r="D211" s="12">
        <v>0.311</v>
      </c>
      <c r="E211" s="12">
        <v>10</v>
      </c>
    </row>
    <row r="212" spans="2:5" x14ac:dyDescent="0.25">
      <c r="B212" s="11" t="str">
        <f ca="1">IFERROR(__xludf.DUMMYFUNCTION("""COMPUTED_VALUE"""),"Genndy Tartakovsky")</f>
        <v>Genndy Tartakovsky</v>
      </c>
      <c r="C212" s="11">
        <v>6.9</v>
      </c>
      <c r="D212" s="11">
        <v>0.68200000000000005</v>
      </c>
      <c r="E212" s="11">
        <v>2</v>
      </c>
    </row>
    <row r="213" spans="2:5" x14ac:dyDescent="0.25">
      <c r="B213" s="12" t="str">
        <f ca="1">IFERROR(__xludf.DUMMYFUNCTION("""COMPUTED_VALUE"""),"Kevin Lima")</f>
        <v>Kevin Lima</v>
      </c>
      <c r="C213" s="12">
        <v>5.9499999999999993</v>
      </c>
      <c r="D213" s="12">
        <v>0.30099999999999999</v>
      </c>
      <c r="E213" s="12">
        <v>2</v>
      </c>
    </row>
    <row r="214" spans="2:5" x14ac:dyDescent="0.25">
      <c r="B214" s="11" t="str">
        <f ca="1">IFERROR(__xludf.DUMMYFUNCTION("""COMPUTED_VALUE"""),"Daniel Espinosa")</f>
        <v>Daniel Espinosa</v>
      </c>
      <c r="C214" s="11">
        <v>6.6</v>
      </c>
      <c r="D214" s="11">
        <v>0.55300000000000005</v>
      </c>
      <c r="E214" s="11">
        <v>2</v>
      </c>
    </row>
    <row r="215" spans="2:5" x14ac:dyDescent="0.25">
      <c r="B215" s="12" t="str">
        <f ca="1">IFERROR(__xludf.DUMMYFUNCTION("""COMPUTED_VALUE"""),"Nancy Meyers")</f>
        <v>Nancy Meyers</v>
      </c>
      <c r="C215" s="12">
        <v>6.7600000000000007</v>
      </c>
      <c r="D215" s="12">
        <v>0.63</v>
      </c>
      <c r="E215" s="12">
        <v>5</v>
      </c>
    </row>
    <row r="216" spans="2:5" x14ac:dyDescent="0.25">
      <c r="B216" s="11" t="str">
        <f ca="1">IFERROR(__xludf.DUMMYFUNCTION("""COMPUTED_VALUE"""),"Roger Allers")</f>
        <v>Roger Allers</v>
      </c>
      <c r="C216" s="11">
        <v>7.35</v>
      </c>
      <c r="D216" s="11">
        <v>0.872</v>
      </c>
      <c r="E216" s="11">
        <v>2</v>
      </c>
    </row>
    <row r="217" spans="2:5" x14ac:dyDescent="0.25">
      <c r="B217" s="12" t="str">
        <f ca="1">IFERROR(__xludf.DUMMYFUNCTION("""COMPUTED_VALUE"""),"Neil Burger")</f>
        <v>Neil Burger</v>
      </c>
      <c r="C217" s="12">
        <v>6.9749999999999996</v>
      </c>
      <c r="D217" s="12">
        <v>0.71899999999999997</v>
      </c>
      <c r="E217" s="12">
        <v>4</v>
      </c>
    </row>
    <row r="218" spans="2:5" x14ac:dyDescent="0.25">
      <c r="B218" s="11" t="str">
        <f ca="1">IFERROR(__xludf.DUMMYFUNCTION("""COMPUTED_VALUE"""),"Jean-Jacques Annaud")</f>
        <v>Jean-Jacques Annaud</v>
      </c>
      <c r="C218" s="11">
        <v>7.2333333333333334</v>
      </c>
      <c r="D218" s="11">
        <v>0.84199999999999997</v>
      </c>
      <c r="E218" s="11">
        <v>3</v>
      </c>
    </row>
    <row r="219" spans="2:5" x14ac:dyDescent="0.25">
      <c r="B219" s="12" t="str">
        <f ca="1">IFERROR(__xludf.DUMMYFUNCTION("""COMPUTED_VALUE"""),"Sarah Smith")</f>
        <v>Sarah Smith</v>
      </c>
      <c r="C219" s="12">
        <v>7.1</v>
      </c>
      <c r="D219" s="12">
        <v>0.77200000000000002</v>
      </c>
      <c r="E219" s="12">
        <v>1</v>
      </c>
    </row>
    <row r="220" spans="2:5" x14ac:dyDescent="0.25">
      <c r="B220" s="11" t="str">
        <f ca="1">IFERROR(__xludf.DUMMYFUNCTION("""COMPUTED_VALUE"""),"Martin Brest")</f>
        <v>Martin Brest</v>
      </c>
      <c r="C220" s="11">
        <v>6.1000000000000005</v>
      </c>
      <c r="D220" s="11">
        <v>0.379</v>
      </c>
      <c r="E220" s="11">
        <v>4</v>
      </c>
    </row>
    <row r="221" spans="2:5" x14ac:dyDescent="0.25">
      <c r="B221" s="12" t="str">
        <f ca="1">IFERROR(__xludf.DUMMYFUNCTION("""COMPUTED_VALUE"""),"Andrew Davis")</f>
        <v>Andrew Davis</v>
      </c>
      <c r="C221" s="12">
        <v>6.5</v>
      </c>
      <c r="D221" s="12">
        <v>0.504</v>
      </c>
      <c r="E221" s="12">
        <v>4</v>
      </c>
    </row>
    <row r="222" spans="2:5" x14ac:dyDescent="0.25">
      <c r="B222" s="11" t="str">
        <f ca="1">IFERROR(__xludf.DUMMYFUNCTION("""COMPUTED_VALUE"""),"Tarsem Singh")</f>
        <v>Tarsem Singh</v>
      </c>
      <c r="C222" s="11">
        <v>6.125</v>
      </c>
      <c r="D222" s="11">
        <v>0.38</v>
      </c>
      <c r="E222" s="11">
        <v>4</v>
      </c>
    </row>
    <row r="223" spans="2:5" x14ac:dyDescent="0.25">
      <c r="B223" s="12" t="str">
        <f ca="1">IFERROR(__xludf.DUMMYFUNCTION("""COMPUTED_VALUE"""),"Edgar Wright")</f>
        <v>Edgar Wright</v>
      </c>
      <c r="C223" s="12">
        <v>7.6</v>
      </c>
      <c r="D223" s="12">
        <v>0.91500000000000004</v>
      </c>
      <c r="E223" s="12">
        <v>4</v>
      </c>
    </row>
    <row r="224" spans="2:5" x14ac:dyDescent="0.25">
      <c r="B224" s="11" t="str">
        <f ca="1">IFERROR(__xludf.DUMMYFUNCTION("""COMPUTED_VALUE"""),"Jon Amiel")</f>
        <v>Jon Amiel</v>
      </c>
      <c r="C224" s="11">
        <v>6.2000000000000011</v>
      </c>
      <c r="D224" s="11">
        <v>0.41499999999999998</v>
      </c>
      <c r="E224" s="11">
        <v>4</v>
      </c>
    </row>
    <row r="225" spans="2:5" x14ac:dyDescent="0.25">
      <c r="B225" s="12" t="str">
        <f ca="1">IFERROR(__xludf.DUMMYFUNCTION("""COMPUTED_VALUE"""),"Peter Segal")</f>
        <v>Peter Segal</v>
      </c>
      <c r="C225" s="12">
        <v>6.1857142857142851</v>
      </c>
      <c r="D225" s="12">
        <v>0.38800000000000001</v>
      </c>
      <c r="E225" s="12">
        <v>7</v>
      </c>
    </row>
    <row r="226" spans="2:5" x14ac:dyDescent="0.25">
      <c r="B226" s="11" t="str">
        <f ca="1">IFERROR(__xludf.DUMMYFUNCTION("""COMPUTED_VALUE"""),"Pete Travis")</f>
        <v>Pete Travis</v>
      </c>
      <c r="C226" s="11">
        <v>6.85</v>
      </c>
      <c r="D226" s="11">
        <v>0.66800000000000004</v>
      </c>
      <c r="E226" s="11">
        <v>2</v>
      </c>
    </row>
    <row r="227" spans="2:5" x14ac:dyDescent="0.25">
      <c r="B227" s="12" t="str">
        <f ca="1">IFERROR(__xludf.DUMMYFUNCTION("""COMPUTED_VALUE"""),"Sylvester Stallone")</f>
        <v>Sylvester Stallone</v>
      </c>
      <c r="C227" s="12">
        <v>6.85</v>
      </c>
      <c r="D227" s="12">
        <v>0.66800000000000004</v>
      </c>
      <c r="E227" s="12">
        <v>2</v>
      </c>
    </row>
    <row r="228" spans="2:5" x14ac:dyDescent="0.25">
      <c r="B228" s="11" t="str">
        <f ca="1">IFERROR(__xludf.DUMMYFUNCTION("""COMPUTED_VALUE"""),"Todd Phillips")</f>
        <v>Todd Phillips</v>
      </c>
      <c r="C228" s="11">
        <v>6.6571428571428575</v>
      </c>
      <c r="D228" s="11">
        <v>0.59099999999999997</v>
      </c>
      <c r="E228" s="11">
        <v>7</v>
      </c>
    </row>
    <row r="229" spans="2:5" x14ac:dyDescent="0.25">
      <c r="B229" s="12" t="str">
        <f ca="1">IFERROR(__xludf.DUMMYFUNCTION("""COMPUTED_VALUE"""),"Mimi Leder")</f>
        <v>Mimi Leder</v>
      </c>
      <c r="C229" s="12">
        <v>6.3999999999999995</v>
      </c>
      <c r="D229" s="12">
        <v>0.46200000000000002</v>
      </c>
      <c r="E229" s="12">
        <v>3</v>
      </c>
    </row>
    <row r="230" spans="2:5" x14ac:dyDescent="0.25">
      <c r="B230" s="11" t="str">
        <f ca="1">IFERROR(__xludf.DUMMYFUNCTION("""COMPUTED_VALUE"""),"Seth Gordon")</f>
        <v>Seth Gordon</v>
      </c>
      <c r="C230" s="11">
        <v>6.0666666666666664</v>
      </c>
      <c r="D230" s="11">
        <v>0.34599999999999997</v>
      </c>
      <c r="E230" s="11">
        <v>3</v>
      </c>
    </row>
    <row r="231" spans="2:5" x14ac:dyDescent="0.25">
      <c r="B231" s="12" t="str">
        <f ca="1">IFERROR(__xludf.DUMMYFUNCTION("""COMPUTED_VALUE"""),"Adam Shankman")</f>
        <v>Adam Shankman</v>
      </c>
      <c r="C231" s="12">
        <v>5.9625000000000004</v>
      </c>
      <c r="D231" s="12">
        <v>0.309</v>
      </c>
      <c r="E231" s="12">
        <v>8</v>
      </c>
    </row>
    <row r="232" spans="2:5" x14ac:dyDescent="0.25">
      <c r="B232" s="11" t="str">
        <f ca="1">IFERROR(__xludf.DUMMYFUNCTION("""COMPUTED_VALUE"""),"D.J. Caruso")</f>
        <v>D.J. Caruso</v>
      </c>
      <c r="C232" s="11">
        <v>6.7</v>
      </c>
      <c r="D232" s="11">
        <v>0.6</v>
      </c>
      <c r="E232" s="11">
        <v>4</v>
      </c>
    </row>
    <row r="233" spans="2:5" x14ac:dyDescent="0.25">
      <c r="B233" s="12" t="str">
        <f ca="1">IFERROR(__xludf.DUMMYFUNCTION("""COMPUTED_VALUE"""),"Anthony Minghella")</f>
        <v>Anthony Minghella</v>
      </c>
      <c r="C233" s="12">
        <v>7.3</v>
      </c>
      <c r="D233" s="12">
        <v>0.84899999999999998</v>
      </c>
      <c r="E233" s="12">
        <v>3</v>
      </c>
    </row>
    <row r="234" spans="2:5" x14ac:dyDescent="0.25">
      <c r="B234" s="11" t="str">
        <f ca="1">IFERROR(__xludf.DUMMYFUNCTION("""COMPUTED_VALUE"""),"Albert Hughes")</f>
        <v>Albert Hughes</v>
      </c>
      <c r="C234" s="11">
        <v>7.0666666666666664</v>
      </c>
      <c r="D234" s="11">
        <v>0.76800000000000002</v>
      </c>
      <c r="E234" s="11">
        <v>3</v>
      </c>
    </row>
    <row r="235" spans="2:5" x14ac:dyDescent="0.25">
      <c r="B235" s="12" t="str">
        <f ca="1">IFERROR(__xludf.DUMMYFUNCTION("""COMPUTED_VALUE"""),"Les Mayfield")</f>
        <v>Les Mayfield</v>
      </c>
      <c r="C235" s="12">
        <v>5.5</v>
      </c>
      <c r="D235" s="12">
        <v>0.17699999999999999</v>
      </c>
      <c r="E235" s="12">
        <v>5</v>
      </c>
    </row>
    <row r="236" spans="2:5" x14ac:dyDescent="0.25">
      <c r="B236" s="11" t="str">
        <f ca="1">IFERROR(__xludf.DUMMYFUNCTION("""COMPUTED_VALUE"""),"Joe Pytka")</f>
        <v>Joe Pytka</v>
      </c>
      <c r="C236" s="11">
        <v>6.3</v>
      </c>
      <c r="D236" s="11">
        <v>0.42299999999999999</v>
      </c>
      <c r="E236" s="11">
        <v>1</v>
      </c>
    </row>
    <row r="237" spans="2:5" x14ac:dyDescent="0.25">
      <c r="B237" s="12" t="str">
        <f ca="1">IFERROR(__xludf.DUMMYFUNCTION("""COMPUTED_VALUE"""),"Scott Derrickson")</f>
        <v>Scott Derrickson</v>
      </c>
      <c r="C237" s="12">
        <v>6.3</v>
      </c>
      <c r="D237" s="12">
        <v>0.42299999999999999</v>
      </c>
      <c r="E237" s="12">
        <v>4</v>
      </c>
    </row>
    <row r="238" spans="2:5" x14ac:dyDescent="0.25">
      <c r="B238" s="11" t="str">
        <f ca="1">IFERROR(__xludf.DUMMYFUNCTION("""COMPUTED_VALUE"""),"Ivan Reitman")</f>
        <v>Ivan Reitman</v>
      </c>
      <c r="C238" s="11">
        <v>6.0750000000000002</v>
      </c>
      <c r="D238" s="11">
        <v>0.34699999999999998</v>
      </c>
      <c r="E238" s="11">
        <v>8</v>
      </c>
    </row>
    <row r="239" spans="2:5" x14ac:dyDescent="0.25">
      <c r="B239" s="12" t="str">
        <f ca="1">IFERROR(__xludf.DUMMYFUNCTION("""COMPUTED_VALUE"""),"Eric Brevig")</f>
        <v>Eric Brevig</v>
      </c>
      <c r="C239" s="12">
        <v>5.1999999999999993</v>
      </c>
      <c r="D239" s="12">
        <v>0.112</v>
      </c>
      <c r="E239" s="12">
        <v>2</v>
      </c>
    </row>
    <row r="240" spans="2:5" x14ac:dyDescent="0.25">
      <c r="B240" s="11" t="str">
        <f ca="1">IFERROR(__xludf.DUMMYFUNCTION("""COMPUTED_VALUE"""),"Kelly Asbury")</f>
        <v>Kelly Asbury</v>
      </c>
      <c r="C240" s="11">
        <v>7</v>
      </c>
      <c r="D240" s="11">
        <v>0.72299999999999998</v>
      </c>
      <c r="E240" s="11">
        <v>1</v>
      </c>
    </row>
    <row r="241" spans="2:5" x14ac:dyDescent="0.25">
      <c r="B241" s="12" t="str">
        <f ca="1">IFERROR(__xludf.DUMMYFUNCTION("""COMPUTED_VALUE"""),"Stephen Hopkins")</f>
        <v>Stephen Hopkins</v>
      </c>
      <c r="C241" s="12">
        <v>5.7799999999999994</v>
      </c>
      <c r="D241" s="12">
        <v>0.25</v>
      </c>
      <c r="E241" s="12">
        <v>5</v>
      </c>
    </row>
    <row r="242" spans="2:5" x14ac:dyDescent="0.25">
      <c r="B242" s="11" t="str">
        <f ca="1">IFERROR(__xludf.DUMMYFUNCTION("""COMPUTED_VALUE"""),"Jonathan Demme")</f>
        <v>Jonathan Demme</v>
      </c>
      <c r="C242" s="11">
        <v>7.2</v>
      </c>
      <c r="D242" s="11">
        <v>0.81200000000000006</v>
      </c>
      <c r="E242" s="11">
        <v>4</v>
      </c>
    </row>
    <row r="243" spans="2:5" x14ac:dyDescent="0.25">
      <c r="B243" s="12" t="str">
        <f ca="1">IFERROR(__xludf.DUMMYFUNCTION("""COMPUTED_VALUE"""),"James Algar")</f>
        <v>James Algar</v>
      </c>
      <c r="C243" s="12">
        <v>7.55</v>
      </c>
      <c r="D243" s="12">
        <v>0.90900000000000003</v>
      </c>
      <c r="E243" s="12">
        <v>2</v>
      </c>
    </row>
    <row r="244" spans="2:5" x14ac:dyDescent="0.25">
      <c r="B244" s="11" t="str">
        <f ca="1">IFERROR(__xludf.DUMMYFUNCTION("""COMPUTED_VALUE"""),"Vincent Ward")</f>
        <v>Vincent Ward</v>
      </c>
      <c r="C244" s="11">
        <v>7</v>
      </c>
      <c r="D244" s="11">
        <v>0.72299999999999998</v>
      </c>
      <c r="E244" s="11">
        <v>1</v>
      </c>
    </row>
    <row r="245" spans="2:5" x14ac:dyDescent="0.25">
      <c r="B245" s="12" t="str">
        <f ca="1">IFERROR(__xludf.DUMMYFUNCTION("""COMPUTED_VALUE"""),"Steven Brill")</f>
        <v>Steven Brill</v>
      </c>
      <c r="C245" s="12">
        <v>5.6750000000000007</v>
      </c>
      <c r="D245" s="12">
        <v>0.22800000000000001</v>
      </c>
      <c r="E245" s="12">
        <v>4</v>
      </c>
    </row>
    <row r="246" spans="2:5" x14ac:dyDescent="0.25">
      <c r="B246" s="11" t="str">
        <f ca="1">IFERROR(__xludf.DUMMYFUNCTION("""COMPUTED_VALUE"""),"Terry Gilliam")</f>
        <v>Terry Gilliam</v>
      </c>
      <c r="C246" s="11">
        <v>7.3285714285714283</v>
      </c>
      <c r="D246" s="11">
        <v>0.871</v>
      </c>
      <c r="E246" s="11">
        <v>7</v>
      </c>
    </row>
    <row r="247" spans="2:5" x14ac:dyDescent="0.25">
      <c r="B247" s="12" t="str">
        <f ca="1">IFERROR(__xludf.DUMMYFUNCTION("""COMPUTED_VALUE"""),"Barry Cook")</f>
        <v>Barry Cook</v>
      </c>
      <c r="C247" s="12">
        <v>5.2</v>
      </c>
      <c r="D247" s="12">
        <v>0.113</v>
      </c>
      <c r="E247" s="12">
        <v>1</v>
      </c>
    </row>
    <row r="248" spans="2:5" x14ac:dyDescent="0.25">
      <c r="B248" s="11" t="str">
        <f ca="1">IFERROR(__xludf.DUMMYFUNCTION("""COMPUTED_VALUE"""),"Roger Christian")</f>
        <v>Roger Christian</v>
      </c>
      <c r="C248" s="11">
        <v>2.4</v>
      </c>
      <c r="D248" s="11">
        <v>1E-3</v>
      </c>
      <c r="E248" s="11">
        <v>1</v>
      </c>
    </row>
    <row r="249" spans="2:5" x14ac:dyDescent="0.25">
      <c r="B249" s="12" t="str">
        <f ca="1">IFERROR(__xludf.DUMMYFUNCTION("""COMPUTED_VALUE"""),"Joe Dante")</f>
        <v>Joe Dante</v>
      </c>
      <c r="C249" s="12">
        <v>6.3999999999999995</v>
      </c>
      <c r="D249" s="12">
        <v>0.46200000000000002</v>
      </c>
      <c r="E249" s="12">
        <v>6</v>
      </c>
    </row>
    <row r="250" spans="2:5" x14ac:dyDescent="0.25">
      <c r="B250" s="11" t="str">
        <f ca="1">IFERROR(__xludf.DUMMYFUNCTION("""COMPUTED_VALUE"""),"Kevin Costner")</f>
        <v>Kevin Costner</v>
      </c>
      <c r="C250" s="11">
        <v>7.166666666666667</v>
      </c>
      <c r="D250" s="11">
        <v>0.80900000000000005</v>
      </c>
      <c r="E250" s="11">
        <v>3</v>
      </c>
    </row>
    <row r="251" spans="2:5" x14ac:dyDescent="0.25">
      <c r="B251" s="12" t="str">
        <f ca="1">IFERROR(__xludf.DUMMYFUNCTION("""COMPUTED_VALUE"""),"Antony Hoffman")</f>
        <v>Antony Hoffman</v>
      </c>
      <c r="C251" s="12">
        <v>5.7</v>
      </c>
      <c r="D251" s="12">
        <v>0.23100000000000001</v>
      </c>
      <c r="E251" s="12">
        <v>1</v>
      </c>
    </row>
    <row r="252" spans="2:5" x14ac:dyDescent="0.25">
      <c r="B252" s="11" t="str">
        <f ca="1">IFERROR(__xludf.DUMMYFUNCTION("""COMPUTED_VALUE"""),"Jacques Perrin")</f>
        <v>Jacques Perrin</v>
      </c>
      <c r="C252" s="11">
        <v>7.9</v>
      </c>
      <c r="D252" s="11">
        <v>0.97</v>
      </c>
      <c r="E252" s="11">
        <v>2</v>
      </c>
    </row>
    <row r="253" spans="2:5" x14ac:dyDescent="0.25">
      <c r="B253" s="12" t="str">
        <f ca="1">IFERROR(__xludf.DUMMYFUNCTION("""COMPUTED_VALUE"""),"Cody Cameron")</f>
        <v>Cody Cameron</v>
      </c>
      <c r="C253" s="12">
        <v>6.5</v>
      </c>
      <c r="D253" s="12">
        <v>0.504</v>
      </c>
      <c r="E253" s="12">
        <v>1</v>
      </c>
    </row>
    <row r="254" spans="2:5" x14ac:dyDescent="0.25">
      <c r="B254" s="11" t="str">
        <f ca="1">IFERROR(__xludf.DUMMYFUNCTION("""COMPUTED_VALUE"""),"John Singleton")</f>
        <v>John Singleton</v>
      </c>
      <c r="C254" s="11">
        <v>6.2571428571428571</v>
      </c>
      <c r="D254" s="11">
        <v>0.42</v>
      </c>
      <c r="E254" s="11">
        <v>7</v>
      </c>
    </row>
    <row r="255" spans="2:5" x14ac:dyDescent="0.25">
      <c r="B255" s="12" t="str">
        <f ca="1">IFERROR(__xludf.DUMMYFUNCTION("""COMPUTED_VALUE"""),"Oliver Hirschbiegel")</f>
        <v>Oliver Hirschbiegel</v>
      </c>
      <c r="C255" s="12">
        <v>7.1000000000000005</v>
      </c>
      <c r="D255" s="12">
        <v>0.79600000000000004</v>
      </c>
      <c r="E255" s="12">
        <v>2</v>
      </c>
    </row>
    <row r="256" spans="2:5" x14ac:dyDescent="0.25">
      <c r="B256" s="11" t="str">
        <f ca="1">IFERROR(__xludf.DUMMYFUNCTION("""COMPUTED_VALUE"""),"Des McAnuff")</f>
        <v>Des McAnuff</v>
      </c>
      <c r="C256" s="11">
        <v>4.0999999999999996</v>
      </c>
      <c r="D256" s="11">
        <v>3.5000000000000003E-2</v>
      </c>
      <c r="E256" s="11">
        <v>1</v>
      </c>
    </row>
    <row r="257" spans="2:5" x14ac:dyDescent="0.25">
      <c r="B257" s="12" t="str">
        <f ca="1">IFERROR(__xludf.DUMMYFUNCTION("""COMPUTED_VALUE"""),"Yarrow Cheney")</f>
        <v>Yarrow Cheney</v>
      </c>
      <c r="C257" s="12">
        <v>6.8</v>
      </c>
      <c r="D257" s="12">
        <v>0.63800000000000001</v>
      </c>
      <c r="E257" s="12">
        <v>1</v>
      </c>
    </row>
    <row r="258" spans="2:5" x14ac:dyDescent="0.25">
      <c r="B258" s="11" t="str">
        <f ca="1">IFERROR(__xludf.DUMMYFUNCTION("""COMPUTED_VALUE"""),"Stephen Norrington")</f>
        <v>Stephen Norrington</v>
      </c>
      <c r="C258" s="11">
        <v>6.4499999999999993</v>
      </c>
      <c r="D258" s="11">
        <v>0.49199999999999999</v>
      </c>
      <c r="E258" s="11">
        <v>2</v>
      </c>
    </row>
    <row r="259" spans="2:5" x14ac:dyDescent="0.25">
      <c r="B259" s="12" t="str">
        <f ca="1">IFERROR(__xludf.DUMMYFUNCTION("""COMPUTED_VALUE"""),"Pierre Coffin")</f>
        <v>Pierre Coffin</v>
      </c>
      <c r="C259" s="12">
        <v>7.6</v>
      </c>
      <c r="D259" s="12">
        <v>0.91500000000000004</v>
      </c>
      <c r="E259" s="12">
        <v>2</v>
      </c>
    </row>
    <row r="260" spans="2:5" x14ac:dyDescent="0.25">
      <c r="B260" s="11" t="str">
        <f ca="1">IFERROR(__xludf.DUMMYFUNCTION("""COMPUTED_VALUE"""),"Timur Bekmambetov")</f>
        <v>Timur Bekmambetov</v>
      </c>
      <c r="C260" s="11">
        <v>6.3666666666666671</v>
      </c>
      <c r="D260" s="11">
        <v>0.45900000000000002</v>
      </c>
      <c r="E260" s="11">
        <v>3</v>
      </c>
    </row>
    <row r="261" spans="2:5" x14ac:dyDescent="0.25">
      <c r="B261" s="12" t="str">
        <f ca="1">IFERROR(__xludf.DUMMYFUNCTION("""COMPUTED_VALUE"""),"David Kellogg")</f>
        <v>David Kellogg</v>
      </c>
      <c r="C261" s="12">
        <v>4.0999999999999996</v>
      </c>
      <c r="D261" s="12">
        <v>3.5000000000000003E-2</v>
      </c>
      <c r="E261" s="12">
        <v>1</v>
      </c>
    </row>
    <row r="262" spans="2:5" x14ac:dyDescent="0.25">
      <c r="B262" s="11" t="str">
        <f ca="1">IFERROR(__xludf.DUMMYFUNCTION("""COMPUTED_VALUE"""),"Mike Nichols")</f>
        <v>Mike Nichols</v>
      </c>
      <c r="C262" s="11">
        <v>6.58</v>
      </c>
      <c r="D262" s="11">
        <v>0.55100000000000005</v>
      </c>
      <c r="E262" s="11">
        <v>5</v>
      </c>
    </row>
    <row r="263" spans="2:5" x14ac:dyDescent="0.25">
      <c r="B263" s="12" t="str">
        <f ca="1">IFERROR(__xludf.DUMMYFUNCTION("""COMPUTED_VALUE"""),"F. Gary Gray")</f>
        <v>F. Gary Gray</v>
      </c>
      <c r="C263" s="12">
        <v>6.9374999999999991</v>
      </c>
      <c r="D263" s="12">
        <v>0.71399999999999997</v>
      </c>
      <c r="E263" s="12">
        <v>8</v>
      </c>
    </row>
    <row r="264" spans="2:5" x14ac:dyDescent="0.25">
      <c r="B264" s="11" t="str">
        <f ca="1">IFERROR(__xludf.DUMMYFUNCTION("""COMPUTED_VALUE"""),"Antoine Fuqua")</f>
        <v>Antoine Fuqua</v>
      </c>
      <c r="C264" s="11">
        <v>6.9375000000000009</v>
      </c>
      <c r="D264" s="11">
        <v>0.71399999999999997</v>
      </c>
      <c r="E264" s="11">
        <v>8</v>
      </c>
    </row>
    <row r="265" spans="2:5" x14ac:dyDescent="0.25">
      <c r="B265" s="12" t="str">
        <f ca="1">IFERROR(__xludf.DUMMYFUNCTION("""COMPUTED_VALUE"""),"Robert Luketic")</f>
        <v>Robert Luketic</v>
      </c>
      <c r="C265" s="12">
        <v>6</v>
      </c>
      <c r="D265" s="12">
        <v>0.312</v>
      </c>
      <c r="E265" s="12">
        <v>6</v>
      </c>
    </row>
    <row r="266" spans="2:5" x14ac:dyDescent="0.25">
      <c r="B266" s="11" t="str">
        <f ca="1">IFERROR(__xludf.DUMMYFUNCTION("""COMPUTED_VALUE"""),"Gil Kenan")</f>
        <v>Gil Kenan</v>
      </c>
      <c r="C266" s="11">
        <v>6.55</v>
      </c>
      <c r="D266" s="11">
        <v>0.54200000000000004</v>
      </c>
      <c r="E266" s="11">
        <v>2</v>
      </c>
    </row>
    <row r="267" spans="2:5" x14ac:dyDescent="0.25">
      <c r="B267" s="12" t="str">
        <f ca="1">IFERROR(__xludf.DUMMYFUNCTION("""COMPUTED_VALUE"""),"Barry Levinson")</f>
        <v>Barry Levinson</v>
      </c>
      <c r="C267" s="12">
        <v>6.5769230769230758</v>
      </c>
      <c r="D267" s="12">
        <v>0.55100000000000005</v>
      </c>
      <c r="E267" s="12">
        <v>13</v>
      </c>
    </row>
    <row r="268" spans="2:5" x14ac:dyDescent="0.25">
      <c r="B268" s="11" t="str">
        <f ca="1">IFERROR(__xludf.DUMMYFUNCTION("""COMPUTED_VALUE"""),"Jerry Zucker")</f>
        <v>Jerry Zucker</v>
      </c>
      <c r="C268" s="11">
        <v>6.4333333333333336</v>
      </c>
      <c r="D268" s="11">
        <v>0.49</v>
      </c>
      <c r="E268" s="11">
        <v>3</v>
      </c>
    </row>
    <row r="269" spans="2:5" x14ac:dyDescent="0.25">
      <c r="B269" s="12" t="str">
        <f ca="1">IFERROR(__xludf.DUMMYFUNCTION("""COMPUTED_VALUE"""),"Andy Tennant")</f>
        <v>Andy Tennant</v>
      </c>
      <c r="C269" s="12">
        <v>6.25</v>
      </c>
      <c r="D269" s="12">
        <v>0.41799999999999998</v>
      </c>
      <c r="E269" s="12">
        <v>6</v>
      </c>
    </row>
    <row r="270" spans="2:5" x14ac:dyDescent="0.25">
      <c r="B270" s="11" t="str">
        <f ca="1">IFERROR(__xludf.DUMMYFUNCTION("""COMPUTED_VALUE"""),"Florent-Emilio Siri")</f>
        <v>Florent-Emilio Siri</v>
      </c>
      <c r="C270" s="11">
        <v>6.6</v>
      </c>
      <c r="D270" s="11">
        <v>0.55300000000000005</v>
      </c>
      <c r="E270" s="11">
        <v>1</v>
      </c>
    </row>
    <row r="271" spans="2:5" x14ac:dyDescent="0.25">
      <c r="B271" s="12" t="str">
        <f ca="1">IFERROR(__xludf.DUMMYFUNCTION("""COMPUTED_VALUE"""),"Don Bluth")</f>
        <v>Don Bluth</v>
      </c>
      <c r="C271" s="12">
        <v>7</v>
      </c>
      <c r="D271" s="12">
        <v>0.72299999999999998</v>
      </c>
      <c r="E271" s="12">
        <v>3</v>
      </c>
    </row>
    <row r="272" spans="2:5" x14ac:dyDescent="0.25">
      <c r="B272" s="11" t="str">
        <f ca="1">IFERROR(__xludf.DUMMYFUNCTION("""COMPUTED_VALUE"""),"Ron Shelton")</f>
        <v>Ron Shelton</v>
      </c>
      <c r="C272" s="11">
        <v>5.9</v>
      </c>
      <c r="D272" s="11">
        <v>0.27100000000000002</v>
      </c>
      <c r="E272" s="11">
        <v>4</v>
      </c>
    </row>
    <row r="273" spans="2:5" x14ac:dyDescent="0.25">
      <c r="B273" s="12" t="str">
        <f ca="1">IFERROR(__xludf.DUMMYFUNCTION("""COMPUTED_VALUE"""),"Henry Selick")</f>
        <v>Henry Selick</v>
      </c>
      <c r="C273" s="12">
        <v>6.2</v>
      </c>
      <c r="D273" s="12">
        <v>0.39100000000000001</v>
      </c>
      <c r="E273" s="12">
        <v>2</v>
      </c>
    </row>
    <row r="274" spans="2:5" x14ac:dyDescent="0.25">
      <c r="B274" s="11" t="str">
        <f ca="1">IFERROR(__xludf.DUMMYFUNCTION("""COMPUTED_VALUE"""),"Kyle Balda")</f>
        <v>Kyle Balda</v>
      </c>
      <c r="C274" s="11">
        <v>6.4</v>
      </c>
      <c r="D274" s="11">
        <v>0.46400000000000002</v>
      </c>
      <c r="E274" s="11">
        <v>1</v>
      </c>
    </row>
    <row r="275" spans="2:5" x14ac:dyDescent="0.25">
      <c r="B275" s="12" t="str">
        <f ca="1">IFERROR(__xludf.DUMMYFUNCTION("""COMPUTED_VALUE"""),"Clay Kaytis")</f>
        <v>Clay Kaytis</v>
      </c>
      <c r="C275" s="12">
        <v>6.3</v>
      </c>
      <c r="D275" s="12">
        <v>0.42299999999999999</v>
      </c>
      <c r="E275" s="12">
        <v>1</v>
      </c>
    </row>
    <row r="276" spans="2:5" x14ac:dyDescent="0.25">
      <c r="B276" s="11" t="str">
        <f ca="1">IFERROR(__xludf.DUMMYFUNCTION("""COMPUTED_VALUE"""),"Judd Apatow")</f>
        <v>Judd Apatow</v>
      </c>
      <c r="C276" s="11">
        <v>6.6</v>
      </c>
      <c r="D276" s="11">
        <v>0.55300000000000005</v>
      </c>
      <c r="E276" s="11">
        <v>5</v>
      </c>
    </row>
    <row r="277" spans="2:5" x14ac:dyDescent="0.25">
      <c r="B277" s="12" t="str">
        <f ca="1">IFERROR(__xludf.DUMMYFUNCTION("""COMPUTED_VALUE"""),"Steve Carr")</f>
        <v>Steve Carr</v>
      </c>
      <c r="C277" s="12">
        <v>5.35</v>
      </c>
      <c r="D277" s="12">
        <v>0.152</v>
      </c>
      <c r="E277" s="12">
        <v>4</v>
      </c>
    </row>
    <row r="278" spans="2:5" x14ac:dyDescent="0.25">
      <c r="B278" s="11" t="str">
        <f ca="1">IFERROR(__xludf.DUMMYFUNCTION("""COMPUTED_VALUE"""),"Mel Gibson")</f>
        <v>Mel Gibson</v>
      </c>
      <c r="C278" s="11">
        <v>7.7666666666666657</v>
      </c>
      <c r="D278" s="11">
        <v>0.95699999999999996</v>
      </c>
      <c r="E278" s="11">
        <v>3</v>
      </c>
    </row>
    <row r="279" spans="2:5" x14ac:dyDescent="0.25">
      <c r="B279" s="12" t="str">
        <f ca="1">IFERROR(__xludf.DUMMYFUNCTION("""COMPUTED_VALUE"""),"David Silverman")</f>
        <v>David Silverman</v>
      </c>
      <c r="C279" s="12">
        <v>7.4</v>
      </c>
      <c r="D279" s="12">
        <v>0.875</v>
      </c>
      <c r="E279" s="12">
        <v>1</v>
      </c>
    </row>
    <row r="280" spans="2:5" x14ac:dyDescent="0.25">
      <c r="B280" s="11" t="str">
        <f ca="1">IFERROR(__xludf.DUMMYFUNCTION("""COMPUTED_VALUE"""),"Frank Darabont")</f>
        <v>Frank Darabont</v>
      </c>
      <c r="C280" s="11">
        <v>7.9750000000000005</v>
      </c>
      <c r="D280" s="11">
        <v>0.97699999999999998</v>
      </c>
      <c r="E280" s="11">
        <v>4</v>
      </c>
    </row>
    <row r="281" spans="2:5" x14ac:dyDescent="0.25">
      <c r="B281" s="12" t="str">
        <f ca="1">IFERROR(__xludf.DUMMYFUNCTION("""COMPUTED_VALUE"""),"Betty Thomas")</f>
        <v>Betty Thomas</v>
      </c>
      <c r="C281" s="12">
        <v>5.3000000000000007</v>
      </c>
      <c r="D281" s="12">
        <v>0.15</v>
      </c>
      <c r="E281" s="12">
        <v>4</v>
      </c>
    </row>
    <row r="282" spans="2:5" x14ac:dyDescent="0.25">
      <c r="B282" s="11" t="str">
        <f ca="1">IFERROR(__xludf.DUMMYFUNCTION("""COMPUTED_VALUE"""),"Garry Marshall")</f>
        <v>Garry Marshall</v>
      </c>
      <c r="C282" s="11">
        <v>5.9499999999999993</v>
      </c>
      <c r="D282" s="11">
        <v>0.30099999999999999</v>
      </c>
      <c r="E282" s="11">
        <v>8</v>
      </c>
    </row>
    <row r="283" spans="2:5" x14ac:dyDescent="0.25">
      <c r="B283" s="12" t="str">
        <f ca="1">IFERROR(__xludf.DUMMYFUNCTION("""COMPUTED_VALUE"""),"Paul Tibbitt")</f>
        <v>Paul Tibbitt</v>
      </c>
      <c r="C283" s="12">
        <v>6</v>
      </c>
      <c r="D283" s="12">
        <v>0.312</v>
      </c>
      <c r="E283" s="12">
        <v>1</v>
      </c>
    </row>
    <row r="284" spans="2:5" x14ac:dyDescent="0.25">
      <c r="B284" s="11" t="str">
        <f ca="1">IFERROR(__xludf.DUMMYFUNCTION("""COMPUTED_VALUE"""),"Clark Johnson")</f>
        <v>Clark Johnson</v>
      </c>
      <c r="C284" s="11">
        <v>6.05</v>
      </c>
      <c r="D284" s="11">
        <v>0.34</v>
      </c>
      <c r="E284" s="11">
        <v>2</v>
      </c>
    </row>
    <row r="285" spans="2:5" x14ac:dyDescent="0.25">
      <c r="B285" s="12" t="str">
        <f ca="1">IFERROR(__xludf.DUMMYFUNCTION("""COMPUTED_VALUE"""),"Cameron Crowe")</f>
        <v>Cameron Crowe</v>
      </c>
      <c r="C285" s="12">
        <v>6.7800000000000011</v>
      </c>
      <c r="D285" s="12">
        <v>0.63700000000000001</v>
      </c>
      <c r="E285" s="12">
        <v>5</v>
      </c>
    </row>
    <row r="286" spans="2:5" x14ac:dyDescent="0.25">
      <c r="B286" s="11" t="str">
        <f ca="1">IFERROR(__xludf.DUMMYFUNCTION("""COMPUTED_VALUE"""),"Randall Wallace")</f>
        <v>Randall Wallace</v>
      </c>
      <c r="C286" s="11">
        <v>6.625</v>
      </c>
      <c r="D286" s="11">
        <v>0.58299999999999996</v>
      </c>
      <c r="E286" s="11">
        <v>4</v>
      </c>
    </row>
    <row r="287" spans="2:5" x14ac:dyDescent="0.25">
      <c r="B287" s="12" t="str">
        <f ca="1">IFERROR(__xludf.DUMMYFUNCTION("""COMPUTED_VALUE"""),"Jonathan Frakes")</f>
        <v>Jonathan Frakes</v>
      </c>
      <c r="C287" s="12">
        <v>5.8500000000000005</v>
      </c>
      <c r="D287" s="12">
        <v>0.27</v>
      </c>
      <c r="E287" s="12">
        <v>4</v>
      </c>
    </row>
    <row r="288" spans="2:5" x14ac:dyDescent="0.25">
      <c r="B288" s="11" t="str">
        <f ca="1">IFERROR(__xludf.DUMMYFUNCTION("""COMPUTED_VALUE"""),"George Clooney")</f>
        <v>George Clooney</v>
      </c>
      <c r="C288" s="11">
        <v>6.6749999999999998</v>
      </c>
      <c r="D288" s="11">
        <v>0.59599999999999997</v>
      </c>
      <c r="E288" s="11">
        <v>4</v>
      </c>
    </row>
    <row r="289" spans="2:5" x14ac:dyDescent="0.25">
      <c r="B289" s="12" t="str">
        <f ca="1">IFERROR(__xludf.DUMMYFUNCTION("""COMPUTED_VALUE"""),"Gary Shore")</f>
        <v>Gary Shore</v>
      </c>
      <c r="C289" s="12">
        <v>6.3</v>
      </c>
      <c r="D289" s="12">
        <v>0.42299999999999999</v>
      </c>
      <c r="E289" s="12">
        <v>1</v>
      </c>
    </row>
    <row r="290" spans="2:5" x14ac:dyDescent="0.25">
      <c r="B290" s="11" t="str">
        <f ca="1">IFERROR(__xludf.DUMMYFUNCTION("""COMPUTED_VALUE"""),"Andrzej Bartkowiak")</f>
        <v>Andrzej Bartkowiak</v>
      </c>
      <c r="C290" s="11">
        <v>5.26</v>
      </c>
      <c r="D290" s="11">
        <v>0.127</v>
      </c>
      <c r="E290" s="11">
        <v>5</v>
      </c>
    </row>
    <row r="291" spans="2:5" x14ac:dyDescent="0.25">
      <c r="B291" s="12" t="str">
        <f ca="1">IFERROR(__xludf.DUMMYFUNCTION("""COMPUTED_VALUE"""),"Måns Mårlind")</f>
        <v>Måns Mårlind</v>
      </c>
      <c r="C291" s="12">
        <v>6.4</v>
      </c>
      <c r="D291" s="12">
        <v>0.46400000000000002</v>
      </c>
      <c r="E291" s="12">
        <v>1</v>
      </c>
    </row>
    <row r="292" spans="2:5" x14ac:dyDescent="0.25">
      <c r="B292" s="11" t="str">
        <f ca="1">IFERROR(__xludf.DUMMYFUNCTION("""COMPUTED_VALUE"""),"Gregory Hoblit")</f>
        <v>Gregory Hoblit</v>
      </c>
      <c r="C292" s="11">
        <v>6.6000000000000005</v>
      </c>
      <c r="D292" s="11">
        <v>0.58099999999999996</v>
      </c>
      <c r="E292" s="11">
        <v>3</v>
      </c>
    </row>
    <row r="293" spans="2:5" x14ac:dyDescent="0.25">
      <c r="B293" s="12" t="str">
        <f ca="1">IFERROR(__xludf.DUMMYFUNCTION("""COMPUTED_VALUE"""),"Gary McKendry")</f>
        <v>Gary McKendry</v>
      </c>
      <c r="C293" s="12">
        <v>6.5</v>
      </c>
      <c r="D293" s="12">
        <v>0.504</v>
      </c>
      <c r="E293" s="12">
        <v>1</v>
      </c>
    </row>
    <row r="294" spans="2:5" x14ac:dyDescent="0.25">
      <c r="B294" s="11" t="str">
        <f ca="1">IFERROR(__xludf.DUMMYFUNCTION("""COMPUTED_VALUE"""),"Wych Kaosayananda")</f>
        <v>Wych Kaosayananda</v>
      </c>
      <c r="C294" s="11">
        <v>3.6</v>
      </c>
      <c r="D294" s="11">
        <v>0.02</v>
      </c>
      <c r="E294" s="11">
        <v>1</v>
      </c>
    </row>
    <row r="295" spans="2:5" x14ac:dyDescent="0.25">
      <c r="B295" s="12" t="str">
        <f ca="1">IFERROR(__xludf.DUMMYFUNCTION("""COMPUTED_VALUE"""),"Mikael Salomon")</f>
        <v>Mikael Salomon</v>
      </c>
      <c r="C295" s="12">
        <v>5.8</v>
      </c>
      <c r="D295" s="12">
        <v>0.251</v>
      </c>
      <c r="E295" s="12">
        <v>1</v>
      </c>
    </row>
    <row r="296" spans="2:5" x14ac:dyDescent="0.25">
      <c r="B296" s="11" t="str">
        <f ca="1">IFERROR(__xludf.DUMMYFUNCTION("""COMPUTED_VALUE"""),"Bobby Farrelly")</f>
        <v>Bobby Farrelly</v>
      </c>
      <c r="C296" s="11">
        <v>6.2444444444444445</v>
      </c>
      <c r="D296" s="11">
        <v>0.41699999999999998</v>
      </c>
      <c r="E296" s="11">
        <v>9</v>
      </c>
    </row>
    <row r="297" spans="2:5" x14ac:dyDescent="0.25">
      <c r="B297" s="12" t="str">
        <f ca="1">IFERROR(__xludf.DUMMYFUNCTION("""COMPUTED_VALUE"""),"Kerry Conran")</f>
        <v>Kerry Conran</v>
      </c>
      <c r="C297" s="12">
        <v>6.1</v>
      </c>
      <c r="D297" s="12">
        <v>0.35099999999999998</v>
      </c>
      <c r="E297" s="12">
        <v>1</v>
      </c>
    </row>
    <row r="298" spans="2:5" x14ac:dyDescent="0.25">
      <c r="B298" s="11" t="str">
        <f ca="1">IFERROR(__xludf.DUMMYFUNCTION("""COMPUTED_VALUE"""),"Michael Caton-Jones")</f>
        <v>Michael Caton-Jones</v>
      </c>
      <c r="C298" s="11">
        <v>5.9</v>
      </c>
      <c r="D298" s="11">
        <v>0.27100000000000002</v>
      </c>
      <c r="E298" s="11">
        <v>4</v>
      </c>
    </row>
    <row r="299" spans="2:5" x14ac:dyDescent="0.25">
      <c r="B299" s="12" t="str">
        <f ca="1">IFERROR(__xludf.DUMMYFUNCTION("""COMPUTED_VALUE"""),"Mikael Håfström")</f>
        <v>Mikael Håfström</v>
      </c>
      <c r="C299" s="12">
        <v>6.5250000000000004</v>
      </c>
      <c r="D299" s="12">
        <v>0.53900000000000003</v>
      </c>
      <c r="E299" s="12">
        <v>4</v>
      </c>
    </row>
    <row r="300" spans="2:5" x14ac:dyDescent="0.25">
      <c r="B300" s="11" t="str">
        <f ca="1">IFERROR(__xludf.DUMMYFUNCTION("""COMPUTED_VALUE"""),"Phil Alden Robinson")</f>
        <v>Phil Alden Robinson</v>
      </c>
      <c r="C300" s="11">
        <v>6.4</v>
      </c>
      <c r="D300" s="11">
        <v>0.46400000000000002</v>
      </c>
      <c r="E300" s="11">
        <v>1</v>
      </c>
    </row>
    <row r="301" spans="2:5" x14ac:dyDescent="0.25">
      <c r="B301" s="12" t="str">
        <f ca="1">IFERROR(__xludf.DUMMYFUNCTION("""COMPUTED_VALUE"""),"David Slade")</f>
        <v>David Slade</v>
      </c>
      <c r="C301" s="12">
        <v>6.2</v>
      </c>
      <c r="D301" s="12">
        <v>0.39100000000000001</v>
      </c>
      <c r="E301" s="12">
        <v>3</v>
      </c>
    </row>
    <row r="302" spans="2:5" x14ac:dyDescent="0.25">
      <c r="B302" s="11" t="str">
        <f ca="1">IFERROR(__xludf.DUMMYFUNCTION("""COMPUTED_VALUE"""),"Joseph Ruben")</f>
        <v>Joseph Ruben</v>
      </c>
      <c r="C302" s="11">
        <v>5.6</v>
      </c>
      <c r="D302" s="11">
        <v>0.19700000000000001</v>
      </c>
      <c r="E302" s="11">
        <v>1</v>
      </c>
    </row>
    <row r="303" spans="2:5" x14ac:dyDescent="0.25">
      <c r="B303" s="12" t="str">
        <f ca="1">IFERROR(__xludf.DUMMYFUNCTION("""COMPUTED_VALUE"""),"Seth MacFarlane")</f>
        <v>Seth MacFarlane</v>
      </c>
      <c r="C303" s="12">
        <v>6.5</v>
      </c>
      <c r="D303" s="12">
        <v>0.504</v>
      </c>
      <c r="E303" s="12">
        <v>3</v>
      </c>
    </row>
    <row r="304" spans="2:5" x14ac:dyDescent="0.25">
      <c r="B304" s="11" t="str">
        <f ca="1">IFERROR(__xludf.DUMMYFUNCTION("""COMPUTED_VALUE"""),"Alejandro Amenábar")</f>
        <v>Alejandro Amenábar</v>
      </c>
      <c r="C304" s="11">
        <v>7.6333333333333329</v>
      </c>
      <c r="D304" s="11">
        <v>0.93100000000000005</v>
      </c>
      <c r="E304" s="11">
        <v>3</v>
      </c>
    </row>
    <row r="305" spans="2:5" x14ac:dyDescent="0.25">
      <c r="B305" s="12" t="str">
        <f ca="1">IFERROR(__xludf.DUMMYFUNCTION("""COMPUTED_VALUE"""),"Kinka Usher")</f>
        <v>Kinka Usher</v>
      </c>
      <c r="C305" s="12">
        <v>6</v>
      </c>
      <c r="D305" s="12">
        <v>0.312</v>
      </c>
      <c r="E305" s="12">
        <v>1</v>
      </c>
    </row>
    <row r="306" spans="2:5" x14ac:dyDescent="0.25">
      <c r="B306" s="11" t="str">
        <f ca="1">IFERROR(__xludf.DUMMYFUNCTION("""COMPUTED_VALUE"""),"Rob Bowman")</f>
        <v>Rob Bowman</v>
      </c>
      <c r="C306" s="11">
        <v>6.05</v>
      </c>
      <c r="D306" s="11">
        <v>0.34</v>
      </c>
      <c r="E306" s="11">
        <v>4</v>
      </c>
    </row>
    <row r="307" spans="2:5" x14ac:dyDescent="0.25">
      <c r="B307" s="12" t="str">
        <f ca="1">IFERROR(__xludf.DUMMYFUNCTION("""COMPUTED_VALUE"""),"Doug Lefler")</f>
        <v>Doug Lefler</v>
      </c>
      <c r="C307" s="12">
        <v>5.4</v>
      </c>
      <c r="D307" s="12">
        <v>0.155</v>
      </c>
      <c r="E307" s="12">
        <v>1</v>
      </c>
    </row>
    <row r="308" spans="2:5" x14ac:dyDescent="0.25">
      <c r="B308" s="11" t="str">
        <f ca="1">IFERROR(__xludf.DUMMYFUNCTION("""COMPUTED_VALUE"""),"Scott Waugh")</f>
        <v>Scott Waugh</v>
      </c>
      <c r="C308" s="11">
        <v>6.5</v>
      </c>
      <c r="D308" s="11">
        <v>0.504</v>
      </c>
      <c r="E308" s="11">
        <v>1</v>
      </c>
    </row>
    <row r="309" spans="2:5" x14ac:dyDescent="0.25">
      <c r="B309" s="12" t="str">
        <f ca="1">IFERROR(__xludf.DUMMYFUNCTION("""COMPUTED_VALUE"""),"Lawrence Kasdan")</f>
        <v>Lawrence Kasdan</v>
      </c>
      <c r="C309" s="12">
        <v>6.55</v>
      </c>
      <c r="D309" s="12">
        <v>0.54200000000000004</v>
      </c>
      <c r="E309" s="12">
        <v>4</v>
      </c>
    </row>
    <row r="310" spans="2:5" x14ac:dyDescent="0.25">
      <c r="B310" s="11" t="str">
        <f ca="1">IFERROR(__xludf.DUMMYFUNCTION("""COMPUTED_VALUE"""),"Michael Lembeck")</f>
        <v>Michael Lembeck</v>
      </c>
      <c r="C310" s="11">
        <v>5.9</v>
      </c>
      <c r="D310" s="11">
        <v>0.27100000000000002</v>
      </c>
      <c r="E310" s="11">
        <v>2</v>
      </c>
    </row>
    <row r="311" spans="2:5" x14ac:dyDescent="0.25">
      <c r="B311" s="12" t="str">
        <f ca="1">IFERROR(__xludf.DUMMYFUNCTION("""COMPUTED_VALUE"""),"Tom Hooper")</f>
        <v>Tom Hooper</v>
      </c>
      <c r="C311" s="12">
        <v>7.7333333333333334</v>
      </c>
      <c r="D311" s="12">
        <v>0.95299999999999996</v>
      </c>
      <c r="E311" s="12">
        <v>3</v>
      </c>
    </row>
    <row r="312" spans="2:5" x14ac:dyDescent="0.25">
      <c r="B312" s="11" t="str">
        <f ca="1">IFERROR(__xludf.DUMMYFUNCTION("""COMPUTED_VALUE"""),"Nora Ephron")</f>
        <v>Nora Ephron</v>
      </c>
      <c r="C312" s="11">
        <v>6.166666666666667</v>
      </c>
      <c r="D312" s="11">
        <v>0.38600000000000001</v>
      </c>
      <c r="E312" s="11">
        <v>3</v>
      </c>
    </row>
    <row r="313" spans="2:5" x14ac:dyDescent="0.25">
      <c r="B313" s="12" t="str">
        <f ca="1">IFERROR(__xludf.DUMMYFUNCTION("""COMPUTED_VALUE"""),"Angelina Jolie Pitt")</f>
        <v>Angelina Jolie Pitt</v>
      </c>
      <c r="C313" s="12">
        <v>5.6000000000000005</v>
      </c>
      <c r="D313" s="12">
        <v>0.219</v>
      </c>
      <c r="E313" s="12">
        <v>3</v>
      </c>
    </row>
    <row r="314" spans="2:5" x14ac:dyDescent="0.25">
      <c r="B314" s="11" t="str">
        <f ca="1">IFERROR(__xludf.DUMMYFUNCTION("""COMPUTED_VALUE"""),"Clint Eastwood")</f>
        <v>Clint Eastwood</v>
      </c>
      <c r="C314" s="11">
        <v>7.2052631578947368</v>
      </c>
      <c r="D314" s="11">
        <v>0.84099999999999997</v>
      </c>
      <c r="E314" s="11">
        <v>19</v>
      </c>
    </row>
    <row r="315" spans="2:5" x14ac:dyDescent="0.25">
      <c r="B315" s="12" t="str">
        <f ca="1">IFERROR(__xludf.DUMMYFUNCTION("""COMPUTED_VALUE"""),"Larry Charles")</f>
        <v>Larry Charles</v>
      </c>
      <c r="C315" s="12">
        <v>6.8</v>
      </c>
      <c r="D315" s="12">
        <v>0.63800000000000001</v>
      </c>
      <c r="E315" s="12">
        <v>4</v>
      </c>
    </row>
    <row r="316" spans="2:5" x14ac:dyDescent="0.25">
      <c r="B316" s="11" t="str">
        <f ca="1">IFERROR(__xludf.DUMMYFUNCTION("""COMPUTED_VALUE"""),"Stanley Kubrick")</f>
        <v>Stanley Kubrick</v>
      </c>
      <c r="C316" s="11">
        <v>7.8000000000000007</v>
      </c>
      <c r="D316" s="11">
        <v>0.96699999999999997</v>
      </c>
      <c r="E316" s="11">
        <v>2</v>
      </c>
    </row>
    <row r="317" spans="2:5" x14ac:dyDescent="0.25">
      <c r="B317" s="12" t="str">
        <f ca="1">IFERROR(__xludf.DUMMYFUNCTION("""COMPUTED_VALUE"""),"Will Gluck")</f>
        <v>Will Gluck</v>
      </c>
      <c r="C317" s="12">
        <v>6.3</v>
      </c>
      <c r="D317" s="12">
        <v>0.42299999999999999</v>
      </c>
      <c r="E317" s="12">
        <v>3</v>
      </c>
    </row>
    <row r="318" spans="2:5" x14ac:dyDescent="0.25">
      <c r="B318" s="11" t="str">
        <f ca="1">IFERROR(__xludf.DUMMYFUNCTION("""COMPUTED_VALUE"""),"Glenn Ficarra")</f>
        <v>Glenn Ficarra</v>
      </c>
      <c r="C318" s="11">
        <v>6.8666666666666671</v>
      </c>
      <c r="D318" s="11">
        <v>0.67800000000000005</v>
      </c>
      <c r="E318" s="11">
        <v>3</v>
      </c>
    </row>
    <row r="319" spans="2:5" x14ac:dyDescent="0.25">
      <c r="B319" s="12" t="str">
        <f ca="1">IFERROR(__xludf.DUMMYFUNCTION("""COMPUTED_VALUE"""),"David S. Goyer")</f>
        <v>David S. Goyer</v>
      </c>
      <c r="C319" s="12">
        <v>5.35</v>
      </c>
      <c r="D319" s="12">
        <v>0.152</v>
      </c>
      <c r="E319" s="12">
        <v>2</v>
      </c>
    </row>
    <row r="320" spans="2:5" x14ac:dyDescent="0.25">
      <c r="B320" s="11" t="str">
        <f ca="1">IFERROR(__xludf.DUMMYFUNCTION("""COMPUTED_VALUE"""),"Taylor Hackford")</f>
        <v>Taylor Hackford</v>
      </c>
      <c r="C320" s="11">
        <v>6.8833333333333329</v>
      </c>
      <c r="D320" s="11">
        <v>0.68</v>
      </c>
      <c r="E320" s="11">
        <v>6</v>
      </c>
    </row>
    <row r="321" spans="2:5" x14ac:dyDescent="0.25">
      <c r="B321" s="12" t="str">
        <f ca="1">IFERROR(__xludf.DUMMYFUNCTION("""COMPUTED_VALUE"""),"Michael Lehmann")</f>
        <v>Michael Lehmann</v>
      </c>
      <c r="C321" s="12">
        <v>5.65</v>
      </c>
      <c r="D321" s="12">
        <v>0.223</v>
      </c>
      <c r="E321" s="12">
        <v>2</v>
      </c>
    </row>
    <row r="322" spans="2:5" x14ac:dyDescent="0.25">
      <c r="B322" s="11" t="str">
        <f ca="1">IFERROR(__xludf.DUMMYFUNCTION("""COMPUTED_VALUE"""),"Stuart Beattie")</f>
        <v>Stuart Beattie</v>
      </c>
      <c r="C322" s="11">
        <v>5.0999999999999996</v>
      </c>
      <c r="D322" s="11">
        <v>9.7000000000000003E-2</v>
      </c>
      <c r="E322" s="11">
        <v>1</v>
      </c>
    </row>
    <row r="323" spans="2:5" x14ac:dyDescent="0.25">
      <c r="B323" s="12" t="str">
        <f ca="1">IFERROR(__xludf.DUMMYFUNCTION("""COMPUTED_VALUE"""),"Roman Polanski")</f>
        <v>Roman Polanski</v>
      </c>
      <c r="C323" s="12">
        <v>7.3250000000000002</v>
      </c>
      <c r="D323" s="12">
        <v>0.86899999999999999</v>
      </c>
      <c r="E323" s="12">
        <v>4</v>
      </c>
    </row>
    <row r="324" spans="2:5" x14ac:dyDescent="0.25">
      <c r="B324" s="11" t="str">
        <f ca="1">IFERROR(__xludf.DUMMYFUNCTION("""COMPUTED_VALUE"""),"Frank Miller")</f>
        <v>Frank Miller</v>
      </c>
      <c r="C324" s="11">
        <v>6.4666666666666659</v>
      </c>
      <c r="D324" s="11">
        <v>0.501</v>
      </c>
      <c r="E324" s="11">
        <v>3</v>
      </c>
    </row>
    <row r="325" spans="2:5" x14ac:dyDescent="0.25">
      <c r="B325" s="12" t="str">
        <f ca="1">IFERROR(__xludf.DUMMYFUNCTION("""COMPUTED_VALUE"""),"Baltasar Kormákur")</f>
        <v>Baltasar Kormákur</v>
      </c>
      <c r="C325" s="12">
        <v>6.7666666666666666</v>
      </c>
      <c r="D325" s="12">
        <v>0.63200000000000001</v>
      </c>
      <c r="E325" s="12">
        <v>3</v>
      </c>
    </row>
    <row r="326" spans="2:5" x14ac:dyDescent="0.25">
      <c r="B326" s="11" t="str">
        <f ca="1">IFERROR(__xludf.DUMMYFUNCTION("""COMPUTED_VALUE"""),"Daniel Lee")</f>
        <v>Daniel Lee</v>
      </c>
      <c r="C326" s="11">
        <v>6.1</v>
      </c>
      <c r="D326" s="11">
        <v>0.35099999999999998</v>
      </c>
      <c r="E326" s="11">
        <v>1</v>
      </c>
    </row>
    <row r="327" spans="2:5" x14ac:dyDescent="0.25">
      <c r="B327" s="12" t="str">
        <f ca="1">IFERROR(__xludf.DUMMYFUNCTION("""COMPUTED_VALUE"""),"Keenen Ivory Wayans")</f>
        <v>Keenen Ivory Wayans</v>
      </c>
      <c r="C327" s="12">
        <v>5.1749999999999998</v>
      </c>
      <c r="D327" s="12">
        <v>0.111</v>
      </c>
      <c r="E327" s="12">
        <v>4</v>
      </c>
    </row>
    <row r="328" spans="2:5" x14ac:dyDescent="0.25">
      <c r="B328" s="11" t="str">
        <f ca="1">IFERROR(__xludf.DUMMYFUNCTION("""COMPUTED_VALUE"""),"Rob Reiner")</f>
        <v>Rob Reiner</v>
      </c>
      <c r="C328" s="11">
        <v>7.0181818181818185</v>
      </c>
      <c r="D328" s="11">
        <v>0.76100000000000001</v>
      </c>
      <c r="E328" s="11">
        <v>11</v>
      </c>
    </row>
    <row r="329" spans="2:5" x14ac:dyDescent="0.25">
      <c r="B329" s="12" t="str">
        <f ca="1">IFERROR(__xludf.DUMMYFUNCTION("""COMPUTED_VALUE"""),"Marco Schnabel")</f>
        <v>Marco Schnabel</v>
      </c>
      <c r="C329" s="12">
        <v>3.8</v>
      </c>
      <c r="D329" s="12">
        <v>2.4E-2</v>
      </c>
      <c r="E329" s="12">
        <v>1</v>
      </c>
    </row>
    <row r="330" spans="2:5" x14ac:dyDescent="0.25">
      <c r="B330" s="11" t="str">
        <f ca="1">IFERROR(__xludf.DUMMYFUNCTION("""COMPUTED_VALUE"""),"Demian Lichtenstein")</f>
        <v>Demian Lichtenstein</v>
      </c>
      <c r="C330" s="11">
        <v>5.9</v>
      </c>
      <c r="D330" s="11">
        <v>0.27100000000000002</v>
      </c>
      <c r="E330" s="11">
        <v>1</v>
      </c>
    </row>
    <row r="331" spans="2:5" x14ac:dyDescent="0.25">
      <c r="B331" s="12" t="str">
        <f ca="1">IFERROR(__xludf.DUMMYFUNCTION("""COMPUTED_VALUE"""),"Josh Gordon")</f>
        <v>Josh Gordon</v>
      </c>
      <c r="C331" s="12">
        <v>6.1999999999999993</v>
      </c>
      <c r="D331" s="12">
        <v>0.38900000000000001</v>
      </c>
      <c r="E331" s="12">
        <v>2</v>
      </c>
    </row>
    <row r="332" spans="2:5" x14ac:dyDescent="0.25">
      <c r="B332" s="11" t="str">
        <f ca="1">IFERROR(__xludf.DUMMYFUNCTION("""COMPUTED_VALUE"""),"Tim Hill")</f>
        <v>Tim Hill</v>
      </c>
      <c r="C332" s="11">
        <v>5.55</v>
      </c>
      <c r="D332" s="11">
        <v>0.19400000000000001</v>
      </c>
      <c r="E332" s="11">
        <v>4</v>
      </c>
    </row>
    <row r="333" spans="2:5" x14ac:dyDescent="0.25">
      <c r="B333" s="12" t="str">
        <f ca="1">IFERROR(__xludf.DUMMYFUNCTION("""COMPUTED_VALUE"""),"David Frankel")</f>
        <v>David Frankel</v>
      </c>
      <c r="C333" s="12">
        <v>6.6000000000000005</v>
      </c>
      <c r="D333" s="12">
        <v>0.58099999999999996</v>
      </c>
      <c r="E333" s="12">
        <v>4</v>
      </c>
    </row>
    <row r="334" spans="2:5" x14ac:dyDescent="0.25">
      <c r="B334" s="11" t="str">
        <f ca="1">IFERROR(__xludf.DUMMYFUNCTION("""COMPUTED_VALUE"""),"Brenda Chapman")</f>
        <v>Brenda Chapman</v>
      </c>
      <c r="C334" s="11">
        <v>7</v>
      </c>
      <c r="D334" s="11">
        <v>0.72299999999999998</v>
      </c>
      <c r="E334" s="11">
        <v>1</v>
      </c>
    </row>
    <row r="335" spans="2:5" x14ac:dyDescent="0.25">
      <c r="B335" s="12" t="str">
        <f ca="1">IFERROR(__xludf.DUMMYFUNCTION("""COMPUTED_VALUE"""),"Marc Lawrence")</f>
        <v>Marc Lawrence</v>
      </c>
      <c r="C335" s="12">
        <v>5.4</v>
      </c>
      <c r="D335" s="12">
        <v>0.155</v>
      </c>
      <c r="E335" s="12">
        <v>2</v>
      </c>
    </row>
    <row r="336" spans="2:5" x14ac:dyDescent="0.25">
      <c r="B336" s="11" t="str">
        <f ca="1">IFERROR(__xludf.DUMMYFUNCTION("""COMPUTED_VALUE"""),"Peter Billingsley")</f>
        <v>Peter Billingsley</v>
      </c>
      <c r="C336" s="11">
        <v>5.5</v>
      </c>
      <c r="D336" s="11">
        <v>0.17699999999999999</v>
      </c>
      <c r="E336" s="11">
        <v>1</v>
      </c>
    </row>
    <row r="337" spans="2:5" x14ac:dyDescent="0.25">
      <c r="B337" s="12" t="str">
        <f ca="1">IFERROR(__xludf.DUMMYFUNCTION("""COMPUTED_VALUE"""),"Wes Ball")</f>
        <v>Wes Ball</v>
      </c>
      <c r="C337" s="12">
        <v>6.6</v>
      </c>
      <c r="D337" s="12">
        <v>0.55300000000000005</v>
      </c>
      <c r="E337" s="12">
        <v>2</v>
      </c>
    </row>
    <row r="338" spans="2:5" x14ac:dyDescent="0.25">
      <c r="B338" s="11" t="str">
        <f ca="1">IFERROR(__xludf.DUMMYFUNCTION("""COMPUTED_VALUE"""),"Ryan Murphy")</f>
        <v>Ryan Murphy</v>
      </c>
      <c r="C338" s="11">
        <v>5.95</v>
      </c>
      <c r="D338" s="11">
        <v>0.30399999999999999</v>
      </c>
      <c r="E338" s="11">
        <v>2</v>
      </c>
    </row>
    <row r="339" spans="2:5" x14ac:dyDescent="0.25">
      <c r="B339" s="12" t="str">
        <f ca="1">IFERROR(__xludf.DUMMYFUNCTION("""COMPUTED_VALUE"""),"Robert Redford")</f>
        <v>Robert Redford</v>
      </c>
      <c r="C339" s="12">
        <v>6.839999999999999</v>
      </c>
      <c r="D339" s="12">
        <v>0.66600000000000004</v>
      </c>
      <c r="E339" s="12">
        <v>5</v>
      </c>
    </row>
    <row r="340" spans="2:5" x14ac:dyDescent="0.25">
      <c r="B340" s="11" t="str">
        <f ca="1">IFERROR(__xludf.DUMMYFUNCTION("""COMPUTED_VALUE"""),"Jay Russell")</f>
        <v>Jay Russell</v>
      </c>
      <c r="C340" s="11">
        <v>6.7333333333333334</v>
      </c>
      <c r="D340" s="11">
        <v>0.623</v>
      </c>
      <c r="E340" s="11">
        <v>3</v>
      </c>
    </row>
    <row r="341" spans="2:5" x14ac:dyDescent="0.25">
      <c r="B341" s="12" t="str">
        <f ca="1">IFERROR(__xludf.DUMMYFUNCTION("""COMPUTED_VALUE"""),"Kenny Ortega")</f>
        <v>Kenny Ortega</v>
      </c>
      <c r="C341" s="12">
        <v>6.166666666666667</v>
      </c>
      <c r="D341" s="12">
        <v>0.38600000000000001</v>
      </c>
      <c r="E341" s="12">
        <v>3</v>
      </c>
    </row>
    <row r="342" spans="2:5" x14ac:dyDescent="0.25">
      <c r="B342" s="11" t="str">
        <f ca="1">IFERROR(__xludf.DUMMYFUNCTION("""COMPUTED_VALUE"""),"David McNally")</f>
        <v>David McNally</v>
      </c>
      <c r="C342" s="11">
        <v>5</v>
      </c>
      <c r="D342" s="11">
        <v>8.6999999999999994E-2</v>
      </c>
      <c r="E342" s="11">
        <v>2</v>
      </c>
    </row>
    <row r="343" spans="2:5" x14ac:dyDescent="0.25">
      <c r="B343" s="12" t="str">
        <f ca="1">IFERROR(__xludf.DUMMYFUNCTION("""COMPUTED_VALUE"""),"Brian Robbins")</f>
        <v>Brian Robbins</v>
      </c>
      <c r="C343" s="12">
        <v>5.5333333333333341</v>
      </c>
      <c r="D343" s="12">
        <v>0.192</v>
      </c>
      <c r="E343" s="12">
        <v>6</v>
      </c>
    </row>
    <row r="344" spans="2:5" x14ac:dyDescent="0.25">
      <c r="B344" s="11" t="str">
        <f ca="1">IFERROR(__xludf.DUMMYFUNCTION("""COMPUTED_VALUE"""),"Brian Levant")</f>
        <v>Brian Levant</v>
      </c>
      <c r="C344" s="11">
        <v>4.8166666666666664</v>
      </c>
      <c r="D344" s="11">
        <v>8.1000000000000003E-2</v>
      </c>
      <c r="E344" s="11">
        <v>6</v>
      </c>
    </row>
    <row r="345" spans="2:5" x14ac:dyDescent="0.25">
      <c r="B345" s="12" t="str">
        <f ca="1">IFERROR(__xludf.DUMMYFUNCTION("""COMPUTED_VALUE"""),"Steven Zaillian")</f>
        <v>Steven Zaillian</v>
      </c>
      <c r="C345" s="12">
        <v>6.35</v>
      </c>
      <c r="D345" s="12">
        <v>0.45600000000000002</v>
      </c>
      <c r="E345" s="12">
        <v>2</v>
      </c>
    </row>
    <row r="346" spans="2:5" x14ac:dyDescent="0.25">
      <c r="B346" s="11" t="str">
        <f ca="1">IFERROR(__xludf.DUMMYFUNCTION("""COMPUTED_VALUE"""),"Chris Butler")</f>
        <v>Chris Butler</v>
      </c>
      <c r="C346" s="11">
        <v>7</v>
      </c>
      <c r="D346" s="11">
        <v>0.72299999999999998</v>
      </c>
      <c r="E346" s="11">
        <v>1</v>
      </c>
    </row>
    <row r="347" spans="2:5" x14ac:dyDescent="0.25">
      <c r="B347" s="12" t="str">
        <f ca="1">IFERROR(__xludf.DUMMYFUNCTION("""COMPUTED_VALUE"""),"Jon Avnet")</f>
        <v>Jon Avnet</v>
      </c>
      <c r="C347" s="12">
        <v>6</v>
      </c>
      <c r="D347" s="12">
        <v>0.312</v>
      </c>
      <c r="E347" s="12">
        <v>3</v>
      </c>
    </row>
    <row r="348" spans="2:5" x14ac:dyDescent="0.25">
      <c r="B348" s="11" t="str">
        <f ca="1">IFERROR(__xludf.DUMMYFUNCTION("""COMPUTED_VALUE"""),"Sam Fell")</f>
        <v>Sam Fell</v>
      </c>
      <c r="C348" s="11">
        <v>6.1</v>
      </c>
      <c r="D348" s="11">
        <v>0.35099999999999998</v>
      </c>
      <c r="E348" s="11">
        <v>1</v>
      </c>
    </row>
    <row r="349" spans="2:5" x14ac:dyDescent="0.25">
      <c r="B349" s="12" t="str">
        <f ca="1">IFERROR(__xludf.DUMMYFUNCTION("""COMPUTED_VALUE"""),"Kevin Donovan")</f>
        <v>Kevin Donovan</v>
      </c>
      <c r="C349" s="12">
        <v>5.3</v>
      </c>
      <c r="D349" s="12">
        <v>0.13</v>
      </c>
      <c r="E349" s="12">
        <v>1</v>
      </c>
    </row>
    <row r="350" spans="2:5" x14ac:dyDescent="0.25">
      <c r="B350" s="11" t="str">
        <f ca="1">IFERROR(__xludf.DUMMYFUNCTION("""COMPUTED_VALUE"""),"Geoff Murphy")</f>
        <v>Geoff Murphy</v>
      </c>
      <c r="C350" s="11">
        <v>5.4</v>
      </c>
      <c r="D350" s="11">
        <v>0.155</v>
      </c>
      <c r="E350" s="11">
        <v>1</v>
      </c>
    </row>
    <row r="351" spans="2:5" x14ac:dyDescent="0.25">
      <c r="B351" s="12" t="str">
        <f ca="1">IFERROR(__xludf.DUMMYFUNCTION("""COMPUTED_VALUE"""),"David O. Russell")</f>
        <v>David O. Russell</v>
      </c>
      <c r="C351" s="12">
        <v>7.1714285714285708</v>
      </c>
      <c r="D351" s="12">
        <v>0.81100000000000005</v>
      </c>
      <c r="E351" s="12">
        <v>7</v>
      </c>
    </row>
    <row r="352" spans="2:5" x14ac:dyDescent="0.25">
      <c r="B352" s="11" t="str">
        <f ca="1">IFERROR(__xludf.DUMMYFUNCTION("""COMPUTED_VALUE"""),"Babak Najafi")</f>
        <v>Babak Najafi</v>
      </c>
      <c r="C352" s="11">
        <v>5.9</v>
      </c>
      <c r="D352" s="11">
        <v>0.27100000000000002</v>
      </c>
      <c r="E352" s="11">
        <v>1</v>
      </c>
    </row>
    <row r="353" spans="2:5" x14ac:dyDescent="0.25">
      <c r="B353" s="12" t="str">
        <f ca="1">IFERROR(__xludf.DUMMYFUNCTION("""COMPUTED_VALUE"""),"Jean-Pierre Jeunet")</f>
        <v>Jean-Pierre Jeunet</v>
      </c>
      <c r="C353" s="12">
        <v>7.3400000000000007</v>
      </c>
      <c r="D353" s="12">
        <v>0.871</v>
      </c>
      <c r="E353" s="12">
        <v>5</v>
      </c>
    </row>
    <row r="354" spans="2:5" x14ac:dyDescent="0.25">
      <c r="B354" s="11" t="str">
        <f ca="1">IFERROR(__xludf.DUMMYFUNCTION("""COMPUTED_VALUE"""),"Graham Annable")</f>
        <v>Graham Annable</v>
      </c>
      <c r="C354" s="11">
        <v>6.8</v>
      </c>
      <c r="D354" s="11">
        <v>0.63800000000000001</v>
      </c>
      <c r="E354" s="11">
        <v>1</v>
      </c>
    </row>
    <row r="355" spans="2:5" x14ac:dyDescent="0.25">
      <c r="B355" s="12" t="str">
        <f ca="1">IFERROR(__xludf.DUMMYFUNCTION("""COMPUTED_VALUE"""),"Griffin Dunne")</f>
        <v>Griffin Dunne</v>
      </c>
      <c r="C355" s="12">
        <v>6.1</v>
      </c>
      <c r="D355" s="12">
        <v>0.35099999999999998</v>
      </c>
      <c r="E355" s="12">
        <v>1</v>
      </c>
    </row>
    <row r="356" spans="2:5" x14ac:dyDescent="0.25">
      <c r="B356" s="11" t="str">
        <f ca="1">IFERROR(__xludf.DUMMYFUNCTION("""COMPUTED_VALUE"""),"John Pasquin")</f>
        <v>John Pasquin</v>
      </c>
      <c r="C356" s="11">
        <v>5.6333333333333329</v>
      </c>
      <c r="D356" s="11">
        <v>0.221</v>
      </c>
      <c r="E356" s="11">
        <v>3</v>
      </c>
    </row>
    <row r="357" spans="2:5" x14ac:dyDescent="0.25">
      <c r="B357" s="12" t="str">
        <f ca="1">IFERROR(__xludf.DUMMYFUNCTION("""COMPUTED_VALUE"""),"Ruben Fleischer")</f>
        <v>Ruben Fleischer</v>
      </c>
      <c r="C357" s="12">
        <v>6.833333333333333</v>
      </c>
      <c r="D357" s="12">
        <v>0.66400000000000003</v>
      </c>
      <c r="E357" s="12">
        <v>3</v>
      </c>
    </row>
    <row r="358" spans="2:5" x14ac:dyDescent="0.25">
      <c r="B358" s="11" t="str">
        <f ca="1">IFERROR(__xludf.DUMMYFUNCTION("""COMPUTED_VALUE"""),"Harold Ramis")</f>
        <v>Harold Ramis</v>
      </c>
      <c r="C358" s="11">
        <v>6.55</v>
      </c>
      <c r="D358" s="11">
        <v>0.54200000000000004</v>
      </c>
      <c r="E358" s="11">
        <v>8</v>
      </c>
    </row>
    <row r="359" spans="2:5" x14ac:dyDescent="0.25">
      <c r="B359" s="12" t="str">
        <f ca="1">IFERROR(__xludf.DUMMYFUNCTION("""COMPUTED_VALUE"""),"Donald Petrie")</f>
        <v>Donald Petrie</v>
      </c>
      <c r="C359" s="12">
        <v>5.6625000000000005</v>
      </c>
      <c r="D359" s="12">
        <v>0.22600000000000001</v>
      </c>
      <c r="E359" s="12">
        <v>8</v>
      </c>
    </row>
    <row r="360" spans="2:5" x14ac:dyDescent="0.25">
      <c r="B360" s="11" t="str">
        <f ca="1">IFERROR(__xludf.DUMMYFUNCTION("""COMPUTED_VALUE"""),"Jorge Blanco")</f>
        <v>Jorge Blanco</v>
      </c>
      <c r="C360" s="11">
        <v>6.1</v>
      </c>
      <c r="D360" s="11">
        <v>0.35099999999999998</v>
      </c>
      <c r="E360" s="11">
        <v>1</v>
      </c>
    </row>
    <row r="361" spans="2:5" x14ac:dyDescent="0.25">
      <c r="B361" s="12" t="str">
        <f ca="1">IFERROR(__xludf.DUMMYFUNCTION("""COMPUTED_VALUE"""),"Stuart Baird")</f>
        <v>Stuart Baird</v>
      </c>
      <c r="C361" s="12">
        <v>6.4</v>
      </c>
      <c r="D361" s="12">
        <v>0.46400000000000002</v>
      </c>
      <c r="E361" s="12">
        <v>2</v>
      </c>
    </row>
    <row r="362" spans="2:5" x14ac:dyDescent="0.25">
      <c r="B362" s="11" t="str">
        <f ca="1">IFERROR(__xludf.DUMMYFUNCTION("""COMPUTED_VALUE"""),"Joel Coen")</f>
        <v>Joel Coen</v>
      </c>
      <c r="C362" s="11">
        <v>7.3999999999999995</v>
      </c>
      <c r="D362" s="11">
        <v>0.874</v>
      </c>
      <c r="E362" s="11">
        <v>4</v>
      </c>
    </row>
    <row r="363" spans="2:5" x14ac:dyDescent="0.25">
      <c r="B363" s="12" t="str">
        <f ca="1">IFERROR(__xludf.DUMMYFUNCTION("""COMPUTED_VALUE"""),"Harold Becker")</f>
        <v>Harold Becker</v>
      </c>
      <c r="C363" s="12">
        <v>6.15</v>
      </c>
      <c r="D363" s="12">
        <v>0.38400000000000001</v>
      </c>
      <c r="E363" s="12">
        <v>4</v>
      </c>
    </row>
    <row r="364" spans="2:5" x14ac:dyDescent="0.25">
      <c r="B364" s="11" t="str">
        <f ca="1">IFERROR(__xludf.DUMMYFUNCTION("""COMPUTED_VALUE"""),"Scott Stewart")</f>
        <v>Scott Stewart</v>
      </c>
      <c r="C364" s="11">
        <v>5.45</v>
      </c>
      <c r="D364" s="11">
        <v>0.17199999999999999</v>
      </c>
      <c r="E364" s="11">
        <v>2</v>
      </c>
    </row>
    <row r="365" spans="2:5" x14ac:dyDescent="0.25">
      <c r="B365" s="12" t="str">
        <f ca="1">IFERROR(__xludf.DUMMYFUNCTION("""COMPUTED_VALUE"""),"Patrick Gilmore")</f>
        <v>Patrick Gilmore</v>
      </c>
      <c r="C365" s="12">
        <v>6.7</v>
      </c>
      <c r="D365" s="12">
        <v>0.6</v>
      </c>
      <c r="E365" s="12">
        <v>1</v>
      </c>
    </row>
    <row r="366" spans="2:5" x14ac:dyDescent="0.25">
      <c r="B366" s="11" t="str">
        <f ca="1">IFERROR(__xludf.DUMMYFUNCTION("""COMPUTED_VALUE"""),"Tony Bill")</f>
        <v>Tony Bill</v>
      </c>
      <c r="C366" s="11">
        <v>6.6</v>
      </c>
      <c r="D366" s="11">
        <v>0.55300000000000005</v>
      </c>
      <c r="E366" s="11">
        <v>1</v>
      </c>
    </row>
    <row r="367" spans="2:5" x14ac:dyDescent="0.25">
      <c r="B367" s="12" t="str">
        <f ca="1">IFERROR(__xludf.DUMMYFUNCTION("""COMPUTED_VALUE"""),"Rod Lurie")</f>
        <v>Rod Lurie</v>
      </c>
      <c r="C367" s="12">
        <v>6.6</v>
      </c>
      <c r="D367" s="12">
        <v>0.55300000000000005</v>
      </c>
      <c r="E367" s="12">
        <v>5</v>
      </c>
    </row>
    <row r="368" spans="2:5" x14ac:dyDescent="0.25">
      <c r="B368" s="11" t="str">
        <f ca="1">IFERROR(__xludf.DUMMYFUNCTION("""COMPUTED_VALUE"""),"Walter Hill")</f>
        <v>Walter Hill</v>
      </c>
      <c r="C368" s="11">
        <v>5.5333333333333341</v>
      </c>
      <c r="D368" s="11">
        <v>0.192</v>
      </c>
      <c r="E368" s="11">
        <v>3</v>
      </c>
    </row>
    <row r="369" spans="2:5" x14ac:dyDescent="0.25">
      <c r="B369" s="12" t="str">
        <f ca="1">IFERROR(__xludf.DUMMYFUNCTION("""COMPUTED_VALUE"""),"Akiva Goldsman")</f>
        <v>Akiva Goldsman</v>
      </c>
      <c r="C369" s="12">
        <v>6.2</v>
      </c>
      <c r="D369" s="12">
        <v>0.39100000000000001</v>
      </c>
      <c r="E369" s="12">
        <v>1</v>
      </c>
    </row>
    <row r="370" spans="2:5" x14ac:dyDescent="0.25">
      <c r="B370" s="11" t="str">
        <f ca="1">IFERROR(__xludf.DUMMYFUNCTION("""COMPUTED_VALUE"""),"Harald Zwart")</f>
        <v>Harald Zwart</v>
      </c>
      <c r="C370" s="11">
        <v>5.5</v>
      </c>
      <c r="D370" s="11">
        <v>0.17699999999999999</v>
      </c>
      <c r="E370" s="11">
        <v>2</v>
      </c>
    </row>
    <row r="371" spans="2:5" x14ac:dyDescent="0.25">
      <c r="B371" s="12" t="str">
        <f ca="1">IFERROR(__xludf.DUMMYFUNCTION("""COMPUTED_VALUE"""),"Walter Salles")</f>
        <v>Walter Salles</v>
      </c>
      <c r="C371" s="12">
        <v>6.5666666666666664</v>
      </c>
      <c r="D371" s="12">
        <v>0.54900000000000004</v>
      </c>
      <c r="E371" s="12">
        <v>3</v>
      </c>
    </row>
    <row r="372" spans="2:5" x14ac:dyDescent="0.25">
      <c r="B372" s="11" t="str">
        <f ca="1">IFERROR(__xludf.DUMMYFUNCTION("""COMPUTED_VALUE"""),"Iain Softley")</f>
        <v>Iain Softley</v>
      </c>
      <c r="C372" s="11">
        <v>6.55</v>
      </c>
      <c r="D372" s="11">
        <v>0.54200000000000004</v>
      </c>
      <c r="E372" s="11">
        <v>4</v>
      </c>
    </row>
    <row r="373" spans="2:5" x14ac:dyDescent="0.25">
      <c r="B373" s="12" t="str">
        <f ca="1">IFERROR(__xludf.DUMMYFUNCTION("""COMPUTED_VALUE"""),"David Koepp")</f>
        <v>David Koepp</v>
      </c>
      <c r="C373" s="12">
        <v>6.4599999999999991</v>
      </c>
      <c r="D373" s="12">
        <v>0.5</v>
      </c>
      <c r="E373" s="12">
        <v>5</v>
      </c>
    </row>
    <row r="374" spans="2:5" x14ac:dyDescent="0.25">
      <c r="B374" s="11" t="str">
        <f ca="1">IFERROR(__xludf.DUMMYFUNCTION("""COMPUTED_VALUE"""),"Uwe Boll")</f>
        <v>Uwe Boll</v>
      </c>
      <c r="C374" s="11">
        <v>3</v>
      </c>
      <c r="D374" s="11">
        <v>6.0000000000000001E-3</v>
      </c>
      <c r="E374" s="11">
        <v>3</v>
      </c>
    </row>
    <row r="375" spans="2:5" x14ac:dyDescent="0.25">
      <c r="B375" s="12" t="str">
        <f ca="1">IFERROR(__xludf.DUMMYFUNCTION("""COMPUTED_VALUE"""),"John Dahl")</f>
        <v>John Dahl</v>
      </c>
      <c r="C375" s="12">
        <v>6.8000000000000007</v>
      </c>
      <c r="D375" s="12">
        <v>0.66300000000000003</v>
      </c>
      <c r="E375" s="12">
        <v>4</v>
      </c>
    </row>
    <row r="376" spans="2:5" x14ac:dyDescent="0.25">
      <c r="B376" s="11" t="str">
        <f ca="1">IFERROR(__xludf.DUMMYFUNCTION("""COMPUTED_VALUE"""),"Tim Miller")</f>
        <v>Tim Miller</v>
      </c>
      <c r="C376" s="11">
        <v>8.1</v>
      </c>
      <c r="D376" s="11">
        <v>0.98099999999999998</v>
      </c>
      <c r="E376" s="11">
        <v>1</v>
      </c>
    </row>
    <row r="377" spans="2:5" x14ac:dyDescent="0.25">
      <c r="B377" s="12" t="str">
        <f ca="1">IFERROR(__xludf.DUMMYFUNCTION("""COMPUTED_VALUE"""),"Stephen Herek")</f>
        <v>Stephen Herek</v>
      </c>
      <c r="C377" s="12">
        <v>6.1285714285714281</v>
      </c>
      <c r="D377" s="12">
        <v>0.38200000000000001</v>
      </c>
      <c r="E377" s="12">
        <v>7</v>
      </c>
    </row>
    <row r="378" spans="2:5" x14ac:dyDescent="0.25">
      <c r="B378" s="11" t="str">
        <f ca="1">IFERROR(__xludf.DUMMYFUNCTION("""COMPUTED_VALUE"""),"Peter MacDonald")</f>
        <v>Peter MacDonald</v>
      </c>
      <c r="C378" s="11">
        <v>5.7</v>
      </c>
      <c r="D378" s="11">
        <v>0.23100000000000001</v>
      </c>
      <c r="E378" s="11">
        <v>1</v>
      </c>
    </row>
    <row r="379" spans="2:5" x14ac:dyDescent="0.25">
      <c r="B379" s="12" t="str">
        <f ca="1">IFERROR(__xludf.DUMMYFUNCTION("""COMPUTED_VALUE"""),"Anthony Hemingway")</f>
        <v>Anthony Hemingway</v>
      </c>
      <c r="C379" s="12">
        <v>5.9</v>
      </c>
      <c r="D379" s="12">
        <v>0.27100000000000002</v>
      </c>
      <c r="E379" s="12">
        <v>1</v>
      </c>
    </row>
    <row r="380" spans="2:5" x14ac:dyDescent="0.25">
      <c r="B380" s="11" t="str">
        <f ca="1">IFERROR(__xludf.DUMMYFUNCTION("""COMPUTED_VALUE"""),"Sean Anders")</f>
        <v>Sean Anders</v>
      </c>
      <c r="C380" s="11">
        <v>6.125</v>
      </c>
      <c r="D380" s="11">
        <v>0.38</v>
      </c>
      <c r="E380" s="11">
        <v>4</v>
      </c>
    </row>
    <row r="381" spans="2:5" x14ac:dyDescent="0.25">
      <c r="B381" s="12" t="str">
        <f ca="1">IFERROR(__xludf.DUMMYFUNCTION("""COMPUTED_VALUE"""),"Mark Neveldine")</f>
        <v>Mark Neveldine</v>
      </c>
      <c r="C381" s="12">
        <v>5.5600000000000005</v>
      </c>
      <c r="D381" s="12">
        <v>0.19500000000000001</v>
      </c>
      <c r="E381" s="12">
        <v>5</v>
      </c>
    </row>
    <row r="382" spans="2:5" x14ac:dyDescent="0.25">
      <c r="B382" s="11" t="str">
        <f ca="1">IFERROR(__xludf.DUMMYFUNCTION("""COMPUTED_VALUE"""),"John Madden")</f>
        <v>John Madden</v>
      </c>
      <c r="C382" s="11">
        <v>6.7799999999999994</v>
      </c>
      <c r="D382" s="11">
        <v>0.63600000000000001</v>
      </c>
      <c r="E382" s="11">
        <v>5</v>
      </c>
    </row>
    <row r="383" spans="2:5" x14ac:dyDescent="0.25">
      <c r="B383" s="12" t="str">
        <f ca="1">IFERROR(__xludf.DUMMYFUNCTION("""COMPUTED_VALUE"""),"Kevin Bray")</f>
        <v>Kevin Bray</v>
      </c>
      <c r="C383" s="12">
        <v>5.95</v>
      </c>
      <c r="D383" s="12">
        <v>0.30399999999999999</v>
      </c>
      <c r="E383" s="12">
        <v>2</v>
      </c>
    </row>
    <row r="384" spans="2:5" x14ac:dyDescent="0.25">
      <c r="B384" s="11" t="str">
        <f ca="1">IFERROR(__xludf.DUMMYFUNCTION("""COMPUTED_VALUE"""),"Mike Gabriel")</f>
        <v>Mike Gabriel</v>
      </c>
      <c r="C384" s="11">
        <v>6.6</v>
      </c>
      <c r="D384" s="11">
        <v>0.55300000000000005</v>
      </c>
      <c r="E384" s="11">
        <v>1</v>
      </c>
    </row>
    <row r="385" spans="2:5" x14ac:dyDescent="0.25">
      <c r="B385" s="12" t="str">
        <f ca="1">IFERROR(__xludf.DUMMYFUNCTION("""COMPUTED_VALUE"""),"Sam Weisman")</f>
        <v>Sam Weisman</v>
      </c>
      <c r="C385" s="12">
        <v>5.4499999999999993</v>
      </c>
      <c r="D385" s="12">
        <v>0.17100000000000001</v>
      </c>
      <c r="E385" s="12">
        <v>4</v>
      </c>
    </row>
    <row r="386" spans="2:5" x14ac:dyDescent="0.25">
      <c r="B386" s="11" t="str">
        <f ca="1">IFERROR(__xludf.DUMMYFUNCTION("""COMPUTED_VALUE"""),"Jesse Dylan")</f>
        <v>Jesse Dylan</v>
      </c>
      <c r="C386" s="11">
        <v>6.0333333333333323</v>
      </c>
      <c r="D386" s="11">
        <v>0.33600000000000002</v>
      </c>
      <c r="E386" s="11">
        <v>3</v>
      </c>
    </row>
    <row r="387" spans="2:5" x14ac:dyDescent="0.25">
      <c r="B387" s="12" t="str">
        <f ca="1">IFERROR(__xludf.DUMMYFUNCTION("""COMPUTED_VALUE"""),"Wayne Wang")</f>
        <v>Wayne Wang</v>
      </c>
      <c r="C387" s="12">
        <v>6.0200000000000005</v>
      </c>
      <c r="D387" s="12">
        <v>0.33500000000000002</v>
      </c>
      <c r="E387" s="12">
        <v>5</v>
      </c>
    </row>
    <row r="388" spans="2:5" x14ac:dyDescent="0.25">
      <c r="B388" s="11" t="str">
        <f ca="1">IFERROR(__xludf.DUMMYFUNCTION("""COMPUTED_VALUE"""),"Gabriele Muccino")</f>
        <v>Gabriele Muccino</v>
      </c>
      <c r="C388" s="11">
        <v>6.9749999999999996</v>
      </c>
      <c r="D388" s="11">
        <v>0.71899999999999997</v>
      </c>
      <c r="E388" s="11">
        <v>4</v>
      </c>
    </row>
    <row r="389" spans="2:5" x14ac:dyDescent="0.25">
      <c r="B389" s="12" t="str">
        <f ca="1">IFERROR(__xludf.DUMMYFUNCTION("""COMPUTED_VALUE"""),"Tom Dey")</f>
        <v>Tom Dey</v>
      </c>
      <c r="C389" s="12">
        <v>5.4666666666666659</v>
      </c>
      <c r="D389" s="12">
        <v>0.17599999999999999</v>
      </c>
      <c r="E389" s="12">
        <v>3</v>
      </c>
    </row>
    <row r="390" spans="2:5" x14ac:dyDescent="0.25">
      <c r="B390" s="11" t="str">
        <f ca="1">IFERROR(__xludf.DUMMYFUNCTION("""COMPUTED_VALUE"""),"Jimmy Hayward")</f>
        <v>Jimmy Hayward</v>
      </c>
      <c r="C390" s="11">
        <v>5.3000000000000007</v>
      </c>
      <c r="D390" s="11">
        <v>0.15</v>
      </c>
      <c r="E390" s="11">
        <v>2</v>
      </c>
    </row>
    <row r="391" spans="2:5" x14ac:dyDescent="0.25">
      <c r="B391" s="12" t="str">
        <f ca="1">IFERROR(__xludf.DUMMYFUNCTION("""COMPUTED_VALUE"""),"Alan Parker")</f>
        <v>Alan Parker</v>
      </c>
      <c r="C391" s="12">
        <v>7.0333333333333341</v>
      </c>
      <c r="D391" s="12">
        <v>0.76300000000000001</v>
      </c>
      <c r="E391" s="12">
        <v>3</v>
      </c>
    </row>
    <row r="392" spans="2:5" x14ac:dyDescent="0.25">
      <c r="B392" s="11" t="str">
        <f ca="1">IFERROR(__xludf.DUMMYFUNCTION("""COMPUTED_VALUE"""),"John Frankenheimer")</f>
        <v>John Frankenheimer</v>
      </c>
      <c r="C392" s="11">
        <v>5.8</v>
      </c>
      <c r="D392" s="11">
        <v>0.251</v>
      </c>
      <c r="E392" s="11">
        <v>3</v>
      </c>
    </row>
    <row r="393" spans="2:5" x14ac:dyDescent="0.25">
      <c r="B393" s="12" t="str">
        <f ca="1">IFERROR(__xludf.DUMMYFUNCTION("""COMPUTED_VALUE"""),"Paul King")</f>
        <v>Paul King</v>
      </c>
      <c r="C393" s="12">
        <v>7.2</v>
      </c>
      <c r="D393" s="12">
        <v>0.81200000000000006</v>
      </c>
      <c r="E393" s="12">
        <v>1</v>
      </c>
    </row>
    <row r="394" spans="2:5" x14ac:dyDescent="0.25">
      <c r="B394" s="11" t="str">
        <f ca="1">IFERROR(__xludf.DUMMYFUNCTION("""COMPUTED_VALUE"""),"Akiva Schaffer")</f>
        <v>Akiva Schaffer</v>
      </c>
      <c r="C394" s="11">
        <v>5.7</v>
      </c>
      <c r="D394" s="11">
        <v>0.23100000000000001</v>
      </c>
      <c r="E394" s="11">
        <v>1</v>
      </c>
    </row>
    <row r="395" spans="2:5" x14ac:dyDescent="0.25">
      <c r="B395" s="12" t="str">
        <f ca="1">IFERROR(__xludf.DUMMYFUNCTION("""COMPUTED_VALUE"""),"William Friedkin")</f>
        <v>William Friedkin</v>
      </c>
      <c r="C395" s="12">
        <v>6.45</v>
      </c>
      <c r="D395" s="12">
        <v>0.496</v>
      </c>
      <c r="E395" s="12">
        <v>4</v>
      </c>
    </row>
    <row r="396" spans="2:5" x14ac:dyDescent="0.25">
      <c r="B396" s="11" t="str">
        <f ca="1">IFERROR(__xludf.DUMMYFUNCTION("""COMPUTED_VALUE"""),"Kent Alterman")</f>
        <v>Kent Alterman</v>
      </c>
      <c r="C396" s="11">
        <v>5.8</v>
      </c>
      <c r="D396" s="11">
        <v>0.251</v>
      </c>
      <c r="E396" s="11">
        <v>1</v>
      </c>
    </row>
    <row r="397" spans="2:5" x14ac:dyDescent="0.25">
      <c r="B397" s="12" t="str">
        <f ca="1">IFERROR(__xludf.DUMMYFUNCTION("""COMPUTED_VALUE"""),"Peter Lord")</f>
        <v>Peter Lord</v>
      </c>
      <c r="C397" s="12">
        <v>6.85</v>
      </c>
      <c r="D397" s="12">
        <v>0.66800000000000004</v>
      </c>
      <c r="E397" s="12">
        <v>2</v>
      </c>
    </row>
    <row r="398" spans="2:5" x14ac:dyDescent="0.25">
      <c r="B398" s="11" t="str">
        <f ca="1">IFERROR(__xludf.DUMMYFUNCTION("""COMPUTED_VALUE"""),"Shekhar Kapur")</f>
        <v>Shekhar Kapur</v>
      </c>
      <c r="C398" s="11">
        <v>6.9666666666666659</v>
      </c>
      <c r="D398" s="11">
        <v>0.71799999999999997</v>
      </c>
      <c r="E398" s="11">
        <v>3</v>
      </c>
    </row>
    <row r="399" spans="2:5" x14ac:dyDescent="0.25">
      <c r="B399" s="12" t="str">
        <f ca="1">IFERROR(__xludf.DUMMYFUNCTION("""COMPUTED_VALUE"""),"Karyn Kusama")</f>
        <v>Karyn Kusama</v>
      </c>
      <c r="C399" s="12">
        <v>5.3</v>
      </c>
      <c r="D399" s="12">
        <v>0.13</v>
      </c>
      <c r="E399" s="12">
        <v>2</v>
      </c>
    </row>
    <row r="400" spans="2:5" x14ac:dyDescent="0.25">
      <c r="B400" s="11" t="str">
        <f ca="1">IFERROR(__xludf.DUMMYFUNCTION("""COMPUTED_VALUE"""),"Ron Maxwell")</f>
        <v>Ron Maxwell</v>
      </c>
      <c r="C400" s="11">
        <v>7</v>
      </c>
      <c r="D400" s="11">
        <v>0.72299999999999998</v>
      </c>
      <c r="E400" s="11">
        <v>2</v>
      </c>
    </row>
    <row r="401" spans="2:5" x14ac:dyDescent="0.25">
      <c r="B401" s="12" t="str">
        <f ca="1">IFERROR(__xludf.DUMMYFUNCTION("""COMPUTED_VALUE"""),"Robert Butler")</f>
        <v>Robert Butler</v>
      </c>
      <c r="C401" s="12">
        <v>4.7</v>
      </c>
      <c r="D401" s="12">
        <v>6.6000000000000003E-2</v>
      </c>
      <c r="E401" s="12">
        <v>1</v>
      </c>
    </row>
    <row r="402" spans="2:5" x14ac:dyDescent="0.25">
      <c r="B402" s="11" t="str">
        <f ca="1">IFERROR(__xludf.DUMMYFUNCTION("""COMPUTED_VALUE"""),"Karey Kirkpatrick")</f>
        <v>Karey Kirkpatrick</v>
      </c>
      <c r="C402" s="11">
        <v>5.6</v>
      </c>
      <c r="D402" s="11">
        <v>0.19700000000000001</v>
      </c>
      <c r="E402" s="11">
        <v>1</v>
      </c>
    </row>
    <row r="403" spans="2:5" x14ac:dyDescent="0.25">
      <c r="B403" s="12" t="str">
        <f ca="1">IFERROR(__xludf.DUMMYFUNCTION("""COMPUTED_VALUE"""),"Steve Antin")</f>
        <v>Steve Antin</v>
      </c>
      <c r="C403" s="12">
        <v>6.4</v>
      </c>
      <c r="D403" s="12">
        <v>0.46400000000000002</v>
      </c>
      <c r="E403" s="12">
        <v>1</v>
      </c>
    </row>
    <row r="404" spans="2:5" x14ac:dyDescent="0.25">
      <c r="B404" s="11" t="str">
        <f ca="1">IFERROR(__xludf.DUMMYFUNCTION("""COMPUTED_VALUE"""),"Francis Ford Coppola")</f>
        <v>Francis Ford Coppola</v>
      </c>
      <c r="C404" s="11">
        <v>7.6555555555555559</v>
      </c>
      <c r="D404" s="11">
        <v>0.93700000000000006</v>
      </c>
      <c r="E404" s="11">
        <v>9</v>
      </c>
    </row>
    <row r="405" spans="2:5" x14ac:dyDescent="0.25">
      <c r="B405" s="12" t="str">
        <f ca="1">IFERROR(__xludf.DUMMYFUNCTION("""COMPUTED_VALUE"""),"Richard Lester")</f>
        <v>Richard Lester</v>
      </c>
      <c r="C405" s="12">
        <v>6.4666666666666659</v>
      </c>
      <c r="D405" s="12">
        <v>0.501</v>
      </c>
      <c r="E405" s="12">
        <v>3</v>
      </c>
    </row>
    <row r="406" spans="2:5" x14ac:dyDescent="0.25">
      <c r="B406" s="11" t="str">
        <f ca="1">IFERROR(__xludf.DUMMYFUNCTION("""COMPUTED_VALUE"""),"Scott Cooper")</f>
        <v>Scott Cooper</v>
      </c>
      <c r="C406" s="11">
        <v>7.0333333333333341</v>
      </c>
      <c r="D406" s="11">
        <v>0.76300000000000001</v>
      </c>
      <c r="E406" s="11">
        <v>3</v>
      </c>
    </row>
    <row r="407" spans="2:5" x14ac:dyDescent="0.25">
      <c r="B407" s="12" t="str">
        <f ca="1">IFERROR(__xludf.DUMMYFUNCTION("""COMPUTED_VALUE"""),"Robert Rodriguez")</f>
        <v>Robert Rodriguez</v>
      </c>
      <c r="C407" s="12">
        <v>5.6923076923076925</v>
      </c>
      <c r="D407" s="12">
        <v>0.22800000000000001</v>
      </c>
      <c r="E407" s="12">
        <v>13</v>
      </c>
    </row>
    <row r="408" spans="2:5" x14ac:dyDescent="0.25">
      <c r="B408" s="11" t="str">
        <f ca="1">IFERROR(__xludf.DUMMYFUNCTION("""COMPUTED_VALUE"""),"Curtis Hanson")</f>
        <v>Curtis Hanson</v>
      </c>
      <c r="C408" s="11">
        <v>6.9799999999999995</v>
      </c>
      <c r="D408" s="11">
        <v>0.72</v>
      </c>
      <c r="E408" s="11">
        <v>5</v>
      </c>
    </row>
    <row r="409" spans="2:5" x14ac:dyDescent="0.25">
      <c r="B409" s="12" t="str">
        <f ca="1">IFERROR(__xludf.DUMMYFUNCTION("""COMPUTED_VALUE"""),"Phyllida Lloyd")</f>
        <v>Phyllida Lloyd</v>
      </c>
      <c r="C409" s="12">
        <v>6.35</v>
      </c>
      <c r="D409" s="12">
        <v>0.45600000000000002</v>
      </c>
      <c r="E409" s="12">
        <v>2</v>
      </c>
    </row>
    <row r="410" spans="2:5" x14ac:dyDescent="0.25">
      <c r="B410" s="11" t="str">
        <f ca="1">IFERROR(__xludf.DUMMYFUNCTION("""COMPUTED_VALUE"""),"Jay Chandrasekhar")</f>
        <v>Jay Chandrasekhar</v>
      </c>
      <c r="C410" s="11">
        <v>6.0250000000000004</v>
      </c>
      <c r="D410" s="11">
        <v>0.33600000000000002</v>
      </c>
      <c r="E410" s="11">
        <v>4</v>
      </c>
    </row>
    <row r="411" spans="2:5" x14ac:dyDescent="0.25">
      <c r="B411" s="12" t="str">
        <f ca="1">IFERROR(__xludf.DUMMYFUNCTION("""COMPUTED_VALUE"""),"Terrence Malick")</f>
        <v>Terrence Malick</v>
      </c>
      <c r="C411" s="12">
        <v>7</v>
      </c>
      <c r="D411" s="12">
        <v>0.72299999999999998</v>
      </c>
      <c r="E411" s="12">
        <v>3</v>
      </c>
    </row>
    <row r="412" spans="2:5" x14ac:dyDescent="0.25">
      <c r="B412" s="11" t="str">
        <f ca="1">IFERROR(__xludf.DUMMYFUNCTION("""COMPUTED_VALUE"""),"David Dobkin")</f>
        <v>David Dobkin</v>
      </c>
      <c r="C412" s="11">
        <v>6.65</v>
      </c>
      <c r="D412" s="11">
        <v>0.58699999999999997</v>
      </c>
      <c r="E412" s="11">
        <v>4</v>
      </c>
    </row>
    <row r="413" spans="2:5" x14ac:dyDescent="0.25">
      <c r="B413" s="12" t="str">
        <f ca="1">IFERROR(__xludf.DUMMYFUNCTION("""COMPUTED_VALUE"""),"Milos Forman")</f>
        <v>Milos Forman</v>
      </c>
      <c r="C413" s="12">
        <v>8.1333333333333329</v>
      </c>
      <c r="D413" s="12">
        <v>0.98499999999999999</v>
      </c>
      <c r="E413" s="12">
        <v>3</v>
      </c>
    </row>
    <row r="414" spans="2:5" x14ac:dyDescent="0.25">
      <c r="B414" s="11" t="str">
        <f ca="1">IFERROR(__xludf.DUMMYFUNCTION("""COMPUTED_VALUE"""),"Pierre Morel")</f>
        <v>Pierre Morel</v>
      </c>
      <c r="C414" s="11">
        <v>6.8500000000000005</v>
      </c>
      <c r="D414" s="11">
        <v>0.67600000000000005</v>
      </c>
      <c r="E414" s="11">
        <v>4</v>
      </c>
    </row>
    <row r="415" spans="2:5" x14ac:dyDescent="0.25">
      <c r="B415" s="12" t="str">
        <f ca="1">IFERROR(__xludf.DUMMYFUNCTION("""COMPUTED_VALUE"""),"Paul Hunter")</f>
        <v>Paul Hunter</v>
      </c>
      <c r="C415" s="12">
        <v>5.5</v>
      </c>
      <c r="D415" s="12">
        <v>0.17699999999999999</v>
      </c>
      <c r="E415" s="12">
        <v>1</v>
      </c>
    </row>
    <row r="416" spans="2:5" x14ac:dyDescent="0.25">
      <c r="B416" s="11" t="str">
        <f ca="1">IFERROR(__xludf.DUMMYFUNCTION("""COMPUTED_VALUE"""),"Steve Oedekerk")</f>
        <v>Steve Oedekerk</v>
      </c>
      <c r="C416" s="11">
        <v>6.1999999999999993</v>
      </c>
      <c r="D416" s="11">
        <v>0.38900000000000001</v>
      </c>
      <c r="E416" s="11">
        <v>4</v>
      </c>
    </row>
    <row r="417" spans="2:5" x14ac:dyDescent="0.25">
      <c r="B417" s="12" t="str">
        <f ca="1">IFERROR(__xludf.DUMMYFUNCTION("""COMPUTED_VALUE"""),"George Nolfi")</f>
        <v>George Nolfi</v>
      </c>
      <c r="C417" s="12">
        <v>7.1</v>
      </c>
      <c r="D417" s="12">
        <v>0.77200000000000002</v>
      </c>
      <c r="E417" s="12">
        <v>1</v>
      </c>
    </row>
    <row r="418" spans="2:5" x14ac:dyDescent="0.25">
      <c r="B418" s="11" t="str">
        <f ca="1">IFERROR(__xludf.DUMMYFUNCTION("""COMPUTED_VALUE"""),"Neil Jordan")</f>
        <v>Neil Jordan</v>
      </c>
      <c r="C418" s="11">
        <v>6.7624999999999993</v>
      </c>
      <c r="D418" s="11">
        <v>0.63100000000000001</v>
      </c>
      <c r="E418" s="11">
        <v>8</v>
      </c>
    </row>
    <row r="419" spans="2:5" x14ac:dyDescent="0.25">
      <c r="B419" s="12" t="str">
        <f ca="1">IFERROR(__xludf.DUMMYFUNCTION("""COMPUTED_VALUE"""),"Rawson Marshall Thurber")</f>
        <v>Rawson Marshall Thurber</v>
      </c>
      <c r="C419" s="12">
        <v>6.7666666666666666</v>
      </c>
      <c r="D419" s="12">
        <v>0.63200000000000001</v>
      </c>
      <c r="E419" s="12">
        <v>3</v>
      </c>
    </row>
    <row r="420" spans="2:5" x14ac:dyDescent="0.25">
      <c r="B420" s="11" t="str">
        <f ca="1">IFERROR(__xludf.DUMMYFUNCTION("""COMPUTED_VALUE"""),"Spike Lee")</f>
        <v>Spike Lee</v>
      </c>
      <c r="C420" s="11">
        <v>6.7333333333333334</v>
      </c>
      <c r="D420" s="11">
        <v>0.623</v>
      </c>
      <c r="E420" s="11">
        <v>15</v>
      </c>
    </row>
    <row r="421" spans="2:5" x14ac:dyDescent="0.25">
      <c r="B421" s="12" t="str">
        <f ca="1">IFERROR(__xludf.DUMMYFUNCTION("""COMPUTED_VALUE"""),"Brian Helgeland")</f>
        <v>Brian Helgeland</v>
      </c>
      <c r="C421" s="12">
        <v>6.7200000000000006</v>
      </c>
      <c r="D421" s="12">
        <v>0.622</v>
      </c>
      <c r="E421" s="12">
        <v>5</v>
      </c>
    </row>
    <row r="422" spans="2:5" x14ac:dyDescent="0.25">
      <c r="B422" s="11" t="str">
        <f ca="1">IFERROR(__xludf.DUMMYFUNCTION("""COMPUTED_VALUE"""),"Frank Marshall")</f>
        <v>Frank Marshall</v>
      </c>
      <c r="C422" s="11">
        <v>6.4249999999999998</v>
      </c>
      <c r="D422" s="11">
        <v>0.48899999999999999</v>
      </c>
      <c r="E422" s="11">
        <v>4</v>
      </c>
    </row>
    <row r="423" spans="2:5" x14ac:dyDescent="0.25">
      <c r="B423" s="12" t="str">
        <f ca="1">IFERROR(__xludf.DUMMYFUNCTION("""COMPUTED_VALUE"""),"Peter Hewitt")</f>
        <v>Peter Hewitt</v>
      </c>
      <c r="C423" s="12">
        <v>5.3</v>
      </c>
      <c r="D423" s="12">
        <v>0.13</v>
      </c>
      <c r="E423" s="12">
        <v>4</v>
      </c>
    </row>
    <row r="424" spans="2:5" x14ac:dyDescent="0.25">
      <c r="B424" s="11" t="str">
        <f ca="1">IFERROR(__xludf.DUMMYFUNCTION("""COMPUTED_VALUE"""),"Joe Roth")</f>
        <v>Joe Roth</v>
      </c>
      <c r="C424" s="11">
        <v>5.45</v>
      </c>
      <c r="D424" s="11">
        <v>0.17199999999999999</v>
      </c>
      <c r="E424" s="11">
        <v>2</v>
      </c>
    </row>
    <row r="425" spans="2:5" x14ac:dyDescent="0.25">
      <c r="B425" s="12" t="str">
        <f ca="1">IFERROR(__xludf.DUMMYFUNCTION("""COMPUTED_VALUE"""),"Bennett Miller")</f>
        <v>Bennett Miller</v>
      </c>
      <c r="C425" s="12">
        <v>7.5</v>
      </c>
      <c r="D425" s="12">
        <v>0.89300000000000002</v>
      </c>
      <c r="E425" s="12">
        <v>2</v>
      </c>
    </row>
    <row r="426" spans="2:5" x14ac:dyDescent="0.25">
      <c r="B426" s="11" t="str">
        <f ca="1">IFERROR(__xludf.DUMMYFUNCTION("""COMPUTED_VALUE"""),"Jaume Collet-Serra")</f>
        <v>Jaume Collet-Serra</v>
      </c>
      <c r="C426" s="11">
        <v>6.5200000000000005</v>
      </c>
      <c r="D426" s="11">
        <v>0.53900000000000003</v>
      </c>
      <c r="E426" s="11">
        <v>5</v>
      </c>
    </row>
    <row r="427" spans="2:5" x14ac:dyDescent="0.25">
      <c r="B427" s="12" t="str">
        <f ca="1">IFERROR(__xludf.DUMMYFUNCTION("""COMPUTED_VALUE"""),"Andy Fickman")</f>
        <v>Andy Fickman</v>
      </c>
      <c r="C427" s="12">
        <v>5.7666666666666666</v>
      </c>
      <c r="D427" s="12">
        <v>0.25</v>
      </c>
      <c r="E427" s="12">
        <v>6</v>
      </c>
    </row>
    <row r="428" spans="2:5" x14ac:dyDescent="0.25">
      <c r="B428" s="11" t="str">
        <f ca="1">IFERROR(__xludf.DUMMYFUNCTION("""COMPUTED_VALUE"""),"James McTeigue")</f>
        <v>James McTeigue</v>
      </c>
      <c r="C428" s="11">
        <v>7</v>
      </c>
      <c r="D428" s="11">
        <v>0.72299999999999998</v>
      </c>
      <c r="E428" s="11">
        <v>3</v>
      </c>
    </row>
    <row r="429" spans="2:5" x14ac:dyDescent="0.25">
      <c r="B429" s="12" t="str">
        <f ca="1">IFERROR(__xludf.DUMMYFUNCTION("""COMPUTED_VALUE"""),"Matthew O'Callaghan")</f>
        <v>Matthew O'Callaghan</v>
      </c>
      <c r="C429" s="12">
        <v>6.6</v>
      </c>
      <c r="D429" s="12">
        <v>0.55300000000000005</v>
      </c>
      <c r="E429" s="12">
        <v>1</v>
      </c>
    </row>
    <row r="430" spans="2:5" x14ac:dyDescent="0.25">
      <c r="B430" s="11" t="str">
        <f ca="1">IFERROR(__xludf.DUMMYFUNCTION("""COMPUTED_VALUE"""),"Angela Robinson")</f>
        <v>Angela Robinson</v>
      </c>
      <c r="C430" s="11">
        <v>5</v>
      </c>
      <c r="D430" s="11">
        <v>8.6999999999999994E-2</v>
      </c>
      <c r="E430" s="11">
        <v>2</v>
      </c>
    </row>
    <row r="431" spans="2:5" x14ac:dyDescent="0.25">
      <c r="B431" s="12" t="str">
        <f ca="1">IFERROR(__xludf.DUMMYFUNCTION("""COMPUTED_VALUE"""),"Gary Fleder")</f>
        <v>Gary Fleder</v>
      </c>
      <c r="C431" s="12">
        <v>6.6166666666666663</v>
      </c>
      <c r="D431" s="12">
        <v>0.58199999999999996</v>
      </c>
      <c r="E431" s="12">
        <v>6</v>
      </c>
    </row>
    <row r="432" spans="2:5" x14ac:dyDescent="0.25">
      <c r="B432" s="11" t="str">
        <f ca="1">IFERROR(__xludf.DUMMYFUNCTION("""COMPUTED_VALUE"""),"Tommy Wirkola")</f>
        <v>Tommy Wirkola</v>
      </c>
      <c r="C432" s="11">
        <v>6.25</v>
      </c>
      <c r="D432" s="11">
        <v>0.41799999999999998</v>
      </c>
      <c r="E432" s="11">
        <v>2</v>
      </c>
    </row>
    <row r="433" spans="2:5" x14ac:dyDescent="0.25">
      <c r="B433" s="12" t="str">
        <f ca="1">IFERROR(__xludf.DUMMYFUNCTION("""COMPUTED_VALUE"""),"Adrian Lyne")</f>
        <v>Adrian Lyne</v>
      </c>
      <c r="C433" s="12">
        <v>6.4</v>
      </c>
      <c r="D433" s="12">
        <v>0.46400000000000002</v>
      </c>
      <c r="E433" s="12">
        <v>4</v>
      </c>
    </row>
    <row r="434" spans="2:5" x14ac:dyDescent="0.25">
      <c r="B434" s="11" t="str">
        <f ca="1">IFERROR(__xludf.DUMMYFUNCTION("""COMPUTED_VALUE"""),"Stephen Gaghan")</f>
        <v>Stephen Gaghan</v>
      </c>
      <c r="C434" s="11">
        <v>5.95</v>
      </c>
      <c r="D434" s="11">
        <v>0.30399999999999999</v>
      </c>
      <c r="E434" s="11">
        <v>2</v>
      </c>
    </row>
    <row r="435" spans="2:5" x14ac:dyDescent="0.25">
      <c r="B435" s="12" t="str">
        <f ca="1">IFERROR(__xludf.DUMMYFUNCTION("""COMPUTED_VALUE"""),"Jorge R. Gutiérrez")</f>
        <v>Jorge R. Gutiérrez</v>
      </c>
      <c r="C435" s="12">
        <v>7.3</v>
      </c>
      <c r="D435" s="12">
        <v>0.84899999999999998</v>
      </c>
      <c r="E435" s="12">
        <v>1</v>
      </c>
    </row>
    <row r="436" spans="2:5" x14ac:dyDescent="0.25">
      <c r="B436" s="11" t="str">
        <f ca="1">IFERROR(__xludf.DUMMYFUNCTION("""COMPUTED_VALUE"""),"Richard Loncraine")</f>
        <v>Richard Loncraine</v>
      </c>
      <c r="C436" s="11">
        <v>6.5333333333333341</v>
      </c>
      <c r="D436" s="11">
        <v>0.54100000000000004</v>
      </c>
      <c r="E436" s="11">
        <v>3</v>
      </c>
    </row>
    <row r="437" spans="2:5" x14ac:dyDescent="0.25">
      <c r="B437" s="12" t="str">
        <f ca="1">IFERROR(__xludf.DUMMYFUNCTION("""COMPUTED_VALUE"""),"Christophe Gans")</f>
        <v>Christophe Gans</v>
      </c>
      <c r="C437" s="12">
        <v>6.6</v>
      </c>
      <c r="D437" s="12">
        <v>0.55300000000000005</v>
      </c>
      <c r="E437" s="12">
        <v>1</v>
      </c>
    </row>
    <row r="438" spans="2:5" x14ac:dyDescent="0.25">
      <c r="B438" s="11" t="str">
        <f ca="1">IFERROR(__xludf.DUMMYFUNCTION("""COMPUTED_VALUE"""),"Howard Deutch")</f>
        <v>Howard Deutch</v>
      </c>
      <c r="C438" s="11">
        <v>5.9666666666666659</v>
      </c>
      <c r="D438" s="11">
        <v>0.309</v>
      </c>
      <c r="E438" s="11">
        <v>3</v>
      </c>
    </row>
    <row r="439" spans="2:5" x14ac:dyDescent="0.25">
      <c r="B439" s="12" t="str">
        <f ca="1">IFERROR(__xludf.DUMMYFUNCTION("""COMPUTED_VALUE"""),"Jon Hurwitz")</f>
        <v>Jon Hurwitz</v>
      </c>
      <c r="C439" s="12">
        <v>6.65</v>
      </c>
      <c r="D439" s="12">
        <v>0.58699999999999997</v>
      </c>
      <c r="E439" s="12">
        <v>2</v>
      </c>
    </row>
    <row r="440" spans="2:5" x14ac:dyDescent="0.25">
      <c r="B440" s="11" t="str">
        <f ca="1">IFERROR(__xludf.DUMMYFUNCTION("""COMPUTED_VALUE"""),"Steven Quale")</f>
        <v>Steven Quale</v>
      </c>
      <c r="C440" s="11">
        <v>5.85</v>
      </c>
      <c r="D440" s="11">
        <v>0.26800000000000002</v>
      </c>
      <c r="E440" s="11">
        <v>2</v>
      </c>
    </row>
    <row r="441" spans="2:5" x14ac:dyDescent="0.25">
      <c r="B441" s="12" t="str">
        <f ca="1">IFERROR(__xludf.DUMMYFUNCTION("""COMPUTED_VALUE"""),"John Landis")</f>
        <v>John Landis</v>
      </c>
      <c r="C441" s="12">
        <v>7</v>
      </c>
      <c r="D441" s="12">
        <v>0.72299999999999998</v>
      </c>
      <c r="E441" s="12">
        <v>3</v>
      </c>
    </row>
    <row r="442" spans="2:5" x14ac:dyDescent="0.25">
      <c r="B442" s="11" t="str">
        <f ca="1">IFERROR(__xludf.DUMMYFUNCTION("""COMPUTED_VALUE"""),"Alexander Witt")</f>
        <v>Alexander Witt</v>
      </c>
      <c r="C442" s="11">
        <v>6.2</v>
      </c>
      <c r="D442" s="11">
        <v>0.39100000000000001</v>
      </c>
      <c r="E442" s="11">
        <v>1</v>
      </c>
    </row>
    <row r="443" spans="2:5" x14ac:dyDescent="0.25">
      <c r="B443" s="12" t="str">
        <f ca="1">IFERROR(__xludf.DUMMYFUNCTION("""COMPUTED_VALUE"""),"Beeban Kidron")</f>
        <v>Beeban Kidron</v>
      </c>
      <c r="C443" s="12">
        <v>5.9</v>
      </c>
      <c r="D443" s="12">
        <v>0.27100000000000002</v>
      </c>
      <c r="E443" s="12">
        <v>1</v>
      </c>
    </row>
    <row r="444" spans="2:5" x14ac:dyDescent="0.25">
      <c r="B444" s="11" t="str">
        <f ca="1">IFERROR(__xludf.DUMMYFUNCTION("""COMPUTED_VALUE"""),"Carl Franklin")</f>
        <v>Carl Franklin</v>
      </c>
      <c r="C444" s="11">
        <v>6.6000000000000005</v>
      </c>
      <c r="D444" s="11">
        <v>0.58099999999999996</v>
      </c>
      <c r="E444" s="11">
        <v>3</v>
      </c>
    </row>
    <row r="445" spans="2:5" x14ac:dyDescent="0.25">
      <c r="B445" s="12" t="str">
        <f ca="1">IFERROR(__xludf.DUMMYFUNCTION("""COMPUTED_VALUE"""),"Steven Seagal")</f>
        <v>Steven Seagal</v>
      </c>
      <c r="C445" s="12">
        <v>4.4000000000000004</v>
      </c>
      <c r="D445" s="12">
        <v>0.05</v>
      </c>
      <c r="E445" s="12">
        <v>1</v>
      </c>
    </row>
    <row r="446" spans="2:5" x14ac:dyDescent="0.25">
      <c r="B446" s="11" t="str">
        <f ca="1">IFERROR(__xludf.DUMMYFUNCTION("""COMPUTED_VALUE"""),"Danny Boyle")</f>
        <v>Danny Boyle</v>
      </c>
      <c r="C446" s="11">
        <v>7.4375</v>
      </c>
      <c r="D446" s="11">
        <v>0.88800000000000001</v>
      </c>
      <c r="E446" s="11">
        <v>8</v>
      </c>
    </row>
    <row r="447" spans="2:5" x14ac:dyDescent="0.25">
      <c r="B447" s="12" t="str">
        <f ca="1">IFERROR(__xludf.DUMMYFUNCTION("""COMPUTED_VALUE"""),"Andrew Bergman")</f>
        <v>Andrew Bergman</v>
      </c>
      <c r="C447" s="12">
        <v>4.8</v>
      </c>
      <c r="D447" s="12">
        <v>7.3999999999999996E-2</v>
      </c>
      <c r="E447" s="12">
        <v>2</v>
      </c>
    </row>
    <row r="448" spans="2:5" x14ac:dyDescent="0.25">
      <c r="B448" s="11" t="str">
        <f ca="1">IFERROR(__xludf.DUMMYFUNCTION("""COMPUTED_VALUE"""),"Barbet Schroeder")</f>
        <v>Barbet Schroeder</v>
      </c>
      <c r="C448" s="11">
        <v>6</v>
      </c>
      <c r="D448" s="11">
        <v>0.312</v>
      </c>
      <c r="E448" s="11">
        <v>2</v>
      </c>
    </row>
    <row r="449" spans="2:5" x14ac:dyDescent="0.25">
      <c r="B449" s="12" t="str">
        <f ca="1">IFERROR(__xludf.DUMMYFUNCTION("""COMPUTED_VALUE"""),"Peter Webber")</f>
        <v>Peter Webber</v>
      </c>
      <c r="C449" s="12">
        <v>6.2</v>
      </c>
      <c r="D449" s="12">
        <v>0.39100000000000001</v>
      </c>
      <c r="E449" s="12">
        <v>1</v>
      </c>
    </row>
    <row r="450" spans="2:5" x14ac:dyDescent="0.25">
      <c r="B450" s="11" t="str">
        <f ca="1">IFERROR(__xludf.DUMMYFUNCTION("""COMPUTED_VALUE"""),"Andrew Niccol")</f>
        <v>Andrew Niccol</v>
      </c>
      <c r="C450" s="11">
        <v>7</v>
      </c>
      <c r="D450" s="11">
        <v>0.72299999999999998</v>
      </c>
      <c r="E450" s="11">
        <v>4</v>
      </c>
    </row>
    <row r="451" spans="2:5" x14ac:dyDescent="0.25">
      <c r="B451" s="12" t="str">
        <f ca="1">IFERROR(__xludf.DUMMYFUNCTION("""COMPUTED_VALUE"""),"John Carpenter")</f>
        <v>John Carpenter</v>
      </c>
      <c r="C451" s="12">
        <v>6.7299999999999995</v>
      </c>
      <c r="D451" s="12">
        <v>0.623</v>
      </c>
      <c r="E451" s="12">
        <v>10</v>
      </c>
    </row>
    <row r="452" spans="2:5" x14ac:dyDescent="0.25">
      <c r="B452" s="11" t="str">
        <f ca="1">IFERROR(__xludf.DUMMYFUNCTION("""COMPUTED_VALUE"""),"Wes Anderson")</f>
        <v>Wes Anderson</v>
      </c>
      <c r="C452" s="11">
        <v>7.6285714285714281</v>
      </c>
      <c r="D452" s="11">
        <v>0.93</v>
      </c>
      <c r="E452" s="11">
        <v>7</v>
      </c>
    </row>
    <row r="453" spans="2:5" x14ac:dyDescent="0.25">
      <c r="B453" s="12" t="str">
        <f ca="1">IFERROR(__xludf.DUMMYFUNCTION("""COMPUTED_VALUE"""),"David Cronenberg")</f>
        <v>David Cronenberg</v>
      </c>
      <c r="C453" s="12">
        <v>7.06</v>
      </c>
      <c r="D453" s="12">
        <v>0.76700000000000002</v>
      </c>
      <c r="E453" s="12">
        <v>5</v>
      </c>
    </row>
    <row r="454" spans="2:5" x14ac:dyDescent="0.25">
      <c r="B454" s="11" t="str">
        <f ca="1">IFERROR(__xludf.DUMMYFUNCTION("""COMPUTED_VALUE"""),"John Stockwell")</f>
        <v>John Stockwell</v>
      </c>
      <c r="C454" s="11">
        <v>5.9666666666666659</v>
      </c>
      <c r="D454" s="11">
        <v>0.309</v>
      </c>
      <c r="E454" s="11">
        <v>3</v>
      </c>
    </row>
    <row r="455" spans="2:5" x14ac:dyDescent="0.25">
      <c r="B455" s="12" t="str">
        <f ca="1">IFERROR(__xludf.DUMMYFUNCTION("""COMPUTED_VALUE"""),"David Gordon Green")</f>
        <v>David Gordon Green</v>
      </c>
      <c r="C455" s="12">
        <v>6.666666666666667</v>
      </c>
      <c r="D455" s="12">
        <v>0.59199999999999997</v>
      </c>
      <c r="E455" s="12">
        <v>6</v>
      </c>
    </row>
    <row r="456" spans="2:5" x14ac:dyDescent="0.25">
      <c r="B456" s="11" t="str">
        <f ca="1">IFERROR(__xludf.DUMMYFUNCTION("""COMPUTED_VALUE"""),"Jim Sheridan")</f>
        <v>Jim Sheridan</v>
      </c>
      <c r="C456" s="11">
        <v>6.0333333333333341</v>
      </c>
      <c r="D456" s="11">
        <v>0.33700000000000002</v>
      </c>
      <c r="E456" s="11">
        <v>3</v>
      </c>
    </row>
    <row r="457" spans="2:5" x14ac:dyDescent="0.25">
      <c r="B457" s="12" t="str">
        <f ca="1">IFERROR(__xludf.DUMMYFUNCTION("""COMPUTED_VALUE"""),"Costa-Gavras")</f>
        <v>Costa-Gavras</v>
      </c>
      <c r="C457" s="12">
        <v>6.75</v>
      </c>
      <c r="D457" s="12">
        <v>0.627</v>
      </c>
      <c r="E457" s="12">
        <v>2</v>
      </c>
    </row>
    <row r="458" spans="2:5" x14ac:dyDescent="0.25">
      <c r="B458" s="11" t="str">
        <f ca="1">IFERROR(__xludf.DUMMYFUNCTION("""COMPUTED_VALUE"""),"Patrick Read Johnson")</f>
        <v>Patrick Read Johnson</v>
      </c>
      <c r="C458" s="11">
        <v>5.6</v>
      </c>
      <c r="D458" s="11">
        <v>0.19700000000000001</v>
      </c>
      <c r="E458" s="11">
        <v>2</v>
      </c>
    </row>
    <row r="459" spans="2:5" x14ac:dyDescent="0.25">
      <c r="B459" s="12" t="str">
        <f ca="1">IFERROR(__xludf.DUMMYFUNCTION("""COMPUTED_VALUE"""),"Roland Joffé")</f>
        <v>Roland Joffé</v>
      </c>
      <c r="C459" s="12">
        <v>5.5</v>
      </c>
      <c r="D459" s="12">
        <v>0.17699999999999999</v>
      </c>
      <c r="E459" s="12">
        <v>2</v>
      </c>
    </row>
    <row r="460" spans="2:5" x14ac:dyDescent="0.25">
      <c r="B460" s="11" t="str">
        <f ca="1">IFERROR(__xludf.DUMMYFUNCTION("""COMPUTED_VALUE"""),"Richard LaGravenese")</f>
        <v>Richard LaGravenese</v>
      </c>
      <c r="C460" s="11">
        <v>6.85</v>
      </c>
      <c r="D460" s="11">
        <v>0.66800000000000004</v>
      </c>
      <c r="E460" s="11">
        <v>4</v>
      </c>
    </row>
    <row r="461" spans="2:5" x14ac:dyDescent="0.25">
      <c r="B461" s="12" t="str">
        <f ca="1">IFERROR(__xludf.DUMMYFUNCTION("""COMPUTED_VALUE"""),"Danny DeVito")</f>
        <v>Danny DeVito</v>
      </c>
      <c r="C461" s="12">
        <v>6.2666666666666657</v>
      </c>
      <c r="D461" s="12">
        <v>0.42099999999999999</v>
      </c>
      <c r="E461" s="12">
        <v>3</v>
      </c>
    </row>
    <row r="462" spans="2:5" x14ac:dyDescent="0.25">
      <c r="B462" s="11" t="str">
        <f ca="1">IFERROR(__xludf.DUMMYFUNCTION("""COMPUTED_VALUE"""),"George Armitage")</f>
        <v>George Armitage</v>
      </c>
      <c r="C462" s="11">
        <v>6.15</v>
      </c>
      <c r="D462" s="11">
        <v>0.38400000000000001</v>
      </c>
      <c r="E462" s="11">
        <v>2</v>
      </c>
    </row>
    <row r="463" spans="2:5" x14ac:dyDescent="0.25">
      <c r="B463" s="12" t="str">
        <f ca="1">IFERROR(__xludf.DUMMYFUNCTION("""COMPUTED_VALUE"""),"Patrick Lussier")</f>
        <v>Patrick Lussier</v>
      </c>
      <c r="C463" s="12">
        <v>5.3</v>
      </c>
      <c r="D463" s="12">
        <v>0.13</v>
      </c>
      <c r="E463" s="12">
        <v>3</v>
      </c>
    </row>
    <row r="464" spans="2:5" x14ac:dyDescent="0.25">
      <c r="B464" s="11" t="str">
        <f ca="1">IFERROR(__xludf.DUMMYFUNCTION("""COMPUTED_VALUE"""),"James Wong")</f>
        <v>James Wong</v>
      </c>
      <c r="C464" s="11">
        <v>5.2750000000000004</v>
      </c>
      <c r="D464" s="11">
        <v>0.13</v>
      </c>
      <c r="E464" s="11">
        <v>4</v>
      </c>
    </row>
    <row r="465" spans="2:5" x14ac:dyDescent="0.25">
      <c r="B465" s="12" t="str">
        <f ca="1">IFERROR(__xludf.DUMMYFUNCTION("""COMPUTED_VALUE"""),"Olivier Megaton")</f>
        <v>Olivier Megaton</v>
      </c>
      <c r="C465" s="12">
        <v>6.2333333333333343</v>
      </c>
      <c r="D465" s="12">
        <v>0.41699999999999998</v>
      </c>
      <c r="E465" s="12">
        <v>3</v>
      </c>
    </row>
    <row r="466" spans="2:5" x14ac:dyDescent="0.25">
      <c r="B466" s="11" t="str">
        <f ca="1">IFERROR(__xludf.DUMMYFUNCTION("""COMPUTED_VALUE"""),"Warren Beatty")</f>
        <v>Warren Beatty</v>
      </c>
      <c r="C466" s="11">
        <v>6.4499999999999993</v>
      </c>
      <c r="D466" s="11">
        <v>0.49199999999999999</v>
      </c>
      <c r="E466" s="11">
        <v>2</v>
      </c>
    </row>
    <row r="467" spans="2:5" x14ac:dyDescent="0.25">
      <c r="B467" s="12" t="str">
        <f ca="1">IFERROR(__xludf.DUMMYFUNCTION("""COMPUTED_VALUE"""),"Penny Marshall")</f>
        <v>Penny Marshall</v>
      </c>
      <c r="C467" s="12">
        <v>6.7500000000000009</v>
      </c>
      <c r="D467" s="12">
        <v>0.629</v>
      </c>
      <c r="E467" s="12">
        <v>4</v>
      </c>
    </row>
    <row r="468" spans="2:5" x14ac:dyDescent="0.25">
      <c r="B468" s="11" t="str">
        <f ca="1">IFERROR(__xludf.DUMMYFUNCTION("""COMPUTED_VALUE"""),"Paul Bolger")</f>
        <v>Paul Bolger</v>
      </c>
      <c r="C468" s="11">
        <v>4.5</v>
      </c>
      <c r="D468" s="11">
        <v>5.5E-2</v>
      </c>
      <c r="E468" s="11">
        <v>1</v>
      </c>
    </row>
    <row r="469" spans="2:5" x14ac:dyDescent="0.25">
      <c r="B469" s="12" t="str">
        <f ca="1">IFERROR(__xludf.DUMMYFUNCTION("""COMPUTED_VALUE"""),"Stephen Frears")</f>
        <v>Stephen Frears</v>
      </c>
      <c r="C469" s="12">
        <v>7.0874999999999995</v>
      </c>
      <c r="D469" s="12">
        <v>0.77100000000000002</v>
      </c>
      <c r="E469" s="12">
        <v>8</v>
      </c>
    </row>
    <row r="470" spans="2:5" x14ac:dyDescent="0.25">
      <c r="B470" s="11" t="str">
        <f ca="1">IFERROR(__xludf.DUMMYFUNCTION("""COMPUTED_VALUE"""),"P.J. Hogan")</f>
        <v>P.J. Hogan</v>
      </c>
      <c r="C470" s="11">
        <v>6.3</v>
      </c>
      <c r="D470" s="11">
        <v>0.42299999999999999</v>
      </c>
      <c r="E470" s="11">
        <v>1</v>
      </c>
    </row>
    <row r="471" spans="2:5" x14ac:dyDescent="0.25">
      <c r="B471" s="12" t="str">
        <f ca="1">IFERROR(__xludf.DUMMYFUNCTION("""COMPUTED_VALUE"""),"Brad Furman")</f>
        <v>Brad Furman</v>
      </c>
      <c r="C471" s="12">
        <v>6.7333333333333334</v>
      </c>
      <c r="D471" s="12">
        <v>0.623</v>
      </c>
      <c r="E471" s="12">
        <v>3</v>
      </c>
    </row>
    <row r="472" spans="2:5" x14ac:dyDescent="0.25">
      <c r="B472" s="11" t="str">
        <f ca="1">IFERROR(__xludf.DUMMYFUNCTION("""COMPUTED_VALUE"""),"David Zucker")</f>
        <v>David Zucker</v>
      </c>
      <c r="C472" s="11">
        <v>5.26</v>
      </c>
      <c r="D472" s="11">
        <v>0.127</v>
      </c>
      <c r="E472" s="11">
        <v>5</v>
      </c>
    </row>
    <row r="473" spans="2:5" x14ac:dyDescent="0.25">
      <c r="B473" s="12" t="str">
        <f ca="1">IFERROR(__xludf.DUMMYFUNCTION("""COMPUTED_VALUE"""),"Denis Villeneuve")</f>
        <v>Denis Villeneuve</v>
      </c>
      <c r="C473" s="12">
        <v>7.9666666666666659</v>
      </c>
      <c r="D473" s="12">
        <v>0.97699999999999998</v>
      </c>
      <c r="E473" s="12">
        <v>3</v>
      </c>
    </row>
    <row r="474" spans="2:5" x14ac:dyDescent="0.25">
      <c r="B474" s="11" t="str">
        <f ca="1">IFERROR(__xludf.DUMMYFUNCTION("""COMPUTED_VALUE"""),"Thomas Carter")</f>
        <v>Thomas Carter</v>
      </c>
      <c r="C474" s="11">
        <v>6.666666666666667</v>
      </c>
      <c r="D474" s="11">
        <v>0.59199999999999997</v>
      </c>
      <c r="E474" s="11">
        <v>3</v>
      </c>
    </row>
    <row r="475" spans="2:5" x14ac:dyDescent="0.25">
      <c r="B475" s="12" t="str">
        <f ca="1">IFERROR(__xludf.DUMMYFUNCTION("""COMPUTED_VALUE"""),"Roger Michell")</f>
        <v>Roger Michell</v>
      </c>
      <c r="C475" s="12">
        <v>6.666666666666667</v>
      </c>
      <c r="D475" s="12">
        <v>0.59199999999999997</v>
      </c>
      <c r="E475" s="12">
        <v>3</v>
      </c>
    </row>
    <row r="476" spans="2:5" x14ac:dyDescent="0.25">
      <c r="B476" s="11" t="str">
        <f ca="1">IFERROR(__xludf.DUMMYFUNCTION("""COMPUTED_VALUE"""),"Luis Llosa")</f>
        <v>Luis Llosa</v>
      </c>
      <c r="C476" s="11">
        <v>5</v>
      </c>
      <c r="D476" s="11">
        <v>8.6999999999999994E-2</v>
      </c>
      <c r="E476" s="11">
        <v>2</v>
      </c>
    </row>
    <row r="477" spans="2:5" x14ac:dyDescent="0.25">
      <c r="B477" s="12" t="str">
        <f ca="1">IFERROR(__xludf.DUMMYFUNCTION("""COMPUTED_VALUE"""),"Richard Curtis")</f>
        <v>Richard Curtis</v>
      </c>
      <c r="C477" s="12">
        <v>7.75</v>
      </c>
      <c r="D477" s="12">
        <v>0.95499999999999996</v>
      </c>
      <c r="E477" s="12">
        <v>2</v>
      </c>
    </row>
    <row r="478" spans="2:5" x14ac:dyDescent="0.25">
      <c r="B478" s="11" t="str">
        <f ca="1">IFERROR(__xludf.DUMMYFUNCTION("""COMPUTED_VALUE"""),"Garth Jennings")</f>
        <v>Garth Jennings</v>
      </c>
      <c r="C478" s="11">
        <v>6.8</v>
      </c>
      <c r="D478" s="11">
        <v>0.63800000000000001</v>
      </c>
      <c r="E478" s="11">
        <v>1</v>
      </c>
    </row>
    <row r="479" spans="2:5" x14ac:dyDescent="0.25">
      <c r="B479" s="12" t="str">
        <f ca="1">IFERROR(__xludf.DUMMYFUNCTION("""COMPUTED_VALUE"""),"Joel Zwick")</f>
        <v>Joel Zwick</v>
      </c>
      <c r="C479" s="12">
        <v>5.4499999999999993</v>
      </c>
      <c r="D479" s="12">
        <v>0.17100000000000001</v>
      </c>
      <c r="E479" s="12">
        <v>2</v>
      </c>
    </row>
    <row r="480" spans="2:5" x14ac:dyDescent="0.25">
      <c r="B480" s="11" t="str">
        <f ca="1">IFERROR(__xludf.DUMMYFUNCTION("""COMPUTED_VALUE"""),"Russell Mulcahy")</f>
        <v>Russell Mulcahy</v>
      </c>
      <c r="C480" s="11">
        <v>6.5</v>
      </c>
      <c r="D480" s="11">
        <v>0.504</v>
      </c>
      <c r="E480" s="11">
        <v>3</v>
      </c>
    </row>
    <row r="481" spans="2:5" x14ac:dyDescent="0.25">
      <c r="B481" s="12" t="str">
        <f ca="1">IFERROR(__xludf.DUMMYFUNCTION("""COMPUTED_VALUE"""),"David R. Ellis")</f>
        <v>David R. Ellis</v>
      </c>
      <c r="C481" s="12">
        <v>5.4999999999999991</v>
      </c>
      <c r="D481" s="12">
        <v>0.17599999999999999</v>
      </c>
      <c r="E481" s="12">
        <v>5</v>
      </c>
    </row>
    <row r="482" spans="2:5" x14ac:dyDescent="0.25">
      <c r="B482" s="11" t="str">
        <f ca="1">IFERROR(__xludf.DUMMYFUNCTION("""COMPUTED_VALUE"""),"Peter Howitt")</f>
        <v>Peter Howitt</v>
      </c>
      <c r="C482" s="11">
        <v>6.2250000000000005</v>
      </c>
      <c r="D482" s="11">
        <v>0.41599999999999998</v>
      </c>
      <c r="E482" s="11">
        <v>4</v>
      </c>
    </row>
    <row r="483" spans="2:5" x14ac:dyDescent="0.25">
      <c r="B483" s="12" t="str">
        <f ca="1">IFERROR(__xludf.DUMMYFUNCTION("""COMPUTED_VALUE"""),"John A. Davis")</f>
        <v>John A. Davis</v>
      </c>
      <c r="C483" s="12">
        <v>5.95</v>
      </c>
      <c r="D483" s="12">
        <v>0.30399999999999999</v>
      </c>
      <c r="E483" s="12">
        <v>2</v>
      </c>
    </row>
    <row r="484" spans="2:5" x14ac:dyDescent="0.25">
      <c r="B484" s="11" t="str">
        <f ca="1">IFERROR(__xludf.DUMMYFUNCTION("""COMPUTED_VALUE"""),"David Lynch")</f>
        <v>David Lynch</v>
      </c>
      <c r="C484" s="11">
        <v>7.5333333333333341</v>
      </c>
      <c r="D484" s="11">
        <v>0.90800000000000003</v>
      </c>
      <c r="E484" s="11">
        <v>3</v>
      </c>
    </row>
    <row r="485" spans="2:5" x14ac:dyDescent="0.25">
      <c r="B485" s="12" t="str">
        <f ca="1">IFERROR(__xludf.DUMMYFUNCTION("""COMPUTED_VALUE"""),"Julie Taymor")</f>
        <v>Julie Taymor</v>
      </c>
      <c r="C485" s="12">
        <v>6.7333333333333343</v>
      </c>
      <c r="D485" s="12">
        <v>0.626</v>
      </c>
      <c r="E485" s="12">
        <v>3</v>
      </c>
    </row>
    <row r="486" spans="2:5" x14ac:dyDescent="0.25">
      <c r="B486" s="11" t="str">
        <f ca="1">IFERROR(__xludf.DUMMYFUNCTION("""COMPUTED_VALUE"""),"Mathieu Kassovitz")</f>
        <v>Mathieu Kassovitz</v>
      </c>
      <c r="C486" s="11">
        <v>5.6999999999999993</v>
      </c>
      <c r="D486" s="11">
        <v>0.22900000000000001</v>
      </c>
      <c r="E486" s="11">
        <v>2</v>
      </c>
    </row>
    <row r="487" spans="2:5" x14ac:dyDescent="0.25">
      <c r="B487" s="12" t="str">
        <f ca="1">IFERROR(__xludf.DUMMYFUNCTION("""COMPUTED_VALUE"""),"John Gray")</f>
        <v>John Gray</v>
      </c>
      <c r="C487" s="12">
        <v>5.3</v>
      </c>
      <c r="D487" s="12">
        <v>0.13</v>
      </c>
      <c r="E487" s="12">
        <v>1</v>
      </c>
    </row>
    <row r="488" spans="2:5" x14ac:dyDescent="0.25">
      <c r="B488" s="11" t="str">
        <f ca="1">IFERROR(__xludf.DUMMYFUNCTION("""COMPUTED_VALUE"""),"John Schultz")</f>
        <v>John Schultz</v>
      </c>
      <c r="C488" s="11">
        <v>5.3999999999999995</v>
      </c>
      <c r="D488" s="11">
        <v>0.154</v>
      </c>
      <c r="E488" s="11">
        <v>3</v>
      </c>
    </row>
    <row r="489" spans="2:5" x14ac:dyDescent="0.25">
      <c r="B489" s="12" t="str">
        <f ca="1">IFERROR(__xludf.DUMMYFUNCTION("""COMPUTED_VALUE"""),"Sean Penn")</f>
        <v>Sean Penn</v>
      </c>
      <c r="C489" s="12">
        <v>7.5</v>
      </c>
      <c r="D489" s="12">
        <v>0.89300000000000002</v>
      </c>
      <c r="E489" s="12">
        <v>2</v>
      </c>
    </row>
    <row r="490" spans="2:5" x14ac:dyDescent="0.25">
      <c r="B490" s="11" t="str">
        <f ca="1">IFERROR(__xludf.DUMMYFUNCTION("""COMPUTED_VALUE"""),"Susan Stroman")</f>
        <v>Susan Stroman</v>
      </c>
      <c r="C490" s="11">
        <v>6.4</v>
      </c>
      <c r="D490" s="11">
        <v>0.46400000000000002</v>
      </c>
      <c r="E490" s="11">
        <v>1</v>
      </c>
    </row>
    <row r="491" spans="2:5" x14ac:dyDescent="0.25">
      <c r="B491" s="12" t="str">
        <f ca="1">IFERROR(__xludf.DUMMYFUNCTION("""COMPUTED_VALUE"""),"Simon Wincer")</f>
        <v>Simon Wincer</v>
      </c>
      <c r="C491" s="12">
        <v>5.625</v>
      </c>
      <c r="D491" s="12">
        <v>0.22</v>
      </c>
      <c r="E491" s="12">
        <v>4</v>
      </c>
    </row>
    <row r="492" spans="2:5" x14ac:dyDescent="0.25">
      <c r="B492" s="11" t="str">
        <f ca="1">IFERROR(__xludf.DUMMYFUNCTION("""COMPUTED_VALUE"""),"Billy Bob Thornton")</f>
        <v>Billy Bob Thornton</v>
      </c>
      <c r="C492" s="11">
        <v>6.9</v>
      </c>
      <c r="D492" s="11">
        <v>0.68200000000000005</v>
      </c>
      <c r="E492" s="11">
        <v>2</v>
      </c>
    </row>
    <row r="493" spans="2:5" x14ac:dyDescent="0.25">
      <c r="B493" s="12" t="str">
        <f ca="1">IFERROR(__xludf.DUMMYFUNCTION("""COMPUTED_VALUE"""),"Danny Pang")</f>
        <v>Danny Pang</v>
      </c>
      <c r="C493" s="12">
        <v>5.4</v>
      </c>
      <c r="D493" s="12">
        <v>0.155</v>
      </c>
      <c r="E493" s="12">
        <v>1</v>
      </c>
    </row>
    <row r="494" spans="2:5" x14ac:dyDescent="0.25">
      <c r="B494" s="11" t="str">
        <f ca="1">IFERROR(__xludf.DUMMYFUNCTION("""COMPUTED_VALUE"""),"George P. Cosmatos")</f>
        <v>George P. Cosmatos</v>
      </c>
      <c r="C494" s="11">
        <v>6.3666666666666671</v>
      </c>
      <c r="D494" s="11">
        <v>0.45900000000000002</v>
      </c>
      <c r="E494" s="11">
        <v>3</v>
      </c>
    </row>
    <row r="495" spans="2:5" x14ac:dyDescent="0.25">
      <c r="B495" s="12" t="str">
        <f ca="1">IFERROR(__xludf.DUMMYFUNCTION("""COMPUTED_VALUE"""),"Oliver Parker")</f>
        <v>Oliver Parker</v>
      </c>
      <c r="C495" s="12">
        <v>6.7</v>
      </c>
      <c r="D495" s="12">
        <v>0.6</v>
      </c>
      <c r="E495" s="12">
        <v>3</v>
      </c>
    </row>
    <row r="496" spans="2:5" x14ac:dyDescent="0.25">
      <c r="B496" s="11" t="str">
        <f ca="1">IFERROR(__xludf.DUMMYFUNCTION("""COMPUTED_VALUE"""),"Ben Affleck")</f>
        <v>Ben Affleck</v>
      </c>
      <c r="C496" s="11">
        <v>7.65</v>
      </c>
      <c r="D496" s="11">
        <v>0.93300000000000005</v>
      </c>
      <c r="E496" s="11">
        <v>2</v>
      </c>
    </row>
    <row r="497" spans="2:5" x14ac:dyDescent="0.25">
      <c r="B497" s="12" t="str">
        <f ca="1">IFERROR(__xludf.DUMMYFUNCTION("""COMPUTED_VALUE"""),"Brian Gibson")</f>
        <v>Brian Gibson</v>
      </c>
      <c r="C497" s="12">
        <v>5.6</v>
      </c>
      <c r="D497" s="12">
        <v>0.19700000000000001</v>
      </c>
      <c r="E497" s="12">
        <v>1</v>
      </c>
    </row>
    <row r="498" spans="2:5" x14ac:dyDescent="0.25">
      <c r="B498" s="11" t="str">
        <f ca="1">IFERROR(__xludf.DUMMYFUNCTION("""COMPUTED_VALUE"""),"Norman Ferguson")</f>
        <v>Norman Ferguson</v>
      </c>
      <c r="C498" s="11">
        <v>7.5</v>
      </c>
      <c r="D498" s="11">
        <v>0.89300000000000002</v>
      </c>
      <c r="E498" s="11">
        <v>1</v>
      </c>
    </row>
    <row r="499" spans="2:5" x14ac:dyDescent="0.25">
      <c r="B499" s="12" t="str">
        <f ca="1">IFERROR(__xludf.DUMMYFUNCTION("""COMPUTED_VALUE"""),"Michael Cimino")</f>
        <v>Michael Cimino</v>
      </c>
      <c r="C499" s="12">
        <v>6.8</v>
      </c>
      <c r="D499" s="12">
        <v>0.63800000000000001</v>
      </c>
      <c r="E499" s="12">
        <v>1</v>
      </c>
    </row>
    <row r="500" spans="2:5" x14ac:dyDescent="0.25">
      <c r="B500" s="11" t="str">
        <f ca="1">IFERROR(__xludf.DUMMYFUNCTION("""COMPUTED_VALUE"""),"Paul McGuigan")</f>
        <v>Paul McGuigan</v>
      </c>
      <c r="C500" s="11">
        <v>6.9333333333333336</v>
      </c>
      <c r="D500" s="11">
        <v>0.71099999999999997</v>
      </c>
      <c r="E500" s="11">
        <v>3</v>
      </c>
    </row>
    <row r="501" spans="2:5" x14ac:dyDescent="0.25">
      <c r="B501" s="12" t="str">
        <f ca="1">IFERROR(__xludf.DUMMYFUNCTION("""COMPUTED_VALUE"""),"Gus Van Sant")</f>
        <v>Gus Van Sant</v>
      </c>
      <c r="C501" s="12">
        <v>7.1285714285714281</v>
      </c>
      <c r="D501" s="12">
        <v>0.8</v>
      </c>
      <c r="E501" s="12">
        <v>7</v>
      </c>
    </row>
    <row r="502" spans="2:5" x14ac:dyDescent="0.25">
      <c r="B502" s="11" t="str">
        <f ca="1">IFERROR(__xludf.DUMMYFUNCTION("""COMPUTED_VALUE"""),"Roger Kumble")</f>
        <v>Roger Kumble</v>
      </c>
      <c r="C502" s="11">
        <v>5.2666666666666666</v>
      </c>
      <c r="D502" s="11">
        <v>0.128</v>
      </c>
      <c r="E502" s="11">
        <v>3</v>
      </c>
    </row>
    <row r="503" spans="2:5" x14ac:dyDescent="0.25">
      <c r="B503" s="12" t="str">
        <f ca="1">IFERROR(__xludf.DUMMYFUNCTION("""COMPUTED_VALUE"""),"Burr Steers")</f>
        <v>Burr Steers</v>
      </c>
      <c r="C503" s="12">
        <v>6.4249999999999998</v>
      </c>
      <c r="D503" s="12">
        <v>0.48899999999999999</v>
      </c>
      <c r="E503" s="12">
        <v>4</v>
      </c>
    </row>
    <row r="504" spans="2:5" x14ac:dyDescent="0.25">
      <c r="B504" s="11" t="str">
        <f ca="1">IFERROR(__xludf.DUMMYFUNCTION("""COMPUTED_VALUE"""),"John Hamburg")</f>
        <v>John Hamburg</v>
      </c>
      <c r="C504" s="11">
        <v>6.3666666666666671</v>
      </c>
      <c r="D504" s="11">
        <v>0.45900000000000002</v>
      </c>
      <c r="E504" s="11">
        <v>3</v>
      </c>
    </row>
    <row r="505" spans="2:5" x14ac:dyDescent="0.25">
      <c r="B505" s="12" t="str">
        <f ca="1">IFERROR(__xludf.DUMMYFUNCTION("""COMPUTED_VALUE"""),"Reginald Hudlin")</f>
        <v>Reginald Hudlin</v>
      </c>
      <c r="C505" s="12">
        <v>5.2666666666666666</v>
      </c>
      <c r="D505" s="12">
        <v>0.128</v>
      </c>
      <c r="E505" s="12">
        <v>3</v>
      </c>
    </row>
    <row r="506" spans="2:5" x14ac:dyDescent="0.25">
      <c r="B506" s="11" t="str">
        <f ca="1">IFERROR(__xludf.DUMMYFUNCTION("""COMPUTED_VALUE"""),"Joseph L. Mankiewicz")</f>
        <v>Joseph L. Mankiewicz</v>
      </c>
      <c r="C506" s="11">
        <v>7</v>
      </c>
      <c r="D506" s="11">
        <v>0.72299999999999998</v>
      </c>
      <c r="E506" s="11">
        <v>1</v>
      </c>
    </row>
    <row r="507" spans="2:5" x14ac:dyDescent="0.25">
      <c r="B507" s="12" t="str">
        <f ca="1">IFERROR(__xludf.DUMMYFUNCTION("""COMPUTED_VALUE"""),"Barbra Streisand")</f>
        <v>Barbra Streisand</v>
      </c>
      <c r="C507" s="12">
        <v>6.5666666666666664</v>
      </c>
      <c r="D507" s="12">
        <v>0.54900000000000004</v>
      </c>
      <c r="E507" s="12">
        <v>3</v>
      </c>
    </row>
    <row r="508" spans="2:5" x14ac:dyDescent="0.25">
      <c r="B508" s="11" t="str">
        <f ca="1">IFERROR(__xludf.DUMMYFUNCTION("""COMPUTED_VALUE"""),"Mark Pellington")</f>
        <v>Mark Pellington</v>
      </c>
      <c r="C508" s="11">
        <v>6.85</v>
      </c>
      <c r="D508" s="11">
        <v>0.66800000000000004</v>
      </c>
      <c r="E508" s="11">
        <v>2</v>
      </c>
    </row>
    <row r="509" spans="2:5" x14ac:dyDescent="0.25">
      <c r="B509" s="12" t="str">
        <f ca="1">IFERROR(__xludf.DUMMYFUNCTION("""COMPUTED_VALUE"""),"John Glen")</f>
        <v>John Glen</v>
      </c>
      <c r="C509" s="12">
        <v>6.6</v>
      </c>
      <c r="D509" s="12">
        <v>0.55300000000000005</v>
      </c>
      <c r="E509" s="12">
        <v>5</v>
      </c>
    </row>
    <row r="510" spans="2:5" x14ac:dyDescent="0.25">
      <c r="B510" s="11" t="str">
        <f ca="1">IFERROR(__xludf.DUMMYFUNCTION("""COMPUTED_VALUE"""),"Catherine Hardwicke")</f>
        <v>Catherine Hardwicke</v>
      </c>
      <c r="C510" s="11">
        <v>6.26</v>
      </c>
      <c r="D510" s="11">
        <v>0.42</v>
      </c>
      <c r="E510" s="11">
        <v>5</v>
      </c>
    </row>
    <row r="511" spans="2:5" x14ac:dyDescent="0.25">
      <c r="B511" s="12" t="str">
        <f ca="1">IFERROR(__xludf.DUMMYFUNCTION("""COMPUTED_VALUE"""),"John Herzfeld")</f>
        <v>John Herzfeld</v>
      </c>
      <c r="C511" s="12">
        <v>6.1</v>
      </c>
      <c r="D511" s="12">
        <v>0.35099999999999998</v>
      </c>
      <c r="E511" s="12">
        <v>1</v>
      </c>
    </row>
    <row r="512" spans="2:5" x14ac:dyDescent="0.25">
      <c r="B512" s="11" t="str">
        <f ca="1">IFERROR(__xludf.DUMMYFUNCTION("""COMPUTED_VALUE"""),"Annabel Jankel")</f>
        <v>Annabel Jankel</v>
      </c>
      <c r="C512" s="11">
        <v>4</v>
      </c>
      <c r="D512" s="11">
        <v>3.1E-2</v>
      </c>
      <c r="E512" s="11">
        <v>1</v>
      </c>
    </row>
    <row r="513" spans="2:5" x14ac:dyDescent="0.25">
      <c r="B513" s="12" t="str">
        <f ca="1">IFERROR(__xludf.DUMMYFUNCTION("""COMPUTED_VALUE"""),"Julie Anne Robinson")</f>
        <v>Julie Anne Robinson</v>
      </c>
      <c r="C513" s="12">
        <v>5.55</v>
      </c>
      <c r="D513" s="12">
        <v>0.19400000000000001</v>
      </c>
      <c r="E513" s="12">
        <v>2</v>
      </c>
    </row>
    <row r="514" spans="2:5" x14ac:dyDescent="0.25">
      <c r="B514" s="11" t="str">
        <f ca="1">IFERROR(__xludf.DUMMYFUNCTION("""COMPUTED_VALUE"""),"Evan Goldberg")</f>
        <v>Evan Goldberg</v>
      </c>
      <c r="C514" s="11">
        <v>6.65</v>
      </c>
      <c r="D514" s="11">
        <v>0.58699999999999997</v>
      </c>
      <c r="E514" s="11">
        <v>2</v>
      </c>
    </row>
    <row r="515" spans="2:5" x14ac:dyDescent="0.25">
      <c r="B515" s="12" t="str">
        <f ca="1">IFERROR(__xludf.DUMMYFUNCTION("""COMPUTED_VALUE"""),"Sngmoo Lee")</f>
        <v>Sngmoo Lee</v>
      </c>
      <c r="C515" s="12">
        <v>6.3</v>
      </c>
      <c r="D515" s="12">
        <v>0.42299999999999999</v>
      </c>
      <c r="E515" s="12">
        <v>1</v>
      </c>
    </row>
    <row r="516" spans="2:5" x14ac:dyDescent="0.25">
      <c r="B516" s="11" t="str">
        <f ca="1">IFERROR(__xludf.DUMMYFUNCTION("""COMPUTED_VALUE"""),"Gordon Chan")</f>
        <v>Gordon Chan</v>
      </c>
      <c r="C516" s="11">
        <v>5.2</v>
      </c>
      <c r="D516" s="11">
        <v>0.113</v>
      </c>
      <c r="E516" s="11">
        <v>1</v>
      </c>
    </row>
    <row r="517" spans="2:5" x14ac:dyDescent="0.25">
      <c r="B517" s="12" t="str">
        <f ca="1">IFERROR(__xludf.DUMMYFUNCTION("""COMPUTED_VALUE"""),"Asger Leth")</f>
        <v>Asger Leth</v>
      </c>
      <c r="C517" s="12">
        <v>6.6</v>
      </c>
      <c r="D517" s="12">
        <v>0.55300000000000005</v>
      </c>
      <c r="E517" s="12">
        <v>1</v>
      </c>
    </row>
    <row r="518" spans="2:5" x14ac:dyDescent="0.25">
      <c r="B518" s="11" t="str">
        <f ca="1">IFERROR(__xludf.DUMMYFUNCTION("""COMPUTED_VALUE"""),"John G. Avildsen")</f>
        <v>John G. Avildsen</v>
      </c>
      <c r="C518" s="11">
        <v>7.65</v>
      </c>
      <c r="D518" s="11">
        <v>0.93300000000000005</v>
      </c>
      <c r="E518" s="11">
        <v>2</v>
      </c>
    </row>
    <row r="519" spans="2:5" x14ac:dyDescent="0.25">
      <c r="B519" s="12" t="str">
        <f ca="1">IFERROR(__xludf.DUMMYFUNCTION("""COMPUTED_VALUE"""),"Anne Fletcher")</f>
        <v>Anne Fletcher</v>
      </c>
      <c r="C519" s="12">
        <v>6.0400000000000009</v>
      </c>
      <c r="D519" s="12">
        <v>0.33800000000000002</v>
      </c>
      <c r="E519" s="12">
        <v>5</v>
      </c>
    </row>
    <row r="520" spans="2:5" x14ac:dyDescent="0.25">
      <c r="B520" s="11" t="str">
        <f ca="1">IFERROR(__xludf.DUMMYFUNCTION("""COMPUTED_VALUE"""),"Bruce Beresford")</f>
        <v>Bruce Beresford</v>
      </c>
      <c r="C520" s="11">
        <v>6.9</v>
      </c>
      <c r="D520" s="11">
        <v>0.68200000000000005</v>
      </c>
      <c r="E520" s="11">
        <v>2</v>
      </c>
    </row>
    <row r="521" spans="2:5" x14ac:dyDescent="0.25">
      <c r="B521" s="12" t="str">
        <f ca="1">IFERROR(__xludf.DUMMYFUNCTION("""COMPUTED_VALUE"""),"Sam Taylor-Johnson")</f>
        <v>Sam Taylor-Johnson</v>
      </c>
      <c r="C521" s="12">
        <v>4.0999999999999996</v>
      </c>
      <c r="D521" s="12">
        <v>3.5000000000000003E-2</v>
      </c>
      <c r="E521" s="12">
        <v>1</v>
      </c>
    </row>
    <row r="522" spans="2:5" x14ac:dyDescent="0.25">
      <c r="B522" s="11" t="str">
        <f ca="1">IFERROR(__xludf.DUMMYFUNCTION("""COMPUTED_VALUE"""),"Ken Kwapis")</f>
        <v>Ken Kwapis</v>
      </c>
      <c r="C522" s="11">
        <v>6.1999999999999993</v>
      </c>
      <c r="D522" s="11">
        <v>0.38900000000000001</v>
      </c>
      <c r="E522" s="11">
        <v>4</v>
      </c>
    </row>
    <row r="523" spans="2:5" x14ac:dyDescent="0.25">
      <c r="B523" s="12" t="str">
        <f ca="1">IFERROR(__xludf.DUMMYFUNCTION("""COMPUTED_VALUE"""),"Wes Craven")</f>
        <v>Wes Craven</v>
      </c>
      <c r="C523" s="12">
        <v>5.9700000000000006</v>
      </c>
      <c r="D523" s="12">
        <v>0.311</v>
      </c>
      <c r="E523" s="12">
        <v>10</v>
      </c>
    </row>
    <row r="524" spans="2:5" x14ac:dyDescent="0.25">
      <c r="B524" s="11" t="str">
        <f ca="1">IFERROR(__xludf.DUMMYFUNCTION("""COMPUTED_VALUE"""),"Etan Cohen")</f>
        <v>Etan Cohen</v>
      </c>
      <c r="C524" s="11">
        <v>6</v>
      </c>
      <c r="D524" s="11">
        <v>0.312</v>
      </c>
      <c r="E524" s="11">
        <v>1</v>
      </c>
    </row>
    <row r="525" spans="2:5" x14ac:dyDescent="0.25">
      <c r="B525" s="12" t="str">
        <f ca="1">IFERROR(__xludf.DUMMYFUNCTION("""COMPUTED_VALUE"""),"John Whitesell")</f>
        <v>John Whitesell</v>
      </c>
      <c r="C525" s="12">
        <v>4.875</v>
      </c>
      <c r="D525" s="12">
        <v>8.2000000000000003E-2</v>
      </c>
      <c r="E525" s="12">
        <v>4</v>
      </c>
    </row>
    <row r="526" spans="2:5" x14ac:dyDescent="0.25">
      <c r="B526" s="11" t="str">
        <f ca="1">IFERROR(__xludf.DUMMYFUNCTION("""COMPUTED_VALUE"""),"Nick Cassavetes")</f>
        <v>Nick Cassavetes</v>
      </c>
      <c r="C526" s="11">
        <v>7.0749999999999993</v>
      </c>
      <c r="D526" s="11">
        <v>0.76900000000000002</v>
      </c>
      <c r="E526" s="11">
        <v>4</v>
      </c>
    </row>
    <row r="527" spans="2:5" x14ac:dyDescent="0.25">
      <c r="B527" s="12" t="str">
        <f ca="1">IFERROR(__xludf.DUMMYFUNCTION("""COMPUTED_VALUE"""),"Mark A.Z. Dippé")</f>
        <v>Mark A.Z. Dippé</v>
      </c>
      <c r="C527" s="12">
        <v>5.2</v>
      </c>
      <c r="D527" s="12">
        <v>0.113</v>
      </c>
      <c r="E527" s="12">
        <v>1</v>
      </c>
    </row>
    <row r="528" spans="2:5" x14ac:dyDescent="0.25">
      <c r="B528" s="11" t="str">
        <f ca="1">IFERROR(__xludf.DUMMYFUNCTION("""COMPUTED_VALUE"""),"Cal Brunker")</f>
        <v>Cal Brunker</v>
      </c>
      <c r="C528" s="11">
        <v>5.9</v>
      </c>
      <c r="D528" s="11">
        <v>0.27100000000000002</v>
      </c>
      <c r="E528" s="11">
        <v>1</v>
      </c>
    </row>
    <row r="529" spans="2:5" x14ac:dyDescent="0.25">
      <c r="B529" s="12" t="str">
        <f ca="1">IFERROR(__xludf.DUMMYFUNCTION("""COMPUTED_VALUE"""),"Nimród Antal")</f>
        <v>Nimród Antal</v>
      </c>
      <c r="C529" s="12">
        <v>6.0500000000000007</v>
      </c>
      <c r="D529" s="12">
        <v>0.34399999999999997</v>
      </c>
      <c r="E529" s="12">
        <v>2</v>
      </c>
    </row>
    <row r="530" spans="2:5" x14ac:dyDescent="0.25">
      <c r="B530" s="11" t="str">
        <f ca="1">IFERROR(__xludf.DUMMYFUNCTION("""COMPUTED_VALUE"""),"Alejandro Agresti")</f>
        <v>Alejandro Agresti</v>
      </c>
      <c r="C530" s="11">
        <v>6.8</v>
      </c>
      <c r="D530" s="11">
        <v>0.63800000000000001</v>
      </c>
      <c r="E530" s="11">
        <v>1</v>
      </c>
    </row>
    <row r="531" spans="2:5" x14ac:dyDescent="0.25">
      <c r="B531" s="12" t="str">
        <f ca="1">IFERROR(__xludf.DUMMYFUNCTION("""COMPUTED_VALUE"""),"Peter Hedges")</f>
        <v>Peter Hedges</v>
      </c>
      <c r="C531" s="12">
        <v>6.85</v>
      </c>
      <c r="D531" s="12">
        <v>0.66800000000000004</v>
      </c>
      <c r="E531" s="12">
        <v>2</v>
      </c>
    </row>
    <row r="532" spans="2:5" x14ac:dyDescent="0.25">
      <c r="B532" s="11" t="str">
        <f ca="1">IFERROR(__xludf.DUMMYFUNCTION("""COMPUTED_VALUE"""),"Paul Weiland")</f>
        <v>Paul Weiland</v>
      </c>
      <c r="C532" s="11">
        <v>5.8</v>
      </c>
      <c r="D532" s="11">
        <v>0.251</v>
      </c>
      <c r="E532" s="11">
        <v>1</v>
      </c>
    </row>
    <row r="533" spans="2:5" x14ac:dyDescent="0.25">
      <c r="B533" s="12" t="str">
        <f ca="1">IFERROR(__xludf.DUMMYFUNCTION("""COMPUTED_VALUE"""),"Colin Strause")</f>
        <v>Colin Strause</v>
      </c>
      <c r="C533" s="12">
        <v>4.5500000000000007</v>
      </c>
      <c r="D533" s="12">
        <v>5.8000000000000003E-2</v>
      </c>
      <c r="E533" s="12">
        <v>2</v>
      </c>
    </row>
    <row r="534" spans="2:5" x14ac:dyDescent="0.25">
      <c r="B534" s="11" t="str">
        <f ca="1">IFERROR(__xludf.DUMMYFUNCTION("""COMPUTED_VALUE"""),"Joan Chen")</f>
        <v>Joan Chen</v>
      </c>
      <c r="C534" s="11">
        <v>5.5</v>
      </c>
      <c r="D534" s="11">
        <v>0.17699999999999999</v>
      </c>
      <c r="E534" s="11">
        <v>1</v>
      </c>
    </row>
    <row r="535" spans="2:5" x14ac:dyDescent="0.25">
      <c r="B535" s="12" t="str">
        <f ca="1">IFERROR(__xludf.DUMMYFUNCTION("""COMPUTED_VALUE"""),"Greg Mottola")</f>
        <v>Greg Mottola</v>
      </c>
      <c r="C535" s="12">
        <v>7.3</v>
      </c>
      <c r="D535" s="12">
        <v>0.84899999999999998</v>
      </c>
      <c r="E535" s="12">
        <v>2</v>
      </c>
    </row>
    <row r="536" spans="2:5" x14ac:dyDescent="0.25">
      <c r="B536" s="11" t="str">
        <f ca="1">IFERROR(__xludf.DUMMYFUNCTION("""COMPUTED_VALUE"""),"Jake Kasdan")</f>
        <v>Jake Kasdan</v>
      </c>
      <c r="C536" s="11">
        <v>6.125</v>
      </c>
      <c r="D536" s="11">
        <v>0.38</v>
      </c>
      <c r="E536" s="11">
        <v>4</v>
      </c>
    </row>
    <row r="537" spans="2:5" x14ac:dyDescent="0.25">
      <c r="B537" s="12" t="str">
        <f ca="1">IFERROR(__xludf.DUMMYFUNCTION("""COMPUTED_VALUE"""),"Diane Keaton")</f>
        <v>Diane Keaton</v>
      </c>
      <c r="C537" s="12">
        <v>4.7</v>
      </c>
      <c r="D537" s="12">
        <v>6.6000000000000003E-2</v>
      </c>
      <c r="E537" s="12">
        <v>1</v>
      </c>
    </row>
    <row r="538" spans="2:5" x14ac:dyDescent="0.25">
      <c r="B538" s="11" t="str">
        <f ca="1">IFERROR(__xludf.DUMMYFUNCTION("""COMPUTED_VALUE"""),"Kelly Makin")</f>
        <v>Kelly Makin</v>
      </c>
      <c r="C538" s="11">
        <v>5.8</v>
      </c>
      <c r="D538" s="11">
        <v>0.251</v>
      </c>
      <c r="E538" s="11">
        <v>1</v>
      </c>
    </row>
    <row r="539" spans="2:5" x14ac:dyDescent="0.25">
      <c r="B539" s="12" t="str">
        <f ca="1">IFERROR(__xludf.DUMMYFUNCTION("""COMPUTED_VALUE"""),"Stephen Daldry")</f>
        <v>Stephen Daldry</v>
      </c>
      <c r="C539" s="12">
        <v>7.45</v>
      </c>
      <c r="D539" s="12">
        <v>0.88900000000000001</v>
      </c>
      <c r="E539" s="12">
        <v>4</v>
      </c>
    </row>
    <row r="540" spans="2:5" x14ac:dyDescent="0.25">
      <c r="B540" s="11" t="str">
        <f ca="1">IFERROR(__xludf.DUMMYFUNCTION("""COMPUTED_VALUE"""),"Christian Duguay")</f>
        <v>Christian Duguay</v>
      </c>
      <c r="C540" s="11">
        <v>5.0999999999999996</v>
      </c>
      <c r="D540" s="11">
        <v>9.7000000000000003E-2</v>
      </c>
      <c r="E540" s="11">
        <v>2</v>
      </c>
    </row>
    <row r="541" spans="2:5" x14ac:dyDescent="0.25">
      <c r="B541" s="12" t="str">
        <f ca="1">IFERROR(__xludf.DUMMYFUNCTION("""COMPUTED_VALUE"""),"Justin Chadwick")</f>
        <v>Justin Chadwick</v>
      </c>
      <c r="C541" s="12">
        <v>6.9</v>
      </c>
      <c r="D541" s="12">
        <v>0.68200000000000005</v>
      </c>
      <c r="E541" s="12">
        <v>2</v>
      </c>
    </row>
    <row r="542" spans="2:5" x14ac:dyDescent="0.25">
      <c r="B542" s="11" t="str">
        <f ca="1">IFERROR(__xludf.DUMMYFUNCTION("""COMPUTED_VALUE"""),"Pat O'Connor")</f>
        <v>Pat O'Connor</v>
      </c>
      <c r="C542" s="11">
        <v>6.7</v>
      </c>
      <c r="D542" s="11">
        <v>0.6</v>
      </c>
      <c r="E542" s="11">
        <v>1</v>
      </c>
    </row>
    <row r="543" spans="2:5" x14ac:dyDescent="0.25">
      <c r="B543" s="12" t="str">
        <f ca="1">IFERROR(__xludf.DUMMYFUNCTION("""COMPUTED_VALUE"""),"Frederik Du Chau")</f>
        <v>Frederik Du Chau</v>
      </c>
      <c r="C543" s="12">
        <v>6.2</v>
      </c>
      <c r="D543" s="12">
        <v>0.39100000000000001</v>
      </c>
      <c r="E543" s="12">
        <v>1</v>
      </c>
    </row>
    <row r="544" spans="2:5" x14ac:dyDescent="0.25">
      <c r="B544" s="11" t="str">
        <f ca="1">IFERROR(__xludf.DUMMYFUNCTION("""COMPUTED_VALUE"""),"Irwin Winkler")</f>
        <v>Irwin Winkler</v>
      </c>
      <c r="C544" s="11">
        <v>6.4499999999999993</v>
      </c>
      <c r="D544" s="11">
        <v>0.49199999999999999</v>
      </c>
      <c r="E544" s="11">
        <v>4</v>
      </c>
    </row>
    <row r="545" spans="2:5" x14ac:dyDescent="0.25">
      <c r="B545" s="12" t="str">
        <f ca="1">IFERROR(__xludf.DUMMYFUNCTION("""COMPUTED_VALUE"""),"Joseph Kahn")</f>
        <v>Joseph Kahn</v>
      </c>
      <c r="C545" s="12">
        <v>4</v>
      </c>
      <c r="D545" s="12">
        <v>3.1E-2</v>
      </c>
      <c r="E545" s="12">
        <v>1</v>
      </c>
    </row>
    <row r="546" spans="2:5" x14ac:dyDescent="0.25">
      <c r="B546" s="11" t="str">
        <f ca="1">IFERROR(__xludf.DUMMYFUNCTION("""COMPUTED_VALUE"""),"Sofia Coppola")</f>
        <v>Sofia Coppola</v>
      </c>
      <c r="C546" s="11">
        <v>6.9249999999999998</v>
      </c>
      <c r="D546" s="11">
        <v>0.70799999999999996</v>
      </c>
      <c r="E546" s="11">
        <v>4</v>
      </c>
    </row>
    <row r="547" spans="2:5" x14ac:dyDescent="0.25">
      <c r="B547" s="12" t="str">
        <f ca="1">IFERROR(__xludf.DUMMYFUNCTION("""COMPUTED_VALUE"""),"Stephen Kay")</f>
        <v>Stephen Kay</v>
      </c>
      <c r="C547" s="12">
        <v>5</v>
      </c>
      <c r="D547" s="12">
        <v>8.6999999999999994E-2</v>
      </c>
      <c r="E547" s="12">
        <v>3</v>
      </c>
    </row>
    <row r="548" spans="2:5" x14ac:dyDescent="0.25">
      <c r="B548" s="11" t="str">
        <f ca="1">IFERROR(__xludf.DUMMYFUNCTION("""COMPUTED_VALUE"""),"J.A. Bayona")</f>
        <v>J.A. Bayona</v>
      </c>
      <c r="C548" s="11">
        <v>7.55</v>
      </c>
      <c r="D548" s="11">
        <v>0.90900000000000003</v>
      </c>
      <c r="E548" s="11">
        <v>2</v>
      </c>
    </row>
    <row r="549" spans="2:5" x14ac:dyDescent="0.25">
      <c r="B549" s="12" t="str">
        <f ca="1">IFERROR(__xludf.DUMMYFUNCTION("""COMPUTED_VALUE"""),"Elaine May")</f>
        <v>Elaine May</v>
      </c>
      <c r="C549" s="12">
        <v>4.2</v>
      </c>
      <c r="D549" s="12">
        <v>4.2999999999999997E-2</v>
      </c>
      <c r="E549" s="12">
        <v>1</v>
      </c>
    </row>
    <row r="550" spans="2:5" x14ac:dyDescent="0.25">
      <c r="B550" s="11" t="str">
        <f ca="1">IFERROR(__xludf.DUMMYFUNCTION("""COMPUTED_VALUE"""),"Dennie Gordon")</f>
        <v>Dennie Gordon</v>
      </c>
      <c r="C550" s="11">
        <v>5.5</v>
      </c>
      <c r="D550" s="11">
        <v>0.17699999999999999</v>
      </c>
      <c r="E550" s="11">
        <v>3</v>
      </c>
    </row>
    <row r="551" spans="2:5" x14ac:dyDescent="0.25">
      <c r="B551" s="12" t="str">
        <f ca="1">IFERROR(__xludf.DUMMYFUNCTION("""COMPUTED_VALUE"""),"Charles Shyer")</f>
        <v>Charles Shyer</v>
      </c>
      <c r="C551" s="12">
        <v>6.2</v>
      </c>
      <c r="D551" s="12">
        <v>0.39100000000000001</v>
      </c>
      <c r="E551" s="12">
        <v>1</v>
      </c>
    </row>
    <row r="552" spans="2:5" x14ac:dyDescent="0.25">
      <c r="B552" s="11" t="str">
        <f ca="1">IFERROR(__xludf.DUMMYFUNCTION("""COMPUTED_VALUE"""),"Ulu Grosbard")</f>
        <v>Ulu Grosbard</v>
      </c>
      <c r="C552" s="11">
        <v>6.3</v>
      </c>
      <c r="D552" s="11">
        <v>0.42299999999999999</v>
      </c>
      <c r="E552" s="11">
        <v>1</v>
      </c>
    </row>
    <row r="553" spans="2:5" x14ac:dyDescent="0.25">
      <c r="B553" s="12" t="str">
        <f ca="1">IFERROR(__xludf.DUMMYFUNCTION("""COMPUTED_VALUE"""),"William Malone")</f>
        <v>William Malone</v>
      </c>
      <c r="C553" s="12">
        <v>4.4499999999999993</v>
      </c>
      <c r="D553" s="12">
        <v>5.3999999999999999E-2</v>
      </c>
      <c r="E553" s="12">
        <v>2</v>
      </c>
    </row>
    <row r="554" spans="2:5" x14ac:dyDescent="0.25">
      <c r="B554" s="11" t="str">
        <f ca="1">IFERROR(__xludf.DUMMYFUNCTION("""COMPUTED_VALUE"""),"Jerry Jameson")</f>
        <v>Jerry Jameson</v>
      </c>
      <c r="C554" s="11">
        <v>5</v>
      </c>
      <c r="D554" s="11">
        <v>8.6999999999999994E-2</v>
      </c>
      <c r="E554" s="11">
        <v>2</v>
      </c>
    </row>
    <row r="555" spans="2:5" x14ac:dyDescent="0.25">
      <c r="B555" s="12" t="str">
        <f ca="1">IFERROR(__xludf.DUMMYFUNCTION("""COMPUTED_VALUE"""),"Mic Rodgers")</f>
        <v>Mic Rodgers</v>
      </c>
      <c r="C555" s="12">
        <v>4.0999999999999996</v>
      </c>
      <c r="D555" s="12">
        <v>3.5000000000000003E-2</v>
      </c>
      <c r="E555" s="12">
        <v>1</v>
      </c>
    </row>
    <row r="556" spans="2:5" x14ac:dyDescent="0.25">
      <c r="B556" s="11" t="str">
        <f ca="1">IFERROR(__xludf.DUMMYFUNCTION("""COMPUTED_VALUE"""),"Christian Alvart")</f>
        <v>Christian Alvart</v>
      </c>
      <c r="C556" s="11">
        <v>6.5</v>
      </c>
      <c r="D556" s="11">
        <v>0.504</v>
      </c>
      <c r="E556" s="11">
        <v>2</v>
      </c>
    </row>
    <row r="557" spans="2:5" x14ac:dyDescent="0.25">
      <c r="B557" s="12" t="str">
        <f ca="1">IFERROR(__xludf.DUMMYFUNCTION("""COMPUTED_VALUE"""),"Jean-Marie Poiré")</f>
        <v>Jean-Marie Poiré</v>
      </c>
      <c r="C557" s="12">
        <v>6.2666666666666666</v>
      </c>
      <c r="D557" s="12">
        <v>0.42099999999999999</v>
      </c>
      <c r="E557" s="12">
        <v>3</v>
      </c>
    </row>
    <row r="558" spans="2:5" x14ac:dyDescent="0.25">
      <c r="B558" s="11" t="str">
        <f ca="1">IFERROR(__xludf.DUMMYFUNCTION("""COMPUTED_VALUE"""),"Marc F. Adler")</f>
        <v>Marc F. Adler</v>
      </c>
      <c r="C558" s="11">
        <v>4.4000000000000004</v>
      </c>
      <c r="D558" s="11">
        <v>0.05</v>
      </c>
      <c r="E558" s="11">
        <v>1</v>
      </c>
    </row>
    <row r="559" spans="2:5" x14ac:dyDescent="0.25">
      <c r="B559" s="12" t="str">
        <f ca="1">IFERROR(__xludf.DUMMYFUNCTION("""COMPUTED_VALUE"""),"Geoffrey Sax")</f>
        <v>Geoffrey Sax</v>
      </c>
      <c r="C559" s="12">
        <v>5.3</v>
      </c>
      <c r="D559" s="12">
        <v>0.13</v>
      </c>
      <c r="E559" s="12">
        <v>2</v>
      </c>
    </row>
    <row r="560" spans="2:5" x14ac:dyDescent="0.25">
      <c r="B560" s="11" t="str">
        <f ca="1">IFERROR(__xludf.DUMMYFUNCTION("""COMPUTED_VALUE"""),"Richard Shepard")</f>
        <v>Richard Shepard</v>
      </c>
      <c r="C560" s="11">
        <v>6.85</v>
      </c>
      <c r="D560" s="11">
        <v>0.66800000000000004</v>
      </c>
      <c r="E560" s="11">
        <v>2</v>
      </c>
    </row>
    <row r="561" spans="2:5" x14ac:dyDescent="0.25">
      <c r="B561" s="12" t="str">
        <f ca="1">IFERROR(__xludf.DUMMYFUNCTION("""COMPUTED_VALUE"""),"Peter Ho-Sun Chan")</f>
        <v>Peter Ho-Sun Chan</v>
      </c>
      <c r="C561" s="12">
        <v>7.1</v>
      </c>
      <c r="D561" s="12">
        <v>0.77200000000000002</v>
      </c>
      <c r="E561" s="12">
        <v>1</v>
      </c>
    </row>
    <row r="562" spans="2:5" x14ac:dyDescent="0.25">
      <c r="B562" s="11" t="str">
        <f ca="1">IFERROR(__xludf.DUMMYFUNCTION("""COMPUTED_VALUE"""),"Joon-ho Bong")</f>
        <v>Joon-ho Bong</v>
      </c>
      <c r="C562" s="11">
        <v>7</v>
      </c>
      <c r="D562" s="11">
        <v>0.72299999999999998</v>
      </c>
      <c r="E562" s="11">
        <v>2</v>
      </c>
    </row>
    <row r="563" spans="2:5" x14ac:dyDescent="0.25">
      <c r="B563" s="12" t="str">
        <f ca="1">IFERROR(__xludf.DUMMYFUNCTION("""COMPUTED_VALUE"""),"S.S. Rajamouli")</f>
        <v>S.S. Rajamouli</v>
      </c>
      <c r="C563" s="12">
        <v>8.4</v>
      </c>
      <c r="D563" s="12">
        <v>0.99299999999999999</v>
      </c>
      <c r="E563" s="12">
        <v>1</v>
      </c>
    </row>
    <row r="564" spans="2:5" x14ac:dyDescent="0.25">
      <c r="B564" s="11" t="str">
        <f ca="1">IFERROR(__xludf.DUMMYFUNCTION("""COMPUTED_VALUE"""),"Charles S. Dutton")</f>
        <v>Charles S. Dutton</v>
      </c>
      <c r="C564" s="11">
        <v>5.3</v>
      </c>
      <c r="D564" s="11">
        <v>0.13</v>
      </c>
      <c r="E564" s="11">
        <v>1</v>
      </c>
    </row>
    <row r="565" spans="2:5" x14ac:dyDescent="0.25">
      <c r="B565" s="12" t="str">
        <f ca="1">IFERROR(__xludf.DUMMYFUNCTION("""COMPUTED_VALUE"""),"Jonathan Lynn")</f>
        <v>Jonathan Lynn</v>
      </c>
      <c r="C565" s="12">
        <v>6.6999999999999993</v>
      </c>
      <c r="D565" s="12">
        <v>0.59899999999999998</v>
      </c>
      <c r="E565" s="12">
        <v>4</v>
      </c>
    </row>
    <row r="566" spans="2:5" x14ac:dyDescent="0.25">
      <c r="B566" s="11" t="str">
        <f ca="1">IFERROR(__xludf.DUMMYFUNCTION("""COMPUTED_VALUE"""),"David Carson")</f>
        <v>David Carson</v>
      </c>
      <c r="C566" s="11">
        <v>6.6</v>
      </c>
      <c r="D566" s="11">
        <v>0.55300000000000005</v>
      </c>
      <c r="E566" s="11">
        <v>1</v>
      </c>
    </row>
    <row r="567" spans="2:5" x14ac:dyDescent="0.25">
      <c r="B567" s="12" t="str">
        <f ca="1">IFERROR(__xludf.DUMMYFUNCTION("""COMPUTED_VALUE"""),"Kar-Wai Wong")</f>
        <v>Kar-Wai Wong</v>
      </c>
      <c r="C567" s="12">
        <v>6.8999999999999995</v>
      </c>
      <c r="D567" s="12">
        <v>0.68</v>
      </c>
      <c r="E567" s="12">
        <v>3</v>
      </c>
    </row>
    <row r="568" spans="2:5" x14ac:dyDescent="0.25">
      <c r="B568" s="11" t="str">
        <f ca="1">IFERROR(__xludf.DUMMYFUNCTION("""COMPUTED_VALUE"""),"Norman Jewison")</f>
        <v>Norman Jewison</v>
      </c>
      <c r="C568" s="11">
        <v>6.7749999999999995</v>
      </c>
      <c r="D568" s="11">
        <v>0.63500000000000001</v>
      </c>
      <c r="E568" s="11">
        <v>4</v>
      </c>
    </row>
    <row r="569" spans="2:5" x14ac:dyDescent="0.25">
      <c r="B569" s="12" t="str">
        <f ca="1">IFERROR(__xludf.DUMMYFUNCTION("""COMPUTED_VALUE"""),"David Mirkin")</f>
        <v>David Mirkin</v>
      </c>
      <c r="C569" s="12">
        <v>6.2</v>
      </c>
      <c r="D569" s="12">
        <v>0.39100000000000001</v>
      </c>
      <c r="E569" s="12">
        <v>1</v>
      </c>
    </row>
    <row r="570" spans="2:5" x14ac:dyDescent="0.25">
      <c r="B570" s="11" t="str">
        <f ca="1">IFERROR(__xludf.DUMMYFUNCTION("""COMPUTED_VALUE"""),"Luis Mandoki")</f>
        <v>Luis Mandoki</v>
      </c>
      <c r="C570" s="11">
        <v>5.85</v>
      </c>
      <c r="D570" s="11">
        <v>0.26800000000000002</v>
      </c>
      <c r="E570" s="11">
        <v>2</v>
      </c>
    </row>
    <row r="571" spans="2:5" x14ac:dyDescent="0.25">
      <c r="B571" s="12" t="str">
        <f ca="1">IFERROR(__xludf.DUMMYFUNCTION("""COMPUTED_VALUE"""),"Lee Daniels")</f>
        <v>Lee Daniels</v>
      </c>
      <c r="C571" s="12">
        <v>7.25</v>
      </c>
      <c r="D571" s="12">
        <v>0.84399999999999997</v>
      </c>
      <c r="E571" s="12">
        <v>2</v>
      </c>
    </row>
    <row r="572" spans="2:5" x14ac:dyDescent="0.25">
      <c r="B572" s="11" t="str">
        <f ca="1">IFERROR(__xludf.DUMMYFUNCTION("""COMPUTED_VALUE"""),"Jeb Stuart")</f>
        <v>Jeb Stuart</v>
      </c>
      <c r="C572" s="11">
        <v>6.4</v>
      </c>
      <c r="D572" s="11">
        <v>0.46400000000000002</v>
      </c>
      <c r="E572" s="11">
        <v>1</v>
      </c>
    </row>
    <row r="573" spans="2:5" x14ac:dyDescent="0.25">
      <c r="B573" s="12" t="str">
        <f ca="1">IFERROR(__xludf.DUMMYFUNCTION("""COMPUTED_VALUE"""),"Steve Miner")</f>
        <v>Steve Miner</v>
      </c>
      <c r="C573" s="12">
        <v>5.76</v>
      </c>
      <c r="D573" s="12">
        <v>0.248</v>
      </c>
      <c r="E573" s="12">
        <v>5</v>
      </c>
    </row>
    <row r="574" spans="2:5" x14ac:dyDescent="0.25">
      <c r="B574" s="11" t="str">
        <f ca="1">IFERROR(__xludf.DUMMYFUNCTION("""COMPUTED_VALUE"""),"Paul Thomas Anderson")</f>
        <v>Paul Thomas Anderson</v>
      </c>
      <c r="C574" s="11">
        <v>7.5166666666666666</v>
      </c>
      <c r="D574" s="11">
        <v>0.90700000000000003</v>
      </c>
      <c r="E574" s="11">
        <v>6</v>
      </c>
    </row>
    <row r="575" spans="2:5" x14ac:dyDescent="0.25">
      <c r="B575" s="12" t="str">
        <f ca="1">IFERROR(__xludf.DUMMYFUNCTION("""COMPUTED_VALUE"""),"J Blakeson")</f>
        <v>J Blakeson</v>
      </c>
      <c r="C575" s="12">
        <v>5.2</v>
      </c>
      <c r="D575" s="12">
        <v>0.113</v>
      </c>
      <c r="E575" s="12">
        <v>1</v>
      </c>
    </row>
    <row r="576" spans="2:5" x14ac:dyDescent="0.25">
      <c r="B576" s="11" t="str">
        <f ca="1">IFERROR(__xludf.DUMMYFUNCTION("""COMPUTED_VALUE"""),"Ryan Coogler")</f>
        <v>Ryan Coogler</v>
      </c>
      <c r="C576" s="11">
        <v>7.6</v>
      </c>
      <c r="D576" s="11">
        <v>0.91500000000000004</v>
      </c>
      <c r="E576" s="11">
        <v>2</v>
      </c>
    </row>
    <row r="577" spans="2:5" x14ac:dyDescent="0.25">
      <c r="B577" s="12" t="str">
        <f ca="1">IFERROR(__xludf.DUMMYFUNCTION("""COMPUTED_VALUE"""),"Kirk Jones")</f>
        <v>Kirk Jones</v>
      </c>
      <c r="C577" s="12">
        <v>6.6</v>
      </c>
      <c r="D577" s="12">
        <v>0.55300000000000005</v>
      </c>
      <c r="E577" s="12">
        <v>5</v>
      </c>
    </row>
    <row r="578" spans="2:5" x14ac:dyDescent="0.25">
      <c r="B578" s="11" t="str">
        <f ca="1">IFERROR(__xludf.DUMMYFUNCTION("""COMPUTED_VALUE"""),"Ethan Coen")</f>
        <v>Ethan Coen</v>
      </c>
      <c r="C578" s="11">
        <v>7.1142857142857139</v>
      </c>
      <c r="D578" s="11">
        <v>0.79800000000000004</v>
      </c>
      <c r="E578" s="11">
        <v>7</v>
      </c>
    </row>
    <row r="579" spans="2:5" x14ac:dyDescent="0.25">
      <c r="B579" s="12" t="str">
        <f ca="1">IFERROR(__xludf.DUMMYFUNCTION("""COMPUTED_VALUE"""),"Jennifer Flackett")</f>
        <v>Jennifer Flackett</v>
      </c>
      <c r="C579" s="12">
        <v>6</v>
      </c>
      <c r="D579" s="12">
        <v>0.312</v>
      </c>
      <c r="E579" s="12">
        <v>1</v>
      </c>
    </row>
    <row r="580" spans="2:5" x14ac:dyDescent="0.25">
      <c r="B580" s="11" t="str">
        <f ca="1">IFERROR(__xludf.DUMMYFUNCTION("""COMPUTED_VALUE"""),"Kevin Smith")</f>
        <v>Kevin Smith</v>
      </c>
      <c r="C580" s="11">
        <v>6.7799999999999994</v>
      </c>
      <c r="D580" s="11">
        <v>0.63600000000000001</v>
      </c>
      <c r="E580" s="11">
        <v>10</v>
      </c>
    </row>
    <row r="581" spans="2:5" x14ac:dyDescent="0.25">
      <c r="B581" s="12" t="str">
        <f ca="1">IFERROR(__xludf.DUMMYFUNCTION("""COMPUTED_VALUE"""),"Christian Ditter")</f>
        <v>Christian Ditter</v>
      </c>
      <c r="C581" s="12">
        <v>6.1</v>
      </c>
      <c r="D581" s="12">
        <v>0.35099999999999998</v>
      </c>
      <c r="E581" s="12">
        <v>1</v>
      </c>
    </row>
    <row r="582" spans="2:5" x14ac:dyDescent="0.25">
      <c r="B582" s="11" t="str">
        <f ca="1">IFERROR(__xludf.DUMMYFUNCTION("""COMPUTED_VALUE"""),"Charles Martin Smith")</f>
        <v>Charles Martin Smith</v>
      </c>
      <c r="C582" s="11">
        <v>6.1333333333333329</v>
      </c>
      <c r="D582" s="11">
        <v>0.38200000000000001</v>
      </c>
      <c r="E582" s="11">
        <v>3</v>
      </c>
    </row>
    <row r="583" spans="2:5" x14ac:dyDescent="0.25">
      <c r="B583" s="12" t="str">
        <f ca="1">IFERROR(__xludf.DUMMYFUNCTION("""COMPUTED_VALUE"""),"Irvin Kershner")</f>
        <v>Irvin Kershner</v>
      </c>
      <c r="C583" s="12">
        <v>7.5</v>
      </c>
      <c r="D583" s="12">
        <v>0.89300000000000002</v>
      </c>
      <c r="E583" s="12">
        <v>2</v>
      </c>
    </row>
    <row r="584" spans="2:5" x14ac:dyDescent="0.25">
      <c r="B584" s="11" t="str">
        <f ca="1">IFERROR(__xludf.DUMMYFUNCTION("""COMPUTED_VALUE"""),"Steve Pink")</f>
        <v>Steve Pink</v>
      </c>
      <c r="C584" s="11">
        <v>5.8666666666666671</v>
      </c>
      <c r="D584" s="11">
        <v>0.27100000000000002</v>
      </c>
      <c r="E584" s="11">
        <v>3</v>
      </c>
    </row>
    <row r="585" spans="2:5" x14ac:dyDescent="0.25">
      <c r="B585" s="12" t="str">
        <f ca="1">IFERROR(__xludf.DUMMYFUNCTION("""COMPUTED_VALUE"""),"Scott Hicks")</f>
        <v>Scott Hicks</v>
      </c>
      <c r="C585" s="12">
        <v>6.8400000000000007</v>
      </c>
      <c r="D585" s="12">
        <v>0.66700000000000004</v>
      </c>
      <c r="E585" s="12">
        <v>5</v>
      </c>
    </row>
    <row r="586" spans="2:5" x14ac:dyDescent="0.25">
      <c r="B586" s="11" t="str">
        <f ca="1">IFERROR(__xludf.DUMMYFUNCTION("""COMPUTED_VALUE"""),"Chris Rock")</f>
        <v>Chris Rock</v>
      </c>
      <c r="C586" s="11">
        <v>5.95</v>
      </c>
      <c r="D586" s="11">
        <v>0.30399999999999999</v>
      </c>
      <c r="E586" s="11">
        <v>2</v>
      </c>
    </row>
    <row r="587" spans="2:5" x14ac:dyDescent="0.25">
      <c r="B587" s="12" t="str">
        <f ca="1">IFERROR(__xludf.DUMMYFUNCTION("""COMPUTED_VALUE"""),"Wilson Yip")</f>
        <v>Wilson Yip</v>
      </c>
      <c r="C587" s="12">
        <v>7.2</v>
      </c>
      <c r="D587" s="12">
        <v>0.81200000000000006</v>
      </c>
      <c r="E587" s="12">
        <v>1</v>
      </c>
    </row>
    <row r="588" spans="2:5" x14ac:dyDescent="0.25">
      <c r="B588" s="11" t="str">
        <f ca="1">IFERROR(__xludf.DUMMYFUNCTION("""COMPUTED_VALUE"""),"Robert Wise")</f>
        <v>Robert Wise</v>
      </c>
      <c r="C588" s="11">
        <v>7.2</v>
      </c>
      <c r="D588" s="11">
        <v>0.81200000000000006</v>
      </c>
      <c r="E588" s="11">
        <v>2</v>
      </c>
    </row>
    <row r="589" spans="2:5" x14ac:dyDescent="0.25">
      <c r="B589" s="12" t="str">
        <f ca="1">IFERROR(__xludf.DUMMYFUNCTION("""COMPUTED_VALUE"""),"Kevin Rodney Sullivan")</f>
        <v>Kevin Rodney Sullivan</v>
      </c>
      <c r="C589" s="12">
        <v>5.7</v>
      </c>
      <c r="D589" s="12">
        <v>0.23100000000000001</v>
      </c>
      <c r="E589" s="12">
        <v>3</v>
      </c>
    </row>
    <row r="590" spans="2:5" x14ac:dyDescent="0.25">
      <c r="B590" s="11" t="str">
        <f ca="1">IFERROR(__xludf.DUMMYFUNCTION("""COMPUTED_VALUE"""),"Kevin Munroe")</f>
        <v>Kevin Munroe</v>
      </c>
      <c r="C590" s="11">
        <v>5.6999999999999993</v>
      </c>
      <c r="D590" s="11">
        <v>0.22900000000000001</v>
      </c>
      <c r="E590" s="11">
        <v>2</v>
      </c>
    </row>
    <row r="591" spans="2:5" x14ac:dyDescent="0.25">
      <c r="B591" s="12" t="str">
        <f ca="1">IFERROR(__xludf.DUMMYFUNCTION("""COMPUTED_VALUE"""),"Michael Tollin")</f>
        <v>Michael Tollin</v>
      </c>
      <c r="C591" s="12">
        <v>5.9</v>
      </c>
      <c r="D591" s="12">
        <v>0.27100000000000002</v>
      </c>
      <c r="E591" s="12">
        <v>2</v>
      </c>
    </row>
    <row r="592" spans="2:5" x14ac:dyDescent="0.25">
      <c r="B592" s="11" t="str">
        <f ca="1">IFERROR(__xludf.DUMMYFUNCTION("""COMPUTED_VALUE"""),"Nicholas Stoller")</f>
        <v>Nicholas Stoller</v>
      </c>
      <c r="C592" s="11">
        <v>6.4499999999999993</v>
      </c>
      <c r="D592" s="11">
        <v>0.49199999999999999</v>
      </c>
      <c r="E592" s="11">
        <v>4</v>
      </c>
    </row>
    <row r="593" spans="2:5" x14ac:dyDescent="0.25">
      <c r="B593" s="12" t="str">
        <f ca="1">IFERROR(__xludf.DUMMYFUNCTION("""COMPUTED_VALUE"""),"Patrick Tatopoulos")</f>
        <v>Patrick Tatopoulos</v>
      </c>
      <c r="C593" s="12">
        <v>6.6</v>
      </c>
      <c r="D593" s="12">
        <v>0.55300000000000005</v>
      </c>
      <c r="E593" s="12">
        <v>1</v>
      </c>
    </row>
    <row r="594" spans="2:5" x14ac:dyDescent="0.25">
      <c r="B594" s="11" t="str">
        <f ca="1">IFERROR(__xludf.DUMMYFUNCTION("""COMPUTED_VALUE"""),"Gary David Goldberg")</f>
        <v>Gary David Goldberg</v>
      </c>
      <c r="C594" s="11">
        <v>5.9</v>
      </c>
      <c r="D594" s="11">
        <v>0.27100000000000002</v>
      </c>
      <c r="E594" s="11">
        <v>1</v>
      </c>
    </row>
    <row r="595" spans="2:5" x14ac:dyDescent="0.25">
      <c r="B595" s="12" t="str">
        <f ca="1">IFERROR(__xludf.DUMMYFUNCTION("""COMPUTED_VALUE"""),"Tobe Hooper")</f>
        <v>Tobe Hooper</v>
      </c>
      <c r="C595" s="12">
        <v>6.4749999999999996</v>
      </c>
      <c r="D595" s="12">
        <v>0.502</v>
      </c>
      <c r="E595" s="12">
        <v>4</v>
      </c>
    </row>
    <row r="596" spans="2:5" x14ac:dyDescent="0.25">
      <c r="B596" s="11" t="str">
        <f ca="1">IFERROR(__xludf.DUMMYFUNCTION("""COMPUTED_VALUE"""),"Alan Poul")</f>
        <v>Alan Poul</v>
      </c>
      <c r="C596" s="11">
        <v>5.3</v>
      </c>
      <c r="D596" s="11">
        <v>0.13</v>
      </c>
      <c r="E596" s="11">
        <v>1</v>
      </c>
    </row>
    <row r="597" spans="2:5" x14ac:dyDescent="0.25">
      <c r="B597" s="12" t="str">
        <f ca="1">IFERROR(__xludf.DUMMYFUNCTION("""COMPUTED_VALUE"""),"Luke Greenfield")</f>
        <v>Luke Greenfield</v>
      </c>
      <c r="C597" s="12">
        <v>6</v>
      </c>
      <c r="D597" s="12">
        <v>0.312</v>
      </c>
      <c r="E597" s="12">
        <v>4</v>
      </c>
    </row>
    <row r="598" spans="2:5" x14ac:dyDescent="0.25">
      <c r="B598" s="11" t="str">
        <f ca="1">IFERROR(__xludf.DUMMYFUNCTION("""COMPUTED_VALUE"""),"Gil Junger")</f>
        <v>Gil Junger</v>
      </c>
      <c r="C598" s="11">
        <v>6</v>
      </c>
      <c r="D598" s="11">
        <v>0.312</v>
      </c>
      <c r="E598" s="11">
        <v>2</v>
      </c>
    </row>
    <row r="599" spans="2:5" x14ac:dyDescent="0.25">
      <c r="B599" s="12" t="str">
        <f ca="1">IFERROR(__xludf.DUMMYFUNCTION("""COMPUTED_VALUE"""),"Steven E. de Souza")</f>
        <v>Steven E. de Souza</v>
      </c>
      <c r="C599" s="12">
        <v>3.8</v>
      </c>
      <c r="D599" s="12">
        <v>2.4E-2</v>
      </c>
      <c r="E599" s="12">
        <v>1</v>
      </c>
    </row>
    <row r="600" spans="2:5" x14ac:dyDescent="0.25">
      <c r="B600" s="11" t="str">
        <f ca="1">IFERROR(__xludf.DUMMYFUNCTION("""COMPUTED_VALUE"""),"Alexandre Aja")</f>
        <v>Alexandre Aja</v>
      </c>
      <c r="C600" s="11">
        <v>6.2250000000000005</v>
      </c>
      <c r="D600" s="11">
        <v>0.41599999999999998</v>
      </c>
      <c r="E600" s="11">
        <v>4</v>
      </c>
    </row>
    <row r="601" spans="2:5" x14ac:dyDescent="0.25">
      <c r="B601" s="12" t="str">
        <f ca="1">IFERROR(__xludf.DUMMYFUNCTION("""COMPUTED_VALUE"""),"Michael Rymer")</f>
        <v>Michael Rymer</v>
      </c>
      <c r="C601" s="12">
        <v>5.65</v>
      </c>
      <c r="D601" s="12">
        <v>0.223</v>
      </c>
      <c r="E601" s="12">
        <v>2</v>
      </c>
    </row>
    <row r="602" spans="2:5" x14ac:dyDescent="0.25">
      <c r="B602" s="11" t="str">
        <f ca="1">IFERROR(__xludf.DUMMYFUNCTION("""COMPUTED_VALUE"""),"Hugh Wilson")</f>
        <v>Hugh Wilson</v>
      </c>
      <c r="C602" s="11">
        <v>5.8250000000000002</v>
      </c>
      <c r="D602" s="11">
        <v>0.26700000000000002</v>
      </c>
      <c r="E602" s="11">
        <v>4</v>
      </c>
    </row>
    <row r="603" spans="2:5" x14ac:dyDescent="0.25">
      <c r="B603" s="12" t="str">
        <f ca="1">IFERROR(__xludf.DUMMYFUNCTION("""COMPUTED_VALUE"""),"Susanna White")</f>
        <v>Susanna White</v>
      </c>
      <c r="C603" s="12">
        <v>6.1</v>
      </c>
      <c r="D603" s="12">
        <v>0.35099999999999998</v>
      </c>
      <c r="E603" s="12">
        <v>1</v>
      </c>
    </row>
    <row r="604" spans="2:5" x14ac:dyDescent="0.25">
      <c r="B604" s="11" t="str">
        <f ca="1">IFERROR(__xludf.DUMMYFUNCTION("""COMPUTED_VALUE"""),"Chris Carter")</f>
        <v>Chris Carter</v>
      </c>
      <c r="C604" s="11">
        <v>5.9</v>
      </c>
      <c r="D604" s="11">
        <v>0.27100000000000002</v>
      </c>
      <c r="E604" s="11">
        <v>1</v>
      </c>
    </row>
    <row r="605" spans="2:5" x14ac:dyDescent="0.25">
      <c r="B605" s="12" t="str">
        <f ca="1">IFERROR(__xludf.DUMMYFUNCTION("""COMPUTED_VALUE"""),"Tommy O'Haver")</f>
        <v>Tommy O'Haver</v>
      </c>
      <c r="C605" s="12">
        <v>6.05</v>
      </c>
      <c r="D605" s="12">
        <v>0.34</v>
      </c>
      <c r="E605" s="12">
        <v>2</v>
      </c>
    </row>
    <row r="606" spans="2:5" x14ac:dyDescent="0.25">
      <c r="B606" s="11" t="str">
        <f ca="1">IFERROR(__xludf.DUMMYFUNCTION("""COMPUTED_VALUE"""),"Peter Landesman")</f>
        <v>Peter Landesman</v>
      </c>
      <c r="C606" s="11">
        <v>7.1</v>
      </c>
      <c r="D606" s="11">
        <v>0.77200000000000002</v>
      </c>
      <c r="E606" s="11">
        <v>1</v>
      </c>
    </row>
    <row r="607" spans="2:5" x14ac:dyDescent="0.25">
      <c r="B607" s="12" t="str">
        <f ca="1">IFERROR(__xludf.DUMMYFUNCTION("""COMPUTED_VALUE"""),"Gary Chapman")</f>
        <v>Gary Chapman</v>
      </c>
      <c r="C607" s="12">
        <v>5.6</v>
      </c>
      <c r="D607" s="12">
        <v>0.19700000000000001</v>
      </c>
      <c r="E607" s="12">
        <v>1</v>
      </c>
    </row>
    <row r="608" spans="2:5" x14ac:dyDescent="0.25">
      <c r="B608" s="11" t="str">
        <f ca="1">IFERROR(__xludf.DUMMYFUNCTION("""COMPUTED_VALUE"""),"Craig Mazin")</f>
        <v>Craig Mazin</v>
      </c>
      <c r="C608" s="11">
        <v>5.25</v>
      </c>
      <c r="D608" s="11">
        <v>0.125</v>
      </c>
      <c r="E608" s="11">
        <v>2</v>
      </c>
    </row>
    <row r="609" spans="2:5" x14ac:dyDescent="0.25">
      <c r="B609" s="12" t="str">
        <f ca="1">IFERROR(__xludf.DUMMYFUNCTION("""COMPUTED_VALUE"""),"Allen Hughes")</f>
        <v>Allen Hughes</v>
      </c>
      <c r="C609" s="12">
        <v>6.2</v>
      </c>
      <c r="D609" s="12">
        <v>0.39100000000000001</v>
      </c>
      <c r="E609" s="12">
        <v>1</v>
      </c>
    </row>
    <row r="610" spans="2:5" x14ac:dyDescent="0.25">
      <c r="B610" s="11" t="str">
        <f ca="1">IFERROR(__xludf.DUMMYFUNCTION("""COMPUTED_VALUE"""),"Lasse Hallström")</f>
        <v>Lasse Hallström</v>
      </c>
      <c r="C610" s="11">
        <v>6.9874999999999998</v>
      </c>
      <c r="D610" s="11">
        <v>0.72199999999999998</v>
      </c>
      <c r="E610" s="11">
        <v>8</v>
      </c>
    </row>
    <row r="611" spans="2:5" x14ac:dyDescent="0.25">
      <c r="B611" s="12" t="str">
        <f ca="1">IFERROR(__xludf.DUMMYFUNCTION("""COMPUTED_VALUE"""),"Jean-Marc Vallée")</f>
        <v>Jean-Marc Vallée</v>
      </c>
      <c r="C611" s="12">
        <v>7.4666666666666659</v>
      </c>
      <c r="D611" s="12">
        <v>0.89200000000000002</v>
      </c>
      <c r="E611" s="12">
        <v>3</v>
      </c>
    </row>
    <row r="612" spans="2:5" x14ac:dyDescent="0.25">
      <c r="B612" s="11" t="str">
        <f ca="1">IFERROR(__xludf.DUMMYFUNCTION("""COMPUTED_VALUE"""),"Hark Tsui")</f>
        <v>Hark Tsui</v>
      </c>
      <c r="C612" s="11">
        <v>4.8</v>
      </c>
      <c r="D612" s="11">
        <v>7.3999999999999996E-2</v>
      </c>
      <c r="E612" s="11">
        <v>1</v>
      </c>
    </row>
    <row r="613" spans="2:5" x14ac:dyDescent="0.25">
      <c r="B613" s="12" t="str">
        <f ca="1">IFERROR(__xludf.DUMMYFUNCTION("""COMPUTED_VALUE"""),"Lexi Alexander")</f>
        <v>Lexi Alexander</v>
      </c>
      <c r="C613" s="12">
        <v>6</v>
      </c>
      <c r="D613" s="12">
        <v>0.312</v>
      </c>
      <c r="E613" s="12">
        <v>1</v>
      </c>
    </row>
    <row r="614" spans="2:5" x14ac:dyDescent="0.25">
      <c r="B614" s="11" t="str">
        <f ca="1">IFERROR(__xludf.DUMMYFUNCTION("""COMPUTED_VALUE"""),"Ronny Yu")</f>
        <v>Ronny Yu</v>
      </c>
      <c r="C614" s="11">
        <v>5.5</v>
      </c>
      <c r="D614" s="11">
        <v>0.17699999999999999</v>
      </c>
      <c r="E614" s="11">
        <v>4</v>
      </c>
    </row>
    <row r="615" spans="2:5" x14ac:dyDescent="0.25">
      <c r="B615" s="12" t="str">
        <f ca="1">IFERROR(__xludf.DUMMYFUNCTION("""COMPUTED_VALUE"""),"Bille August")</f>
        <v>Bille August</v>
      </c>
      <c r="C615" s="12">
        <v>6.4</v>
      </c>
      <c r="D615" s="12">
        <v>0.46400000000000002</v>
      </c>
      <c r="E615" s="12">
        <v>1</v>
      </c>
    </row>
    <row r="616" spans="2:5" x14ac:dyDescent="0.25">
      <c r="B616" s="11" t="str">
        <f ca="1">IFERROR(__xludf.DUMMYFUNCTION("""COMPUTED_VALUE"""),"Ken Scott")</f>
        <v>Ken Scott</v>
      </c>
      <c r="C616" s="11">
        <v>5.9</v>
      </c>
      <c r="D616" s="11">
        <v>0.27100000000000002</v>
      </c>
      <c r="E616" s="11">
        <v>2</v>
      </c>
    </row>
    <row r="617" spans="2:5" x14ac:dyDescent="0.25">
      <c r="B617" s="12" t="str">
        <f ca="1">IFERROR(__xludf.DUMMYFUNCTION("""COMPUTED_VALUE"""),"Hugh Johnson")</f>
        <v>Hugh Johnson</v>
      </c>
      <c r="C617" s="12">
        <v>5.2</v>
      </c>
      <c r="D617" s="12">
        <v>0.113</v>
      </c>
      <c r="E617" s="12">
        <v>1</v>
      </c>
    </row>
    <row r="618" spans="2:5" x14ac:dyDescent="0.25">
      <c r="B618" s="11" t="str">
        <f ca="1">IFERROR(__xludf.DUMMYFUNCTION("""COMPUTED_VALUE"""),"Hayao Miyazaki")</f>
        <v>Hayao Miyazaki</v>
      </c>
      <c r="C618" s="11">
        <v>8.2249999999999996</v>
      </c>
      <c r="D618" s="11">
        <v>0.98899999999999999</v>
      </c>
      <c r="E618" s="11">
        <v>4</v>
      </c>
    </row>
    <row r="619" spans="2:5" x14ac:dyDescent="0.25">
      <c r="B619" s="12" t="str">
        <f ca="1">IFERROR(__xludf.DUMMYFUNCTION("""COMPUTED_VALUE"""),"George Tillman Jr.")</f>
        <v>George Tillman Jr.</v>
      </c>
      <c r="C619" s="12">
        <v>6.9250000000000007</v>
      </c>
      <c r="D619" s="12">
        <v>0.71</v>
      </c>
      <c r="E619" s="12">
        <v>4</v>
      </c>
    </row>
    <row r="620" spans="2:5" x14ac:dyDescent="0.25">
      <c r="B620" s="11" t="str">
        <f ca="1">IFERROR(__xludf.DUMMYFUNCTION("""COMPUTED_VALUE"""),"Rand Ravich")</f>
        <v>Rand Ravich</v>
      </c>
      <c r="C620" s="11">
        <v>5.3</v>
      </c>
      <c r="D620" s="11">
        <v>0.13</v>
      </c>
      <c r="E620" s="11">
        <v>1</v>
      </c>
    </row>
    <row r="621" spans="2:5" x14ac:dyDescent="0.25">
      <c r="B621" s="12" t="str">
        <f ca="1">IFERROR(__xludf.DUMMYFUNCTION("""COMPUTED_VALUE"""),"Hugh Hudson")</f>
        <v>Hugh Hudson</v>
      </c>
      <c r="C621" s="12">
        <v>6.4</v>
      </c>
      <c r="D621" s="12">
        <v>0.46400000000000002</v>
      </c>
      <c r="E621" s="12">
        <v>2</v>
      </c>
    </row>
    <row r="622" spans="2:5" x14ac:dyDescent="0.25">
      <c r="B622" s="11" t="str">
        <f ca="1">IFERROR(__xludf.DUMMYFUNCTION("""COMPUTED_VALUE"""),"Jeremy Degruson")</f>
        <v>Jeremy Degruson</v>
      </c>
      <c r="C622" s="11">
        <v>6.3</v>
      </c>
      <c r="D622" s="11">
        <v>0.42299999999999999</v>
      </c>
      <c r="E622" s="11">
        <v>1</v>
      </c>
    </row>
    <row r="623" spans="2:5" x14ac:dyDescent="0.25">
      <c r="B623" s="12" t="str">
        <f ca="1">IFERROR(__xludf.DUMMYFUNCTION("""COMPUTED_VALUE"""),"Chris Gorak")</f>
        <v>Chris Gorak</v>
      </c>
      <c r="C623" s="12">
        <v>4.9000000000000004</v>
      </c>
      <c r="D623" s="12">
        <v>8.2000000000000003E-2</v>
      </c>
      <c r="E623" s="12">
        <v>1</v>
      </c>
    </row>
    <row r="624" spans="2:5" x14ac:dyDescent="0.25">
      <c r="B624" s="11" t="str">
        <f ca="1">IFERROR(__xludf.DUMMYFUNCTION("""COMPUTED_VALUE"""),"Scott Speer")</f>
        <v>Scott Speer</v>
      </c>
      <c r="C624" s="11">
        <v>6.5</v>
      </c>
      <c r="D624" s="11">
        <v>0.504</v>
      </c>
      <c r="E624" s="11">
        <v>1</v>
      </c>
    </row>
    <row r="625" spans="2:5" x14ac:dyDescent="0.25">
      <c r="B625" s="12" t="str">
        <f ca="1">IFERROR(__xludf.DUMMYFUNCTION("""COMPUTED_VALUE"""),"Joe Charbanic")</f>
        <v>Joe Charbanic</v>
      </c>
      <c r="C625" s="12">
        <v>5.3</v>
      </c>
      <c r="D625" s="12">
        <v>0.13</v>
      </c>
      <c r="E625" s="12">
        <v>1</v>
      </c>
    </row>
    <row r="626" spans="2:5" x14ac:dyDescent="0.25">
      <c r="B626" s="11" t="str">
        <f ca="1">IFERROR(__xludf.DUMMYFUNCTION("""COMPUTED_VALUE"""),"Jonathan Hensleigh")</f>
        <v>Jonathan Hensleigh</v>
      </c>
      <c r="C626" s="11">
        <v>6.5</v>
      </c>
      <c r="D626" s="11">
        <v>0.504</v>
      </c>
      <c r="E626" s="11">
        <v>1</v>
      </c>
    </row>
    <row r="627" spans="2:5" x14ac:dyDescent="0.25">
      <c r="B627" s="12" t="str">
        <f ca="1">IFERROR(__xludf.DUMMYFUNCTION("""COMPUTED_VALUE"""),"Danny Cannon")</f>
        <v>Danny Cannon</v>
      </c>
      <c r="C627" s="12">
        <v>5.6999999999999993</v>
      </c>
      <c r="D627" s="12">
        <v>0.22900000000000001</v>
      </c>
      <c r="E627" s="12">
        <v>2</v>
      </c>
    </row>
    <row r="628" spans="2:5" x14ac:dyDescent="0.25">
      <c r="B628" s="11" t="str">
        <f ca="1">IFERROR(__xludf.DUMMYFUNCTION("""COMPUTED_VALUE"""),"Boaz Yakin")</f>
        <v>Boaz Yakin</v>
      </c>
      <c r="C628" s="11">
        <v>7.0333333333333341</v>
      </c>
      <c r="D628" s="11">
        <v>0.76300000000000001</v>
      </c>
      <c r="E628" s="11">
        <v>3</v>
      </c>
    </row>
    <row r="629" spans="2:5" x14ac:dyDescent="0.25">
      <c r="B629" s="12" t="str">
        <f ca="1">IFERROR(__xludf.DUMMYFUNCTION("""COMPUTED_VALUE"""),"Richard Marquand")</f>
        <v>Richard Marquand</v>
      </c>
      <c r="C629" s="12">
        <v>8.4</v>
      </c>
      <c r="D629" s="12">
        <v>0.99299999999999999</v>
      </c>
      <c r="E629" s="12">
        <v>1</v>
      </c>
    </row>
    <row r="630" spans="2:5" x14ac:dyDescent="0.25">
      <c r="B630" s="11" t="str">
        <f ca="1">IFERROR(__xludf.DUMMYFUNCTION("""COMPUTED_VALUE"""),"Neil Marshall")</f>
        <v>Neil Marshall</v>
      </c>
      <c r="C630" s="11">
        <v>6.6</v>
      </c>
      <c r="D630" s="11">
        <v>0.55300000000000005</v>
      </c>
      <c r="E630" s="11">
        <v>2</v>
      </c>
    </row>
    <row r="631" spans="2:5" x14ac:dyDescent="0.25">
      <c r="B631" s="12" t="str">
        <f ca="1">IFERROR(__xludf.DUMMYFUNCTION("""COMPUTED_VALUE"""),"Jared Hess")</f>
        <v>Jared Hess</v>
      </c>
      <c r="C631" s="12">
        <v>6.3000000000000007</v>
      </c>
      <c r="D631" s="12">
        <v>0.44900000000000001</v>
      </c>
      <c r="E631" s="12">
        <v>2</v>
      </c>
    </row>
    <row r="632" spans="2:5" x14ac:dyDescent="0.25">
      <c r="B632" s="11" t="str">
        <f ca="1">IFERROR(__xludf.DUMMYFUNCTION("""COMPUTED_VALUE"""),"Rupert Wainwright")</f>
        <v>Rupert Wainwright</v>
      </c>
      <c r="C632" s="11">
        <v>6.2</v>
      </c>
      <c r="D632" s="11">
        <v>0.39100000000000001</v>
      </c>
      <c r="E632" s="11">
        <v>1</v>
      </c>
    </row>
    <row r="633" spans="2:5" x14ac:dyDescent="0.25">
      <c r="B633" s="12" t="str">
        <f ca="1">IFERROR(__xludf.DUMMYFUNCTION("""COMPUTED_VALUE"""),"John Luessenhop")</f>
        <v>John Luessenhop</v>
      </c>
      <c r="C633" s="12">
        <v>5.5</v>
      </c>
      <c r="D633" s="12">
        <v>0.17699999999999999</v>
      </c>
      <c r="E633" s="12">
        <v>2</v>
      </c>
    </row>
    <row r="634" spans="2:5" x14ac:dyDescent="0.25">
      <c r="B634" s="11" t="str">
        <f ca="1">IFERROR(__xludf.DUMMYFUNCTION("""COMPUTED_VALUE"""),"Justin Zackham")</f>
        <v>Justin Zackham</v>
      </c>
      <c r="C634" s="11">
        <v>5.6</v>
      </c>
      <c r="D634" s="11">
        <v>0.19700000000000001</v>
      </c>
      <c r="E634" s="11">
        <v>1</v>
      </c>
    </row>
    <row r="635" spans="2:5" x14ac:dyDescent="0.25">
      <c r="B635" s="12" t="str">
        <f ca="1">IFERROR(__xludf.DUMMYFUNCTION("""COMPUTED_VALUE"""),"John Gatins")</f>
        <v>John Gatins</v>
      </c>
      <c r="C635" s="12">
        <v>6.9</v>
      </c>
      <c r="D635" s="12">
        <v>0.68200000000000005</v>
      </c>
      <c r="E635" s="12">
        <v>1</v>
      </c>
    </row>
    <row r="636" spans="2:5" x14ac:dyDescent="0.25">
      <c r="B636" s="11" t="str">
        <f ca="1">IFERROR(__xludf.DUMMYFUNCTION("""COMPUTED_VALUE"""),"Miguel Sapochnik")</f>
        <v>Miguel Sapochnik</v>
      </c>
      <c r="C636" s="11">
        <v>6.3</v>
      </c>
      <c r="D636" s="11">
        <v>0.42299999999999999</v>
      </c>
      <c r="E636" s="11">
        <v>1</v>
      </c>
    </row>
    <row r="637" spans="2:5" x14ac:dyDescent="0.25">
      <c r="B637" s="12" t="str">
        <f ca="1">IFERROR(__xludf.DUMMYFUNCTION("""COMPUTED_VALUE"""),"Hyung-rae Shim")</f>
        <v>Hyung-rae Shim</v>
      </c>
      <c r="C637" s="12">
        <v>3.6</v>
      </c>
      <c r="D637" s="12">
        <v>0.02</v>
      </c>
      <c r="E637" s="12">
        <v>2</v>
      </c>
    </row>
    <row r="638" spans="2:5" x14ac:dyDescent="0.25">
      <c r="B638" s="11" t="str">
        <f ca="1">IFERROR(__xludf.DUMMYFUNCTION("""COMPUTED_VALUE"""),"Don Scardino")</f>
        <v>Don Scardino</v>
      </c>
      <c r="C638" s="11">
        <v>5.9</v>
      </c>
      <c r="D638" s="11">
        <v>0.27100000000000002</v>
      </c>
      <c r="E638" s="11">
        <v>1</v>
      </c>
    </row>
    <row r="639" spans="2:5" x14ac:dyDescent="0.25">
      <c r="B639" s="12" t="str">
        <f ca="1">IFERROR(__xludf.DUMMYFUNCTION("""COMPUTED_VALUE"""),"Tim Robbins")</f>
        <v>Tim Robbins</v>
      </c>
      <c r="C639" s="12">
        <v>7.25</v>
      </c>
      <c r="D639" s="12">
        <v>0.84399999999999997</v>
      </c>
      <c r="E639" s="12">
        <v>2</v>
      </c>
    </row>
    <row r="640" spans="2:5" x14ac:dyDescent="0.25">
      <c r="B640" s="11" t="str">
        <f ca="1">IFERROR(__xludf.DUMMYFUNCTION("""COMPUTED_VALUE"""),"Nanette Burstein")</f>
        <v>Nanette Burstein</v>
      </c>
      <c r="C640" s="11">
        <v>6.3</v>
      </c>
      <c r="D640" s="11">
        <v>0.42299999999999999</v>
      </c>
      <c r="E640" s="11">
        <v>1</v>
      </c>
    </row>
    <row r="641" spans="2:5" x14ac:dyDescent="0.25">
      <c r="B641" s="12" t="str">
        <f ca="1">IFERROR(__xludf.DUMMYFUNCTION("""COMPUTED_VALUE"""),"Ariel Vromen")</f>
        <v>Ariel Vromen</v>
      </c>
      <c r="C641" s="12">
        <v>6.6</v>
      </c>
      <c r="D641" s="12">
        <v>0.55300000000000005</v>
      </c>
      <c r="E641" s="12">
        <v>2</v>
      </c>
    </row>
    <row r="642" spans="2:5" x14ac:dyDescent="0.25">
      <c r="B642" s="11" t="str">
        <f ca="1">IFERROR(__xludf.DUMMYFUNCTION("""COMPUTED_VALUE"""),"Lewis Gilbert")</f>
        <v>Lewis Gilbert</v>
      </c>
      <c r="C642" s="11">
        <v>6.7666666666666657</v>
      </c>
      <c r="D642" s="11">
        <v>0.63100000000000001</v>
      </c>
      <c r="E642" s="11">
        <v>3</v>
      </c>
    </row>
    <row r="643" spans="2:5" x14ac:dyDescent="0.25">
      <c r="B643" s="12" t="str">
        <f ca="1">IFERROR(__xludf.DUMMYFUNCTION("""COMPUTED_VALUE"""),"John Francis Daley")</f>
        <v>John Francis Daley</v>
      </c>
      <c r="C643" s="12">
        <v>6.1</v>
      </c>
      <c r="D643" s="12">
        <v>0.35099999999999998</v>
      </c>
      <c r="E643" s="12">
        <v>1</v>
      </c>
    </row>
    <row r="644" spans="2:5" x14ac:dyDescent="0.25">
      <c r="B644" s="11" t="str">
        <f ca="1">IFERROR(__xludf.DUMMYFUNCTION("""COMPUTED_VALUE"""),"J.B. Rogers")</f>
        <v>J.B. Rogers</v>
      </c>
      <c r="C644" s="11">
        <v>5.65</v>
      </c>
      <c r="D644" s="11">
        <v>0.223</v>
      </c>
      <c r="E644" s="11">
        <v>2</v>
      </c>
    </row>
    <row r="645" spans="2:5" x14ac:dyDescent="0.25">
      <c r="B645" s="12" t="str">
        <f ca="1">IFERROR(__xludf.DUMMYFUNCTION("""COMPUTED_VALUE"""),"Michael Sucsy")</f>
        <v>Michael Sucsy</v>
      </c>
      <c r="C645" s="12">
        <v>6.8</v>
      </c>
      <c r="D645" s="12">
        <v>0.63800000000000001</v>
      </c>
      <c r="E645" s="12">
        <v>1</v>
      </c>
    </row>
    <row r="646" spans="2:5" x14ac:dyDescent="0.25">
      <c r="B646" s="11" t="str">
        <f ca="1">IFERROR(__xludf.DUMMYFUNCTION("""COMPUTED_VALUE"""),"Tom Vaughan")</f>
        <v>Tom Vaughan</v>
      </c>
      <c r="C646" s="11">
        <v>6.3</v>
      </c>
      <c r="D646" s="11">
        <v>0.42299999999999999</v>
      </c>
      <c r="E646" s="11">
        <v>2</v>
      </c>
    </row>
    <row r="647" spans="2:5" x14ac:dyDescent="0.25">
      <c r="B647" s="12" t="str">
        <f ca="1">IFERROR(__xludf.DUMMYFUNCTION("""COMPUTED_VALUE"""),"Stephen Hillenburg")</f>
        <v>Stephen Hillenburg</v>
      </c>
      <c r="C647" s="12">
        <v>7</v>
      </c>
      <c r="D647" s="12">
        <v>0.72299999999999998</v>
      </c>
      <c r="E647" s="12">
        <v>1</v>
      </c>
    </row>
    <row r="648" spans="2:5" x14ac:dyDescent="0.25">
      <c r="B648" s="11" t="str">
        <f ca="1">IFERROR(__xludf.DUMMYFUNCTION("""COMPUTED_VALUE"""),"Stig Bergqvist")</f>
        <v>Stig Bergqvist</v>
      </c>
      <c r="C648" s="11">
        <v>6.1</v>
      </c>
      <c r="D648" s="11">
        <v>0.35099999999999998</v>
      </c>
      <c r="E648" s="11">
        <v>1</v>
      </c>
    </row>
    <row r="649" spans="2:5" x14ac:dyDescent="0.25">
      <c r="B649" s="12" t="str">
        <f ca="1">IFERROR(__xludf.DUMMYFUNCTION("""COMPUTED_VALUE"""),"Jason Reitman")</f>
        <v>Jason Reitman</v>
      </c>
      <c r="C649" s="12">
        <v>7.1400000000000006</v>
      </c>
      <c r="D649" s="12">
        <v>0.80300000000000005</v>
      </c>
      <c r="E649" s="12">
        <v>5</v>
      </c>
    </row>
    <row r="650" spans="2:5" x14ac:dyDescent="0.25">
      <c r="B650" s="11" t="str">
        <f ca="1">IFERROR(__xludf.DUMMYFUNCTION("""COMPUTED_VALUE"""),"Alexander Payne")</f>
        <v>Alexander Payne</v>
      </c>
      <c r="C650" s="11">
        <v>7.42</v>
      </c>
      <c r="D650" s="11">
        <v>0.88600000000000001</v>
      </c>
      <c r="E650" s="11">
        <v>5</v>
      </c>
    </row>
    <row r="651" spans="2:5" x14ac:dyDescent="0.25">
      <c r="B651" s="12" t="str">
        <f ca="1">IFERROR(__xludf.DUMMYFUNCTION("""COMPUTED_VALUE"""),"Jonathan Levine")</f>
        <v>Jonathan Levine</v>
      </c>
      <c r="C651" s="12">
        <v>7.2</v>
      </c>
      <c r="D651" s="12">
        <v>0.81200000000000006</v>
      </c>
      <c r="E651" s="12">
        <v>3</v>
      </c>
    </row>
    <row r="652" spans="2:5" x14ac:dyDescent="0.25">
      <c r="B652" s="11" t="str">
        <f ca="1">IFERROR(__xludf.DUMMYFUNCTION("""COMPUTED_VALUE"""),"Rian Johnson")</f>
        <v>Rian Johnson</v>
      </c>
      <c r="C652" s="11">
        <v>7.15</v>
      </c>
      <c r="D652" s="11">
        <v>0.80500000000000005</v>
      </c>
      <c r="E652" s="11">
        <v>2</v>
      </c>
    </row>
    <row r="653" spans="2:5" x14ac:dyDescent="0.25">
      <c r="B653" s="12" t="str">
        <f ca="1">IFERROR(__xludf.DUMMYFUNCTION("""COMPUTED_VALUE"""),"Chris Noonan")</f>
        <v>Chris Noonan</v>
      </c>
      <c r="C653" s="12">
        <v>6.9</v>
      </c>
      <c r="D653" s="12">
        <v>0.68200000000000005</v>
      </c>
      <c r="E653" s="12">
        <v>2</v>
      </c>
    </row>
    <row r="654" spans="2:5" x14ac:dyDescent="0.25">
      <c r="B654" s="11" t="str">
        <f ca="1">IFERROR(__xludf.DUMMYFUNCTION("""COMPUTED_VALUE"""),"Michael McCullers")</f>
        <v>Michael McCullers</v>
      </c>
      <c r="C654" s="11">
        <v>6</v>
      </c>
      <c r="D654" s="11">
        <v>0.312</v>
      </c>
      <c r="E654" s="11">
        <v>1</v>
      </c>
    </row>
    <row r="655" spans="2:5" x14ac:dyDescent="0.25">
      <c r="B655" s="12" t="str">
        <f ca="1">IFERROR(__xludf.DUMMYFUNCTION("""COMPUTED_VALUE"""),"Forest Whitaker")</f>
        <v>Forest Whitaker</v>
      </c>
      <c r="C655" s="12">
        <v>5.9</v>
      </c>
      <c r="D655" s="12">
        <v>0.27100000000000002</v>
      </c>
      <c r="E655" s="12">
        <v>1</v>
      </c>
    </row>
    <row r="656" spans="2:5" x14ac:dyDescent="0.25">
      <c r="B656" s="11" t="str">
        <f ca="1">IFERROR(__xludf.DUMMYFUNCTION("""COMPUTED_VALUE"""),"Gary Winick")</f>
        <v>Gary Winick</v>
      </c>
      <c r="C656" s="11">
        <v>6.0750000000000002</v>
      </c>
      <c r="D656" s="11">
        <v>0.34699999999999998</v>
      </c>
      <c r="E656" s="11">
        <v>4</v>
      </c>
    </row>
    <row r="657" spans="2:5" x14ac:dyDescent="0.25">
      <c r="B657" s="12" t="str">
        <f ca="1">IFERROR(__xludf.DUMMYFUNCTION("""COMPUTED_VALUE"""),"Woody Allen")</f>
        <v>Woody Allen</v>
      </c>
      <c r="C657" s="12">
        <v>6.9999999999999982</v>
      </c>
      <c r="D657" s="12">
        <v>0.72299999999999998</v>
      </c>
      <c r="E657" s="12">
        <v>19</v>
      </c>
    </row>
    <row r="658" spans="2:5" x14ac:dyDescent="0.25">
      <c r="B658" s="11" t="str">
        <f ca="1">IFERROR(__xludf.DUMMYFUNCTION("""COMPUTED_VALUE"""),"Peter Lepeniotis")</f>
        <v>Peter Lepeniotis</v>
      </c>
      <c r="C658" s="11">
        <v>5.8</v>
      </c>
      <c r="D658" s="11">
        <v>0.251</v>
      </c>
      <c r="E658" s="11">
        <v>1</v>
      </c>
    </row>
    <row r="659" spans="2:5" x14ac:dyDescent="0.25">
      <c r="B659" s="12" t="str">
        <f ca="1">IFERROR(__xludf.DUMMYFUNCTION("""COMPUTED_VALUE"""),"Ted Demme")</f>
        <v>Ted Demme</v>
      </c>
      <c r="C659" s="12">
        <v>7.6</v>
      </c>
      <c r="D659" s="12">
        <v>0.91500000000000004</v>
      </c>
      <c r="E659" s="12">
        <v>1</v>
      </c>
    </row>
    <row r="660" spans="2:5" x14ac:dyDescent="0.25">
      <c r="B660" s="11" t="str">
        <f ca="1">IFERROR(__xludf.DUMMYFUNCTION("""COMPUTED_VALUE"""),"William Shatner")</f>
        <v>William Shatner</v>
      </c>
      <c r="C660" s="11">
        <v>5.4</v>
      </c>
      <c r="D660" s="11">
        <v>0.155</v>
      </c>
      <c r="E660" s="11">
        <v>1</v>
      </c>
    </row>
    <row r="661" spans="2:5" x14ac:dyDescent="0.25">
      <c r="B661" s="12" t="str">
        <f ca="1">IFERROR(__xludf.DUMMYFUNCTION("""COMPUTED_VALUE"""),"Steve Box")</f>
        <v>Steve Box</v>
      </c>
      <c r="C661" s="12">
        <v>7.5</v>
      </c>
      <c r="D661" s="12">
        <v>0.89300000000000002</v>
      </c>
      <c r="E661" s="12">
        <v>1</v>
      </c>
    </row>
    <row r="662" spans="2:5" x14ac:dyDescent="0.25">
      <c r="B662" s="11" t="str">
        <f ca="1">IFERROR(__xludf.DUMMYFUNCTION("""COMPUTED_VALUE"""),"Lee Toland Krieger")</f>
        <v>Lee Toland Krieger</v>
      </c>
      <c r="C662" s="11">
        <v>7.2</v>
      </c>
      <c r="D662" s="11">
        <v>0.81200000000000006</v>
      </c>
      <c r="E662" s="11">
        <v>1</v>
      </c>
    </row>
    <row r="663" spans="2:5" x14ac:dyDescent="0.25">
      <c r="B663" s="12" t="str">
        <f ca="1">IFERROR(__xludf.DUMMYFUNCTION("""COMPUTED_VALUE"""),"Tim McCanlies")</f>
        <v>Tim McCanlies</v>
      </c>
      <c r="C663" s="12">
        <v>7.6</v>
      </c>
      <c r="D663" s="12">
        <v>0.91500000000000004</v>
      </c>
      <c r="E663" s="12">
        <v>1</v>
      </c>
    </row>
    <row r="664" spans="2:5" x14ac:dyDescent="0.25">
      <c r="B664" s="11" t="str">
        <f ca="1">IFERROR(__xludf.DUMMYFUNCTION("""COMPUTED_VALUE"""),"Drew Goddard")</f>
        <v>Drew Goddard</v>
      </c>
      <c r="C664" s="11">
        <v>7</v>
      </c>
      <c r="D664" s="11">
        <v>0.72299999999999998</v>
      </c>
      <c r="E664" s="11">
        <v>1</v>
      </c>
    </row>
    <row r="665" spans="2:5" x14ac:dyDescent="0.25">
      <c r="B665" s="12" t="str">
        <f ca="1">IFERROR(__xludf.DUMMYFUNCTION("""COMPUTED_VALUE"""),"Jason Friedberg")</f>
        <v>Jason Friedberg</v>
      </c>
      <c r="C665" s="12">
        <v>2.6</v>
      </c>
      <c r="D665" s="12">
        <v>2E-3</v>
      </c>
      <c r="E665" s="12">
        <v>4</v>
      </c>
    </row>
    <row r="666" spans="2:5" x14ac:dyDescent="0.25">
      <c r="B666" s="11" t="str">
        <f ca="1">IFERROR(__xludf.DUMMYFUNCTION("""COMPUTED_VALUE"""),"Paul Michael Glaser")</f>
        <v>Paul Michael Glaser</v>
      </c>
      <c r="C666" s="11">
        <v>6.6</v>
      </c>
      <c r="D666" s="11">
        <v>0.55300000000000005</v>
      </c>
      <c r="E666" s="11">
        <v>1</v>
      </c>
    </row>
    <row r="667" spans="2:5" x14ac:dyDescent="0.25">
      <c r="B667" s="12" t="str">
        <f ca="1">IFERROR(__xludf.DUMMYFUNCTION("""COMPUTED_VALUE"""),"John R. Leonetti")</f>
        <v>John R. Leonetti</v>
      </c>
      <c r="C667" s="12">
        <v>4.5500000000000007</v>
      </c>
      <c r="D667" s="12">
        <v>5.8000000000000003E-2</v>
      </c>
      <c r="E667" s="12">
        <v>2</v>
      </c>
    </row>
    <row r="668" spans="2:5" x14ac:dyDescent="0.25">
      <c r="B668" s="11" t="str">
        <f ca="1">IFERROR(__xludf.DUMMYFUNCTION("""COMPUTED_VALUE"""),"Tom Hanks")</f>
        <v>Tom Hanks</v>
      </c>
      <c r="C668" s="11">
        <v>6.5</v>
      </c>
      <c r="D668" s="11">
        <v>0.504</v>
      </c>
      <c r="E668" s="11">
        <v>2</v>
      </c>
    </row>
    <row r="669" spans="2:5" x14ac:dyDescent="0.25">
      <c r="B669" s="12" t="str">
        <f ca="1">IFERROR(__xludf.DUMMYFUNCTION("""COMPUTED_VALUE"""),"Kimberly Peirce")</f>
        <v>Kimberly Peirce</v>
      </c>
      <c r="C669" s="12">
        <v>6.666666666666667</v>
      </c>
      <c r="D669" s="12">
        <v>0.59199999999999997</v>
      </c>
      <c r="E669" s="12">
        <v>3</v>
      </c>
    </row>
    <row r="670" spans="2:5" x14ac:dyDescent="0.25">
      <c r="B670" s="11" t="str">
        <f ca="1">IFERROR(__xludf.DUMMYFUNCTION("""COMPUTED_VALUE"""),"Liz Friedlander")</f>
        <v>Liz Friedlander</v>
      </c>
      <c r="C670" s="11">
        <v>6.7</v>
      </c>
      <c r="D670" s="11">
        <v>0.6</v>
      </c>
      <c r="E670" s="11">
        <v>1</v>
      </c>
    </row>
    <row r="671" spans="2:5" x14ac:dyDescent="0.25">
      <c r="B671" s="12" t="str">
        <f ca="1">IFERROR(__xludf.DUMMYFUNCTION("""COMPUTED_VALUE"""),"Phil Joanou")</f>
        <v>Phil Joanou</v>
      </c>
      <c r="C671" s="12">
        <v>6.9</v>
      </c>
      <c r="D671" s="12">
        <v>0.68200000000000005</v>
      </c>
      <c r="E671" s="12">
        <v>1</v>
      </c>
    </row>
    <row r="672" spans="2:5" x14ac:dyDescent="0.25">
      <c r="B672" s="11" t="str">
        <f ca="1">IFERROR(__xludf.DUMMYFUNCTION("""COMPUTED_VALUE"""),"Shane Acker")</f>
        <v>Shane Acker</v>
      </c>
      <c r="C672" s="11">
        <v>7.1</v>
      </c>
      <c r="D672" s="11">
        <v>0.77200000000000002</v>
      </c>
      <c r="E672" s="11">
        <v>1</v>
      </c>
    </row>
    <row r="673" spans="2:5" x14ac:dyDescent="0.25">
      <c r="B673" s="12" t="str">
        <f ca="1">IFERROR(__xludf.DUMMYFUNCTION("""COMPUTED_VALUE"""),"Stephen J. Anderson")</f>
        <v>Stephen J. Anderson</v>
      </c>
      <c r="C673" s="12">
        <v>7.3</v>
      </c>
      <c r="D673" s="12">
        <v>0.84899999999999998</v>
      </c>
      <c r="E673" s="12">
        <v>1</v>
      </c>
    </row>
    <row r="674" spans="2:5" x14ac:dyDescent="0.25">
      <c r="B674" s="11" t="str">
        <f ca="1">IFERROR(__xludf.DUMMYFUNCTION("""COMPUTED_VALUE"""),"Troy Miller")</f>
        <v>Troy Miller</v>
      </c>
      <c r="C674" s="11">
        <v>3.4</v>
      </c>
      <c r="D674" s="11">
        <v>1.4999999999999999E-2</v>
      </c>
      <c r="E674" s="11">
        <v>1</v>
      </c>
    </row>
    <row r="675" spans="2:5" x14ac:dyDescent="0.25">
      <c r="B675" s="12" t="str">
        <f ca="1">IFERROR(__xludf.DUMMYFUNCTION("""COMPUTED_VALUE"""),"Tate Taylor")</f>
        <v>Tate Taylor</v>
      </c>
      <c r="C675" s="12">
        <v>7.5</v>
      </c>
      <c r="D675" s="12">
        <v>0.89300000000000002</v>
      </c>
      <c r="E675" s="12">
        <v>2</v>
      </c>
    </row>
    <row r="676" spans="2:5" x14ac:dyDescent="0.25">
      <c r="B676" s="11" t="str">
        <f ca="1">IFERROR(__xludf.DUMMYFUNCTION("""COMPUTED_VALUE"""),"Brett Leonard")</f>
        <v>Brett Leonard</v>
      </c>
      <c r="C676" s="11">
        <v>5.45</v>
      </c>
      <c r="D676" s="11">
        <v>0.17199999999999999</v>
      </c>
      <c r="E676" s="11">
        <v>2</v>
      </c>
    </row>
    <row r="677" spans="2:5" x14ac:dyDescent="0.25">
      <c r="B677" s="12" t="str">
        <f ca="1">IFERROR(__xludf.DUMMYFUNCTION("""COMPUTED_VALUE"""),"Alister Grierson")</f>
        <v>Alister Grierson</v>
      </c>
      <c r="C677" s="12">
        <v>5.9</v>
      </c>
      <c r="D677" s="12">
        <v>0.27100000000000002</v>
      </c>
      <c r="E677" s="12">
        <v>1</v>
      </c>
    </row>
    <row r="678" spans="2:5" x14ac:dyDescent="0.25">
      <c r="B678" s="11" t="str">
        <f ca="1">IFERROR(__xludf.DUMMYFUNCTION("""COMPUTED_VALUE"""),"Nick Hurran")</f>
        <v>Nick Hurran</v>
      </c>
      <c r="C678" s="11">
        <v>5.2</v>
      </c>
      <c r="D678" s="11">
        <v>0.113</v>
      </c>
      <c r="E678" s="11">
        <v>1</v>
      </c>
    </row>
    <row r="679" spans="2:5" x14ac:dyDescent="0.25">
      <c r="B679" s="12" t="str">
        <f ca="1">IFERROR(__xludf.DUMMYFUNCTION("""COMPUTED_VALUE"""),"Charles Stone III")</f>
        <v>Charles Stone III</v>
      </c>
      <c r="C679" s="12">
        <v>5.6</v>
      </c>
      <c r="D679" s="12">
        <v>0.19700000000000001</v>
      </c>
      <c r="E679" s="12">
        <v>2</v>
      </c>
    </row>
    <row r="680" spans="2:5" x14ac:dyDescent="0.25">
      <c r="B680" s="11" t="str">
        <f ca="1">IFERROR(__xludf.DUMMYFUNCTION("""COMPUTED_VALUE"""),"Paul Haggis")</f>
        <v>Paul Haggis</v>
      </c>
      <c r="C680" s="11">
        <v>7.65</v>
      </c>
      <c r="D680" s="11">
        <v>0.93300000000000005</v>
      </c>
      <c r="E680" s="11">
        <v>2</v>
      </c>
    </row>
    <row r="681" spans="2:5" x14ac:dyDescent="0.25">
      <c r="B681" s="12" t="str">
        <f ca="1">IFERROR(__xludf.DUMMYFUNCTION("""COMPUTED_VALUE"""),"Kurt Wimmer")</f>
        <v>Kurt Wimmer</v>
      </c>
      <c r="C681" s="12">
        <v>5.95</v>
      </c>
      <c r="D681" s="12">
        <v>0.30399999999999999</v>
      </c>
      <c r="E681" s="12">
        <v>2</v>
      </c>
    </row>
    <row r="682" spans="2:5" x14ac:dyDescent="0.25">
      <c r="B682" s="11" t="str">
        <f ca="1">IFERROR(__xludf.DUMMYFUNCTION("""COMPUTED_VALUE"""),"Jean-François Richet")</f>
        <v>Jean-François Richet</v>
      </c>
      <c r="C682" s="11">
        <v>6.3</v>
      </c>
      <c r="D682" s="11">
        <v>0.42299999999999999</v>
      </c>
      <c r="E682" s="11">
        <v>1</v>
      </c>
    </row>
    <row r="683" spans="2:5" x14ac:dyDescent="0.25">
      <c r="B683" s="12" t="str">
        <f ca="1">IFERROR(__xludf.DUMMYFUNCTION("""COMPUTED_VALUE"""),"Kevin Hooks")</f>
        <v>Kevin Hooks</v>
      </c>
      <c r="C683" s="12">
        <v>5.3</v>
      </c>
      <c r="D683" s="12">
        <v>0.13</v>
      </c>
      <c r="E683" s="12">
        <v>1</v>
      </c>
    </row>
    <row r="684" spans="2:5" x14ac:dyDescent="0.25">
      <c r="B684" s="11" t="str">
        <f ca="1">IFERROR(__xludf.DUMMYFUNCTION("""COMPUTED_VALUE"""),"Ellory Elkayem")</f>
        <v>Ellory Elkayem</v>
      </c>
      <c r="C684" s="11">
        <v>5.4</v>
      </c>
      <c r="D684" s="11">
        <v>0.155</v>
      </c>
      <c r="E684" s="11">
        <v>1</v>
      </c>
    </row>
    <row r="685" spans="2:5" x14ac:dyDescent="0.25">
      <c r="B685" s="12" t="str">
        <f ca="1">IFERROR(__xludf.DUMMYFUNCTION("""COMPUTED_VALUE"""),"Niki Caro")</f>
        <v>Niki Caro</v>
      </c>
      <c r="C685" s="12">
        <v>7.4333333333333327</v>
      </c>
      <c r="D685" s="12">
        <v>0.88600000000000001</v>
      </c>
      <c r="E685" s="12">
        <v>3</v>
      </c>
    </row>
    <row r="686" spans="2:5" x14ac:dyDescent="0.25">
      <c r="B686" s="11" t="str">
        <f ca="1">IFERROR(__xludf.DUMMYFUNCTION("""COMPUTED_VALUE"""),"Vincenzo Natali")</f>
        <v>Vincenzo Natali</v>
      </c>
      <c r="C686" s="11">
        <v>6.55</v>
      </c>
      <c r="D686" s="11">
        <v>0.54200000000000004</v>
      </c>
      <c r="E686" s="11">
        <v>2</v>
      </c>
    </row>
    <row r="687" spans="2:5" x14ac:dyDescent="0.25">
      <c r="B687" s="12" t="str">
        <f ca="1">IFERROR(__xludf.DUMMYFUNCTION("""COMPUTED_VALUE"""),"Willard Huyck")</f>
        <v>Willard Huyck</v>
      </c>
      <c r="C687" s="12">
        <v>4.5999999999999996</v>
      </c>
      <c r="D687" s="12">
        <v>5.8999999999999997E-2</v>
      </c>
      <c r="E687" s="12">
        <v>1</v>
      </c>
    </row>
    <row r="688" spans="2:5" x14ac:dyDescent="0.25">
      <c r="B688" s="11" t="str">
        <f ca="1">IFERROR(__xludf.DUMMYFUNCTION("""COMPUTED_VALUE"""),"Gavin O'Connor")</f>
        <v>Gavin O'Connor</v>
      </c>
      <c r="C688" s="11">
        <v>6.9799999999999995</v>
      </c>
      <c r="D688" s="11">
        <v>0.72</v>
      </c>
      <c r="E688" s="11">
        <v>5</v>
      </c>
    </row>
    <row r="689" spans="2:5" x14ac:dyDescent="0.25">
      <c r="B689" s="12" t="str">
        <f ca="1">IFERROR(__xludf.DUMMYFUNCTION("""COMPUTED_VALUE"""),"Bruce Hunt")</f>
        <v>Bruce Hunt</v>
      </c>
      <c r="C689" s="12">
        <v>5.0999999999999996</v>
      </c>
      <c r="D689" s="12">
        <v>9.7000000000000003E-2</v>
      </c>
      <c r="E689" s="12">
        <v>1</v>
      </c>
    </row>
    <row r="690" spans="2:5" x14ac:dyDescent="0.25">
      <c r="B690" s="11" t="str">
        <f ca="1">IFERROR(__xludf.DUMMYFUNCTION("""COMPUTED_VALUE"""),"Craig Gillespie")</f>
        <v>Craig Gillespie</v>
      </c>
      <c r="C690" s="11">
        <v>6.9333333333333336</v>
      </c>
      <c r="D690" s="11">
        <v>0.71099999999999997</v>
      </c>
      <c r="E690" s="11">
        <v>3</v>
      </c>
    </row>
    <row r="691" spans="2:5" x14ac:dyDescent="0.25">
      <c r="B691" s="12" t="str">
        <f ca="1">IFERROR(__xludf.DUMMYFUNCTION("""COMPUTED_VALUE"""),"Chris Roberts")</f>
        <v>Chris Roberts</v>
      </c>
      <c r="C691" s="12">
        <v>4.0999999999999996</v>
      </c>
      <c r="D691" s="12">
        <v>3.5000000000000003E-2</v>
      </c>
      <c r="E691" s="12">
        <v>1</v>
      </c>
    </row>
    <row r="692" spans="2:5" x14ac:dyDescent="0.25">
      <c r="B692" s="11" t="str">
        <f ca="1">IFERROR(__xludf.DUMMYFUNCTION("""COMPUTED_VALUE"""),"Jee-woon Kim")</f>
        <v>Jee-woon Kim</v>
      </c>
      <c r="C692" s="11">
        <v>6.85</v>
      </c>
      <c r="D692" s="11">
        <v>0.66800000000000004</v>
      </c>
      <c r="E692" s="11">
        <v>2</v>
      </c>
    </row>
    <row r="693" spans="2:5" x14ac:dyDescent="0.25">
      <c r="B693" s="12" t="str">
        <f ca="1">IFERROR(__xludf.DUMMYFUNCTION("""COMPUTED_VALUE"""),"Nick Hamm")</f>
        <v>Nick Hamm</v>
      </c>
      <c r="C693" s="12">
        <v>4.8</v>
      </c>
      <c r="D693" s="12">
        <v>7.3999999999999996E-2</v>
      </c>
      <c r="E693" s="12">
        <v>1</v>
      </c>
    </row>
    <row r="694" spans="2:5" x14ac:dyDescent="0.25">
      <c r="B694" s="11" t="str">
        <f ca="1">IFERROR(__xludf.DUMMYFUNCTION("""COMPUTED_VALUE"""),"Andy Cadiff")</f>
        <v>Andy Cadiff</v>
      </c>
      <c r="C694" s="11">
        <v>6.1</v>
      </c>
      <c r="D694" s="11">
        <v>0.35099999999999998</v>
      </c>
      <c r="E694" s="11">
        <v>1</v>
      </c>
    </row>
    <row r="695" spans="2:5" x14ac:dyDescent="0.25">
      <c r="B695" s="12" t="str">
        <f ca="1">IFERROR(__xludf.DUMMYFUNCTION("""COMPUTED_VALUE"""),"Mike Disa")</f>
        <v>Mike Disa</v>
      </c>
      <c r="C695" s="12">
        <v>4.8</v>
      </c>
      <c r="D695" s="12">
        <v>7.3999999999999996E-2</v>
      </c>
      <c r="E695" s="12">
        <v>1</v>
      </c>
    </row>
    <row r="696" spans="2:5" x14ac:dyDescent="0.25">
      <c r="B696" s="11" t="str">
        <f ca="1">IFERROR(__xludf.DUMMYFUNCTION("""COMPUTED_VALUE"""),"Sergio Leone")</f>
        <v>Sergio Leone</v>
      </c>
      <c r="C696" s="11">
        <v>8.4333333333333336</v>
      </c>
      <c r="D696" s="11">
        <v>0.996</v>
      </c>
      <c r="E696" s="11">
        <v>3</v>
      </c>
    </row>
    <row r="697" spans="2:5" x14ac:dyDescent="0.25">
      <c r="B697" s="12" t="str">
        <f ca="1">IFERROR(__xludf.DUMMYFUNCTION("""COMPUTED_VALUE"""),"Niels Arden Oplev")</f>
        <v>Niels Arden Oplev</v>
      </c>
      <c r="C697" s="12">
        <v>6.5</v>
      </c>
      <c r="D697" s="12">
        <v>0.504</v>
      </c>
      <c r="E697" s="12">
        <v>1</v>
      </c>
    </row>
    <row r="698" spans="2:5" x14ac:dyDescent="0.25">
      <c r="B698" s="11" t="str">
        <f ca="1">IFERROR(__xludf.DUMMYFUNCTION("""COMPUTED_VALUE"""),"Michael Radford")</f>
        <v>Michael Radford</v>
      </c>
      <c r="C698" s="11">
        <v>7.1</v>
      </c>
      <c r="D698" s="11">
        <v>0.77200000000000002</v>
      </c>
      <c r="E698" s="11">
        <v>1</v>
      </c>
    </row>
    <row r="699" spans="2:5" x14ac:dyDescent="0.25">
      <c r="B699" s="12" t="str">
        <f ca="1">IFERROR(__xludf.DUMMYFUNCTION("""COMPUTED_VALUE"""),"Kaige Chen")</f>
        <v>Kaige Chen</v>
      </c>
      <c r="C699" s="12">
        <v>5.6</v>
      </c>
      <c r="D699" s="12">
        <v>0.19700000000000001</v>
      </c>
      <c r="E699" s="12">
        <v>1</v>
      </c>
    </row>
    <row r="700" spans="2:5" x14ac:dyDescent="0.25">
      <c r="B700" s="11" t="str">
        <f ca="1">IFERROR(__xludf.DUMMYFUNCTION("""COMPUTED_VALUE"""),"Corey Yuen")</f>
        <v>Corey Yuen</v>
      </c>
      <c r="C700" s="11">
        <v>4.8</v>
      </c>
      <c r="D700" s="11">
        <v>7.3999999999999996E-2</v>
      </c>
      <c r="E700" s="11">
        <v>1</v>
      </c>
    </row>
    <row r="701" spans="2:5" x14ac:dyDescent="0.25">
      <c r="B701" s="12" t="str">
        <f ca="1">IFERROR(__xludf.DUMMYFUNCTION("""COMPUTED_VALUE"""),"Andrew Dominik")</f>
        <v>Andrew Dominik</v>
      </c>
      <c r="C701" s="12">
        <v>6.85</v>
      </c>
      <c r="D701" s="12">
        <v>0.66800000000000004</v>
      </c>
      <c r="E701" s="12">
        <v>2</v>
      </c>
    </row>
    <row r="702" spans="2:5" x14ac:dyDescent="0.25">
      <c r="B702" s="11" t="str">
        <f ca="1">IFERROR(__xludf.DUMMYFUNCTION("""COMPUTED_VALUE"""),"Li Zhang")</f>
        <v>Li Zhang</v>
      </c>
      <c r="C702" s="11">
        <v>6</v>
      </c>
      <c r="D702" s="11">
        <v>0.312</v>
      </c>
      <c r="E702" s="11">
        <v>1</v>
      </c>
    </row>
    <row r="703" spans="2:5" x14ac:dyDescent="0.25">
      <c r="B703" s="12" t="str">
        <f ca="1">IFERROR(__xludf.DUMMYFUNCTION("""COMPUTED_VALUE"""),"Elizabeth Banks")</f>
        <v>Elizabeth Banks</v>
      </c>
      <c r="C703" s="12">
        <v>5.4</v>
      </c>
      <c r="D703" s="12">
        <v>0.155</v>
      </c>
      <c r="E703" s="12">
        <v>2</v>
      </c>
    </row>
    <row r="704" spans="2:5" x14ac:dyDescent="0.25">
      <c r="B704" s="11" t="str">
        <f ca="1">IFERROR(__xludf.DUMMYFUNCTION("""COMPUTED_VALUE"""),"Edward Norton")</f>
        <v>Edward Norton</v>
      </c>
      <c r="C704" s="11">
        <v>6.4</v>
      </c>
      <c r="D704" s="11">
        <v>0.46400000000000002</v>
      </c>
      <c r="E704" s="11">
        <v>1</v>
      </c>
    </row>
    <row r="705" spans="2:5" x14ac:dyDescent="0.25">
      <c r="B705" s="12" t="str">
        <f ca="1">IFERROR(__xludf.DUMMYFUNCTION("""COMPUTED_VALUE"""),"Ben Falcone")</f>
        <v>Ben Falcone</v>
      </c>
      <c r="C705" s="12">
        <v>5.0999999999999996</v>
      </c>
      <c r="D705" s="12">
        <v>9.7000000000000003E-2</v>
      </c>
      <c r="E705" s="12">
        <v>2</v>
      </c>
    </row>
    <row r="706" spans="2:5" x14ac:dyDescent="0.25">
      <c r="B706" s="11" t="str">
        <f ca="1">IFERROR(__xludf.DUMMYFUNCTION("""COMPUTED_VALUE"""),"Richard Attenborough")</f>
        <v>Richard Attenborough</v>
      </c>
      <c r="C706" s="11">
        <v>7.4333333333333336</v>
      </c>
      <c r="D706" s="11">
        <v>0.88700000000000001</v>
      </c>
      <c r="E706" s="11">
        <v>3</v>
      </c>
    </row>
    <row r="707" spans="2:5" x14ac:dyDescent="0.25">
      <c r="B707" s="12" t="str">
        <f ca="1">IFERROR(__xludf.DUMMYFUNCTION("""COMPUTED_VALUE"""),"Don Mancini")</f>
        <v>Don Mancini</v>
      </c>
      <c r="C707" s="12">
        <v>4.9000000000000004</v>
      </c>
      <c r="D707" s="12">
        <v>8.2000000000000003E-2</v>
      </c>
      <c r="E707" s="12">
        <v>1</v>
      </c>
    </row>
    <row r="708" spans="2:5" x14ac:dyDescent="0.25">
      <c r="B708" s="11" t="str">
        <f ca="1">IFERROR(__xludf.DUMMYFUNCTION("""COMPUTED_VALUE"""),"John Maybury")</f>
        <v>John Maybury</v>
      </c>
      <c r="C708" s="11">
        <v>7.1</v>
      </c>
      <c r="D708" s="11">
        <v>0.77200000000000002</v>
      </c>
      <c r="E708" s="11">
        <v>1</v>
      </c>
    </row>
    <row r="709" spans="2:5" x14ac:dyDescent="0.25">
      <c r="B709" s="12" t="str">
        <f ca="1">IFERROR(__xludf.DUMMYFUNCTION("""COMPUTED_VALUE"""),"Igor Kovalyov")</f>
        <v>Igor Kovalyov</v>
      </c>
      <c r="C709" s="12">
        <v>5.9</v>
      </c>
      <c r="D709" s="12">
        <v>0.27100000000000002</v>
      </c>
      <c r="E709" s="12">
        <v>1</v>
      </c>
    </row>
    <row r="710" spans="2:5" x14ac:dyDescent="0.25">
      <c r="B710" s="11" t="str">
        <f ca="1">IFERROR(__xludf.DUMMYFUNCTION("""COMPUTED_VALUE"""),"David Wain")</f>
        <v>David Wain</v>
      </c>
      <c r="C710" s="11">
        <v>5.95</v>
      </c>
      <c r="D710" s="11">
        <v>0.30399999999999999</v>
      </c>
      <c r="E710" s="11">
        <v>2</v>
      </c>
    </row>
    <row r="711" spans="2:5" x14ac:dyDescent="0.25">
      <c r="B711" s="12" t="str">
        <f ca="1">IFERROR(__xludf.DUMMYFUNCTION("""COMPUTED_VALUE"""),"Miguel Arteta")</f>
        <v>Miguel Arteta</v>
      </c>
      <c r="C711" s="12">
        <v>6.4499999999999993</v>
      </c>
      <c r="D711" s="12">
        <v>0.49199999999999999</v>
      </c>
      <c r="E711" s="12">
        <v>4</v>
      </c>
    </row>
    <row r="712" spans="2:5" x14ac:dyDescent="0.25">
      <c r="B712" s="11" t="str">
        <f ca="1">IFERROR(__xludf.DUMMYFUNCTION("""COMPUTED_VALUE"""),"James Gray")</f>
        <v>James Gray</v>
      </c>
      <c r="C712" s="11">
        <v>6.75</v>
      </c>
      <c r="D712" s="11">
        <v>0.627</v>
      </c>
      <c r="E712" s="11">
        <v>4</v>
      </c>
    </row>
    <row r="713" spans="2:5" x14ac:dyDescent="0.25">
      <c r="B713" s="12" t="str">
        <f ca="1">IFERROR(__xludf.DUMMYFUNCTION("""COMPUTED_VALUE"""),"Janusz Kaminski")</f>
        <v>Janusz Kaminski</v>
      </c>
      <c r="C713" s="12">
        <v>4.8</v>
      </c>
      <c r="D713" s="12">
        <v>7.3999999999999996E-2</v>
      </c>
      <c r="E713" s="12">
        <v>1</v>
      </c>
    </row>
    <row r="714" spans="2:5" x14ac:dyDescent="0.25">
      <c r="B714" s="11" t="str">
        <f ca="1">IFERROR(__xludf.DUMMYFUNCTION("""COMPUTED_VALUE"""),"Michael Ritchie")</f>
        <v>Michael Ritchie</v>
      </c>
      <c r="C714" s="11">
        <v>5.65</v>
      </c>
      <c r="D714" s="11">
        <v>0.223</v>
      </c>
      <c r="E714" s="11">
        <v>2</v>
      </c>
    </row>
    <row r="715" spans="2:5" x14ac:dyDescent="0.25">
      <c r="B715" s="12" t="str">
        <f ca="1">IFERROR(__xludf.DUMMYFUNCTION("""COMPUTED_VALUE"""),"Robert B. Weide")</f>
        <v>Robert B. Weide</v>
      </c>
      <c r="C715" s="12">
        <v>6.5</v>
      </c>
      <c r="D715" s="12">
        <v>0.504</v>
      </c>
      <c r="E715" s="12">
        <v>1</v>
      </c>
    </row>
    <row r="716" spans="2:5" x14ac:dyDescent="0.25">
      <c r="B716" s="11" t="str">
        <f ca="1">IFERROR(__xludf.DUMMYFUNCTION("""COMPUTED_VALUE"""),"Jeff Wadlow")</f>
        <v>Jeff Wadlow</v>
      </c>
      <c r="C716" s="11">
        <v>6.3666666666666671</v>
      </c>
      <c r="D716" s="11">
        <v>0.45900000000000002</v>
      </c>
      <c r="E716" s="11">
        <v>3</v>
      </c>
    </row>
    <row r="717" spans="2:5" x14ac:dyDescent="0.25">
      <c r="B717" s="12" t="str">
        <f ca="1">IFERROR(__xludf.DUMMYFUNCTION("""COMPUTED_VALUE"""),"Camille Delamarre")</f>
        <v>Camille Delamarre</v>
      </c>
      <c r="C717" s="12">
        <v>5.4</v>
      </c>
      <c r="D717" s="12">
        <v>0.155</v>
      </c>
      <c r="E717" s="12">
        <v>2</v>
      </c>
    </row>
    <row r="718" spans="2:5" x14ac:dyDescent="0.25">
      <c r="B718" s="11" t="str">
        <f ca="1">IFERROR(__xludf.DUMMYFUNCTION("""COMPUTED_VALUE"""),"Malcolm D. Lee")</f>
        <v>Malcolm D. Lee</v>
      </c>
      <c r="C718" s="11">
        <v>5.6</v>
      </c>
      <c r="D718" s="11">
        <v>0.19700000000000001</v>
      </c>
      <c r="E718" s="11">
        <v>5</v>
      </c>
    </row>
    <row r="719" spans="2:5" x14ac:dyDescent="0.25">
      <c r="B719" s="12" t="str">
        <f ca="1">IFERROR(__xludf.DUMMYFUNCTION("""COMPUTED_VALUE"""),"David Lean")</f>
        <v>David Lean</v>
      </c>
      <c r="C719" s="12">
        <v>8</v>
      </c>
      <c r="D719" s="12">
        <v>0.97799999999999998</v>
      </c>
      <c r="E719" s="12">
        <v>4</v>
      </c>
    </row>
    <row r="720" spans="2:5" x14ac:dyDescent="0.25">
      <c r="B720" s="11" t="str">
        <f ca="1">IFERROR(__xludf.DUMMYFUNCTION("""COMPUTED_VALUE"""),"Richard Eyre")</f>
        <v>Richard Eyre</v>
      </c>
      <c r="C720" s="11">
        <v>7.25</v>
      </c>
      <c r="D720" s="11">
        <v>0.84399999999999997</v>
      </c>
      <c r="E720" s="11">
        <v>2</v>
      </c>
    </row>
    <row r="721" spans="2:5" x14ac:dyDescent="0.25">
      <c r="B721" s="12" t="str">
        <f ca="1">IFERROR(__xludf.DUMMYFUNCTION("""COMPUTED_VALUE"""),"Nicholas Meyer")</f>
        <v>Nicholas Meyer</v>
      </c>
      <c r="C721" s="12">
        <v>7.45</v>
      </c>
      <c r="D721" s="12">
        <v>0.88900000000000001</v>
      </c>
      <c r="E721" s="12">
        <v>2</v>
      </c>
    </row>
    <row r="722" spans="2:5" x14ac:dyDescent="0.25">
      <c r="B722" s="11" t="str">
        <f ca="1">IFERROR(__xludf.DUMMYFUNCTION("""COMPUTED_VALUE"""),"Callie Khouri")</f>
        <v>Callie Khouri</v>
      </c>
      <c r="C722" s="11">
        <v>5.9</v>
      </c>
      <c r="D722" s="11">
        <v>0.27100000000000002</v>
      </c>
      <c r="E722" s="11">
        <v>2</v>
      </c>
    </row>
    <row r="723" spans="2:5" x14ac:dyDescent="0.25">
      <c r="B723" s="12" t="str">
        <f ca="1">IFERROR(__xludf.DUMMYFUNCTION("""COMPUTED_VALUE"""),"Todd Graff")</f>
        <v>Todd Graff</v>
      </c>
      <c r="C723" s="12">
        <v>6.0500000000000007</v>
      </c>
      <c r="D723" s="12">
        <v>0.34399999999999997</v>
      </c>
      <c r="E723" s="12">
        <v>2</v>
      </c>
    </row>
    <row r="724" spans="2:5" x14ac:dyDescent="0.25">
      <c r="B724" s="11" t="str">
        <f ca="1">IFERROR(__xludf.DUMMYFUNCTION("""COMPUTED_VALUE"""),"Philip Kaufman")</f>
        <v>Philip Kaufman</v>
      </c>
      <c r="C724" s="11">
        <v>7.65</v>
      </c>
      <c r="D724" s="11">
        <v>0.93300000000000005</v>
      </c>
      <c r="E724" s="11">
        <v>2</v>
      </c>
    </row>
    <row r="725" spans="2:5" x14ac:dyDescent="0.25">
      <c r="B725" s="12" t="str">
        <f ca="1">IFERROR(__xludf.DUMMYFUNCTION("""COMPUTED_VALUE"""),"Saul Dibb")</f>
        <v>Saul Dibb</v>
      </c>
      <c r="C725" s="12">
        <v>6.9</v>
      </c>
      <c r="D725" s="12">
        <v>0.68200000000000005</v>
      </c>
      <c r="E725" s="12">
        <v>1</v>
      </c>
    </row>
    <row r="726" spans="2:5" x14ac:dyDescent="0.25">
      <c r="B726" s="11" t="str">
        <f ca="1">IFERROR(__xludf.DUMMYFUNCTION("""COMPUTED_VALUE"""),"Richard Linklater")</f>
        <v>Richard Linklater</v>
      </c>
      <c r="C726" s="11">
        <v>7.3272727272727272</v>
      </c>
      <c r="D726" s="11">
        <v>0.87</v>
      </c>
      <c r="E726" s="11">
        <v>11</v>
      </c>
    </row>
    <row r="727" spans="2:5" x14ac:dyDescent="0.25">
      <c r="B727" s="12" t="str">
        <f ca="1">IFERROR(__xludf.DUMMYFUNCTION("""COMPUTED_VALUE"""),"E. Elias Merhige")</f>
        <v>E. Elias Merhige</v>
      </c>
      <c r="C727" s="12">
        <v>6.4</v>
      </c>
      <c r="D727" s="12">
        <v>0.46400000000000002</v>
      </c>
      <c r="E727" s="12">
        <v>2</v>
      </c>
    </row>
    <row r="728" spans="2:5" x14ac:dyDescent="0.25">
      <c r="B728" s="11" t="str">
        <f ca="1">IFERROR(__xludf.DUMMYFUNCTION("""COMPUTED_VALUE"""),"Menno Meyjes")</f>
        <v>Menno Meyjes</v>
      </c>
      <c r="C728" s="11">
        <v>6.8</v>
      </c>
      <c r="D728" s="11">
        <v>0.63800000000000001</v>
      </c>
      <c r="E728" s="11">
        <v>1</v>
      </c>
    </row>
    <row r="729" spans="2:5" x14ac:dyDescent="0.25">
      <c r="B729" s="12" t="str">
        <f ca="1">IFERROR(__xludf.DUMMYFUNCTION("""COMPUTED_VALUE"""),"Jodie Foster")</f>
        <v>Jodie Foster</v>
      </c>
      <c r="C729" s="12">
        <v>6.666666666666667</v>
      </c>
      <c r="D729" s="12">
        <v>0.59199999999999997</v>
      </c>
      <c r="E729" s="12">
        <v>3</v>
      </c>
    </row>
    <row r="730" spans="2:5" x14ac:dyDescent="0.25">
      <c r="B730" s="11" t="str">
        <f ca="1">IFERROR(__xludf.DUMMYFUNCTION("""COMPUTED_VALUE"""),"Scott Frank")</f>
        <v>Scott Frank</v>
      </c>
      <c r="C730" s="11">
        <v>6.5</v>
      </c>
      <c r="D730" s="11">
        <v>0.504</v>
      </c>
      <c r="E730" s="11">
        <v>1</v>
      </c>
    </row>
    <row r="731" spans="2:5" x14ac:dyDescent="0.25">
      <c r="B731" s="12" t="str">
        <f ca="1">IFERROR(__xludf.DUMMYFUNCTION("""COMPUTED_VALUE"""),"Kevin Allen")</f>
        <v>Kevin Allen</v>
      </c>
      <c r="C731" s="12">
        <v>5.4</v>
      </c>
      <c r="D731" s="12">
        <v>0.155</v>
      </c>
      <c r="E731" s="12">
        <v>2</v>
      </c>
    </row>
    <row r="732" spans="2:5" x14ac:dyDescent="0.25">
      <c r="B732" s="11" t="str">
        <f ca="1">IFERROR(__xludf.DUMMYFUNCTION("""COMPUTED_VALUE"""),"Michael Cristofer")</f>
        <v>Michael Cristofer</v>
      </c>
      <c r="C732" s="11">
        <v>6</v>
      </c>
      <c r="D732" s="11">
        <v>0.312</v>
      </c>
      <c r="E732" s="11">
        <v>1</v>
      </c>
    </row>
    <row r="733" spans="2:5" x14ac:dyDescent="0.25">
      <c r="B733" s="12" t="str">
        <f ca="1">IFERROR(__xludf.DUMMYFUNCTION("""COMPUTED_VALUE"""),"Andrew Morahan")</f>
        <v>Andrew Morahan</v>
      </c>
      <c r="C733" s="12">
        <v>4.3</v>
      </c>
      <c r="D733" s="12">
        <v>4.4999999999999998E-2</v>
      </c>
      <c r="E733" s="12">
        <v>1</v>
      </c>
    </row>
    <row r="734" spans="2:5" x14ac:dyDescent="0.25">
      <c r="B734" s="11" t="str">
        <f ca="1">IFERROR(__xludf.DUMMYFUNCTION("""COMPUTED_VALUE"""),"Bob Rafelson")</f>
        <v>Bob Rafelson</v>
      </c>
      <c r="C734" s="11">
        <v>6.1</v>
      </c>
      <c r="D734" s="11">
        <v>0.35099999999999998</v>
      </c>
      <c r="E734" s="11">
        <v>1</v>
      </c>
    </row>
    <row r="735" spans="2:5" x14ac:dyDescent="0.25">
      <c r="B735" s="12" t="str">
        <f ca="1">IFERROR(__xludf.DUMMYFUNCTION("""COMPUTED_VALUE"""),"Alan Shapiro")</f>
        <v>Alan Shapiro</v>
      </c>
      <c r="C735" s="12">
        <v>5.2</v>
      </c>
      <c r="D735" s="12">
        <v>0.113</v>
      </c>
      <c r="E735" s="12">
        <v>1</v>
      </c>
    </row>
    <row r="736" spans="2:5" x14ac:dyDescent="0.25">
      <c r="B736" s="11" t="str">
        <f ca="1">IFERROR(__xludf.DUMMYFUNCTION("""COMPUTED_VALUE"""),"Fernando Meirelles")</f>
        <v>Fernando Meirelles</v>
      </c>
      <c r="C736" s="11">
        <v>7.5999999999999988</v>
      </c>
      <c r="D736" s="11">
        <v>0.91400000000000003</v>
      </c>
      <c r="E736" s="11">
        <v>3</v>
      </c>
    </row>
    <row r="737" spans="2:5" x14ac:dyDescent="0.25">
      <c r="B737" s="12" t="str">
        <f ca="1">IFERROR(__xludf.DUMMYFUNCTION("""COMPUTED_VALUE"""),"Michael Hoffman")</f>
        <v>Michael Hoffman</v>
      </c>
      <c r="C737" s="12">
        <v>6.8666666666666671</v>
      </c>
      <c r="D737" s="12">
        <v>0.67800000000000005</v>
      </c>
      <c r="E737" s="12">
        <v>3</v>
      </c>
    </row>
    <row r="738" spans="2:5" x14ac:dyDescent="0.25">
      <c r="B738" s="11" t="str">
        <f ca="1">IFERROR(__xludf.DUMMYFUNCTION("""COMPUTED_VALUE"""),"Michael Pressman")</f>
        <v>Michael Pressman</v>
      </c>
      <c r="C738" s="11">
        <v>6</v>
      </c>
      <c r="D738" s="11">
        <v>0.312</v>
      </c>
      <c r="E738" s="11">
        <v>1</v>
      </c>
    </row>
    <row r="739" spans="2:5" x14ac:dyDescent="0.25">
      <c r="B739" s="12" t="str">
        <f ca="1">IFERROR(__xludf.DUMMYFUNCTION("""COMPUTED_VALUE"""),"Sharon Maguire")</f>
        <v>Sharon Maguire</v>
      </c>
      <c r="C739" s="12">
        <v>6.7</v>
      </c>
      <c r="D739" s="12">
        <v>0.6</v>
      </c>
      <c r="E739" s="12">
        <v>1</v>
      </c>
    </row>
    <row r="740" spans="2:5" x14ac:dyDescent="0.25">
      <c r="B740" s="11" t="str">
        <f ca="1">IFERROR(__xludf.DUMMYFUNCTION("""COMPUTED_VALUE"""),"Charles Herman-Wurmfeld")</f>
        <v>Charles Herman-Wurmfeld</v>
      </c>
      <c r="C740" s="11">
        <v>6.2</v>
      </c>
      <c r="D740" s="11">
        <v>0.39100000000000001</v>
      </c>
      <c r="E740" s="11">
        <v>3</v>
      </c>
    </row>
    <row r="741" spans="2:5" x14ac:dyDescent="0.25">
      <c r="B741" s="12" t="str">
        <f ca="1">IFERROR(__xludf.DUMMYFUNCTION("""COMPUTED_VALUE"""),"Gabor Csupo")</f>
        <v>Gabor Csupo</v>
      </c>
      <c r="C741" s="12">
        <v>7.2</v>
      </c>
      <c r="D741" s="12">
        <v>0.81200000000000006</v>
      </c>
      <c r="E741" s="12">
        <v>1</v>
      </c>
    </row>
    <row r="742" spans="2:5" x14ac:dyDescent="0.25">
      <c r="B742" s="11" t="str">
        <f ca="1">IFERROR(__xludf.DUMMYFUNCTION("""COMPUTED_VALUE"""),"Tyler Perry")</f>
        <v>Tyler Perry</v>
      </c>
      <c r="C742" s="11">
        <v>4.7666666666666666</v>
      </c>
      <c r="D742" s="11">
        <v>7.2999999999999995E-2</v>
      </c>
      <c r="E742" s="11">
        <v>6</v>
      </c>
    </row>
    <row r="743" spans="2:5" x14ac:dyDescent="0.25">
      <c r="B743" s="12" t="str">
        <f ca="1">IFERROR(__xludf.DUMMYFUNCTION("""COMPUTED_VALUE"""),"Joe Carnahan")</f>
        <v>Joe Carnahan</v>
      </c>
      <c r="C743" s="12">
        <v>6.8999999999999995</v>
      </c>
      <c r="D743" s="12">
        <v>0.68</v>
      </c>
      <c r="E743" s="12">
        <v>3</v>
      </c>
    </row>
    <row r="744" spans="2:5" x14ac:dyDescent="0.25">
      <c r="B744" s="11" t="str">
        <f ca="1">IFERROR(__xludf.DUMMYFUNCTION("""COMPUTED_VALUE"""),"John Polson")</f>
        <v>John Polson</v>
      </c>
      <c r="C744" s="11">
        <v>5.45</v>
      </c>
      <c r="D744" s="11">
        <v>0.17199999999999999</v>
      </c>
      <c r="E744" s="11">
        <v>2</v>
      </c>
    </row>
    <row r="745" spans="2:5" x14ac:dyDescent="0.25">
      <c r="B745" s="12" t="str">
        <f ca="1">IFERROR(__xludf.DUMMYFUNCTION("""COMPUTED_VALUE"""),"Bernardo Bertolucci")</f>
        <v>Bernardo Bertolucci</v>
      </c>
      <c r="C745" s="12">
        <v>7.8</v>
      </c>
      <c r="D745" s="12">
        <v>0.95799999999999996</v>
      </c>
      <c r="E745" s="12">
        <v>1</v>
      </c>
    </row>
    <row r="746" spans="2:5" x14ac:dyDescent="0.25">
      <c r="B746" s="11" t="str">
        <f ca="1">IFERROR(__xludf.DUMMYFUNCTION("""COMPUTED_VALUE"""),"Cathy Malkasian")</f>
        <v>Cathy Malkasian</v>
      </c>
      <c r="C746" s="11">
        <v>5.2</v>
      </c>
      <c r="D746" s="11">
        <v>0.113</v>
      </c>
      <c r="E746" s="11">
        <v>1</v>
      </c>
    </row>
    <row r="747" spans="2:5" x14ac:dyDescent="0.25">
      <c r="B747" s="12" t="str">
        <f ca="1">IFERROR(__xludf.DUMMYFUNCTION("""COMPUTED_VALUE"""),"John Eng")</f>
        <v>John Eng</v>
      </c>
      <c r="C747" s="12">
        <v>5.6</v>
      </c>
      <c r="D747" s="12">
        <v>0.19700000000000001</v>
      </c>
      <c r="E747" s="12">
        <v>1</v>
      </c>
    </row>
    <row r="748" spans="2:5" x14ac:dyDescent="0.25">
      <c r="B748" s="11" t="str">
        <f ca="1">IFERROR(__xludf.DUMMYFUNCTION("""COMPUTED_VALUE"""),"Chris Nahon")</f>
        <v>Chris Nahon</v>
      </c>
      <c r="C748" s="11">
        <v>6.6</v>
      </c>
      <c r="D748" s="11">
        <v>0.55300000000000005</v>
      </c>
      <c r="E748" s="11">
        <v>1</v>
      </c>
    </row>
    <row r="749" spans="2:5" x14ac:dyDescent="0.25">
      <c r="B749" s="12" t="str">
        <f ca="1">IFERROR(__xludf.DUMMYFUNCTION("""COMPUTED_VALUE"""),"Fred Wolf")</f>
        <v>Fred Wolf</v>
      </c>
      <c r="C749" s="12">
        <v>5.4</v>
      </c>
      <c r="D749" s="12">
        <v>0.155</v>
      </c>
      <c r="E749" s="12">
        <v>2</v>
      </c>
    </row>
    <row r="750" spans="2:5" x14ac:dyDescent="0.25">
      <c r="B750" s="11" t="str">
        <f ca="1">IFERROR(__xludf.DUMMYFUNCTION("""COMPUTED_VALUE"""),"Victor Salva")</f>
        <v>Victor Salva</v>
      </c>
      <c r="C750" s="11">
        <v>6.333333333333333</v>
      </c>
      <c r="D750" s="11">
        <v>0.45300000000000001</v>
      </c>
      <c r="E750" s="11">
        <v>3</v>
      </c>
    </row>
    <row r="751" spans="2:5" x14ac:dyDescent="0.25">
      <c r="B751" s="12" t="str">
        <f ca="1">IFERROR(__xludf.DUMMYFUNCTION("""COMPUTED_VALUE"""),"Mark Helfrich")</f>
        <v>Mark Helfrich</v>
      </c>
      <c r="C751" s="12">
        <v>5.6</v>
      </c>
      <c r="D751" s="12">
        <v>0.19700000000000001</v>
      </c>
      <c r="E751" s="12">
        <v>1</v>
      </c>
    </row>
    <row r="752" spans="2:5" x14ac:dyDescent="0.25">
      <c r="B752" s="11" t="str">
        <f ca="1">IFERROR(__xludf.DUMMYFUNCTION("""COMPUTED_VALUE"""),"Steve Bendelack")</f>
        <v>Steve Bendelack</v>
      </c>
      <c r="C752" s="11">
        <v>6.3</v>
      </c>
      <c r="D752" s="11">
        <v>0.42299999999999999</v>
      </c>
      <c r="E752" s="11">
        <v>1</v>
      </c>
    </row>
    <row r="753" spans="2:5" x14ac:dyDescent="0.25">
      <c r="B753" s="12" t="str">
        <f ca="1">IFERROR(__xludf.DUMMYFUNCTION("""COMPUTED_VALUE"""),"Dwight H. Little")</f>
        <v>Dwight H. Little</v>
      </c>
      <c r="C753" s="12">
        <v>5.25</v>
      </c>
      <c r="D753" s="12">
        <v>0.125</v>
      </c>
      <c r="E753" s="12">
        <v>2</v>
      </c>
    </row>
    <row r="754" spans="2:5" x14ac:dyDescent="0.25">
      <c r="B754" s="11" t="str">
        <f ca="1">IFERROR(__xludf.DUMMYFUNCTION("""COMPUTED_VALUE"""),"Guillaume Canet")</f>
        <v>Guillaume Canet</v>
      </c>
      <c r="C754" s="11">
        <v>6.8</v>
      </c>
      <c r="D754" s="11">
        <v>0.63800000000000001</v>
      </c>
      <c r="E754" s="11">
        <v>2</v>
      </c>
    </row>
    <row r="755" spans="2:5" x14ac:dyDescent="0.25">
      <c r="B755" s="12" t="str">
        <f ca="1">IFERROR(__xludf.DUMMYFUNCTION("""COMPUTED_VALUE"""),"Kirsten Sheridan")</f>
        <v>Kirsten Sheridan</v>
      </c>
      <c r="C755" s="12">
        <v>7.5</v>
      </c>
      <c r="D755" s="12">
        <v>0.89300000000000002</v>
      </c>
      <c r="E755" s="12">
        <v>1</v>
      </c>
    </row>
    <row r="756" spans="2:5" x14ac:dyDescent="0.25">
      <c r="B756" s="11" t="str">
        <f ca="1">IFERROR(__xludf.DUMMYFUNCTION("""COMPUTED_VALUE"""),"Richard Fleischer")</f>
        <v>Richard Fleischer</v>
      </c>
      <c r="C756" s="11">
        <v>6.65</v>
      </c>
      <c r="D756" s="11">
        <v>0.58699999999999997</v>
      </c>
      <c r="E756" s="11">
        <v>2</v>
      </c>
    </row>
    <row r="757" spans="2:5" x14ac:dyDescent="0.25">
      <c r="B757" s="12" t="str">
        <f ca="1">IFERROR(__xludf.DUMMYFUNCTION("""COMPUTED_VALUE"""),"Bob Spiers")</f>
        <v>Bob Spiers</v>
      </c>
      <c r="C757" s="12">
        <v>3.3</v>
      </c>
      <c r="D757" s="12">
        <v>0.01</v>
      </c>
      <c r="E757" s="12">
        <v>1</v>
      </c>
    </row>
    <row r="758" spans="2:5" x14ac:dyDescent="0.25">
      <c r="B758" s="11" t="str">
        <f ca="1">IFERROR(__xludf.DUMMYFUNCTION("""COMPUTED_VALUE"""),"Damien Dante Wayans")</f>
        <v>Damien Dante Wayans</v>
      </c>
      <c r="C758" s="11">
        <v>3.5</v>
      </c>
      <c r="D758" s="11">
        <v>1.7000000000000001E-2</v>
      </c>
      <c r="E758" s="11">
        <v>1</v>
      </c>
    </row>
    <row r="759" spans="2:5" x14ac:dyDescent="0.25">
      <c r="B759" s="12" t="str">
        <f ca="1">IFERROR(__xludf.DUMMYFUNCTION("""COMPUTED_VALUE"""),"John Wells")</f>
        <v>John Wells</v>
      </c>
      <c r="C759" s="12">
        <v>6.9499999999999993</v>
      </c>
      <c r="D759" s="12">
        <v>0.71499999999999997</v>
      </c>
      <c r="E759" s="12">
        <v>2</v>
      </c>
    </row>
    <row r="760" spans="2:5" x14ac:dyDescent="0.25">
      <c r="B760" s="11" t="str">
        <f ca="1">IFERROR(__xludf.DUMMYFUNCTION("""COMPUTED_VALUE"""),"Nigel Cole")</f>
        <v>Nigel Cole</v>
      </c>
      <c r="C760" s="11">
        <v>6.9</v>
      </c>
      <c r="D760" s="11">
        <v>0.68200000000000005</v>
      </c>
      <c r="E760" s="11">
        <v>2</v>
      </c>
    </row>
    <row r="761" spans="2:5" x14ac:dyDescent="0.25">
      <c r="B761" s="12" t="str">
        <f ca="1">IFERROR(__xludf.DUMMYFUNCTION("""COMPUTED_VALUE"""),"Dexter Fletcher")</f>
        <v>Dexter Fletcher</v>
      </c>
      <c r="C761" s="12">
        <v>7.5</v>
      </c>
      <c r="D761" s="12">
        <v>0.89300000000000002</v>
      </c>
      <c r="E761" s="12">
        <v>1</v>
      </c>
    </row>
    <row r="762" spans="2:5" x14ac:dyDescent="0.25">
      <c r="B762" s="11" t="str">
        <f ca="1">IFERROR(__xludf.DUMMYFUNCTION("""COMPUTED_VALUE"""),"Jeremy Leven")</f>
        <v>Jeremy Leven</v>
      </c>
      <c r="C762" s="11">
        <v>6.8</v>
      </c>
      <c r="D762" s="11">
        <v>0.63800000000000001</v>
      </c>
      <c r="E762" s="11">
        <v>1</v>
      </c>
    </row>
    <row r="763" spans="2:5" x14ac:dyDescent="0.25">
      <c r="B763" s="12" t="str">
        <f ca="1">IFERROR(__xludf.DUMMYFUNCTION("""COMPUTED_VALUE"""),"Sylvain White")</f>
        <v>Sylvain White</v>
      </c>
      <c r="C763" s="12">
        <v>5.8000000000000007</v>
      </c>
      <c r="D763" s="12">
        <v>0.26600000000000001</v>
      </c>
      <c r="E763" s="12">
        <v>2</v>
      </c>
    </row>
    <row r="764" spans="2:5" x14ac:dyDescent="0.25">
      <c r="B764" s="11" t="str">
        <f ca="1">IFERROR(__xludf.DUMMYFUNCTION("""COMPUTED_VALUE"""),"Troy Nixey")</f>
        <v>Troy Nixey</v>
      </c>
      <c r="C764" s="11">
        <v>5.6</v>
      </c>
      <c r="D764" s="11">
        <v>0.19700000000000001</v>
      </c>
      <c r="E764" s="11">
        <v>1</v>
      </c>
    </row>
    <row r="765" spans="2:5" x14ac:dyDescent="0.25">
      <c r="B765" s="12" t="str">
        <f ca="1">IFERROR(__xludf.DUMMYFUNCTION("""COMPUTED_VALUE"""),"Philip G. Atwell")</f>
        <v>Philip G. Atwell</v>
      </c>
      <c r="C765" s="12">
        <v>6.3</v>
      </c>
      <c r="D765" s="12">
        <v>0.42299999999999999</v>
      </c>
      <c r="E765" s="12">
        <v>1</v>
      </c>
    </row>
    <row r="766" spans="2:5" x14ac:dyDescent="0.25">
      <c r="B766" s="11" t="str">
        <f ca="1">IFERROR(__xludf.DUMMYFUNCTION("""COMPUTED_VALUE"""),"Jeff Schaffer")</f>
        <v>Jeff Schaffer</v>
      </c>
      <c r="C766" s="11">
        <v>6.6</v>
      </c>
      <c r="D766" s="11">
        <v>0.55300000000000005</v>
      </c>
      <c r="E766" s="11">
        <v>1</v>
      </c>
    </row>
    <row r="767" spans="2:5" x14ac:dyDescent="0.25">
      <c r="B767" s="12" t="str">
        <f ca="1">IFERROR(__xludf.DUMMYFUNCTION("""COMPUTED_VALUE"""),"Don Michael Paul")</f>
        <v>Don Michael Paul</v>
      </c>
      <c r="C767" s="12">
        <v>3.3</v>
      </c>
      <c r="D767" s="12">
        <v>0.01</v>
      </c>
      <c r="E767" s="12">
        <v>2</v>
      </c>
    </row>
    <row r="768" spans="2:5" x14ac:dyDescent="0.25">
      <c r="B768" s="11" t="str">
        <f ca="1">IFERROR(__xludf.DUMMYFUNCTION("""COMPUTED_VALUE"""),"James Bridges")</f>
        <v>James Bridges</v>
      </c>
      <c r="C768" s="11">
        <v>5.6</v>
      </c>
      <c r="D768" s="11">
        <v>0.19700000000000001</v>
      </c>
      <c r="E768" s="11">
        <v>1</v>
      </c>
    </row>
    <row r="769" spans="2:5" x14ac:dyDescent="0.25">
      <c r="B769" s="12" t="str">
        <f ca="1">IFERROR(__xludf.DUMMYFUNCTION("""COMPUTED_VALUE"""),"Steve Barron")</f>
        <v>Steve Barron</v>
      </c>
      <c r="C769" s="12">
        <v>5.3</v>
      </c>
      <c r="D769" s="12">
        <v>0.13</v>
      </c>
      <c r="E769" s="12">
        <v>1</v>
      </c>
    </row>
    <row r="770" spans="2:5" x14ac:dyDescent="0.25">
      <c r="B770" s="11" t="str">
        <f ca="1">IFERROR(__xludf.DUMMYFUNCTION("""COMPUTED_VALUE"""),"Richard Kelly")</f>
        <v>Richard Kelly</v>
      </c>
      <c r="C770" s="11">
        <v>6.3999999999999995</v>
      </c>
      <c r="D770" s="11">
        <v>0.46200000000000002</v>
      </c>
      <c r="E770" s="11">
        <v>3</v>
      </c>
    </row>
    <row r="771" spans="2:5" x14ac:dyDescent="0.25">
      <c r="B771" s="12" t="str">
        <f ca="1">IFERROR(__xludf.DUMMYFUNCTION("""COMPUTED_VALUE"""),"Carter Smith")</f>
        <v>Carter Smith</v>
      </c>
      <c r="C771" s="12">
        <v>5.9</v>
      </c>
      <c r="D771" s="12">
        <v>0.27100000000000002</v>
      </c>
      <c r="E771" s="12">
        <v>1</v>
      </c>
    </row>
    <row r="772" spans="2:5" x14ac:dyDescent="0.25">
      <c r="B772" s="11" t="str">
        <f ca="1">IFERROR(__xludf.DUMMYFUNCTION("""COMPUTED_VALUE"""),"John Schlesinger")</f>
        <v>John Schlesinger</v>
      </c>
      <c r="C772" s="11">
        <v>5.4</v>
      </c>
      <c r="D772" s="11">
        <v>0.155</v>
      </c>
      <c r="E772" s="11">
        <v>2</v>
      </c>
    </row>
    <row r="773" spans="2:5" x14ac:dyDescent="0.25">
      <c r="B773" s="12" t="str">
        <f ca="1">IFERROR(__xludf.DUMMYFUNCTION("""COMPUTED_VALUE"""),"Ringo Lam")</f>
        <v>Ringo Lam</v>
      </c>
      <c r="C773" s="12">
        <v>5.4</v>
      </c>
      <c r="D773" s="12">
        <v>0.155</v>
      </c>
      <c r="E773" s="12">
        <v>1</v>
      </c>
    </row>
    <row r="774" spans="2:5" x14ac:dyDescent="0.25">
      <c r="B774" s="11" t="str">
        <f ca="1">IFERROR(__xludf.DUMMYFUNCTION("""COMPUTED_VALUE"""),"Bruce McCulloch")</f>
        <v>Bruce McCulloch</v>
      </c>
      <c r="C774" s="11">
        <v>5.05</v>
      </c>
      <c r="D774" s="11">
        <v>9.6000000000000002E-2</v>
      </c>
      <c r="E774" s="11">
        <v>2</v>
      </c>
    </row>
    <row r="775" spans="2:5" x14ac:dyDescent="0.25">
      <c r="B775" s="12" t="str">
        <f ca="1">IFERROR(__xludf.DUMMYFUNCTION("""COMPUTED_VALUE"""),"Patricia Riggen")</f>
        <v>Patricia Riggen</v>
      </c>
      <c r="C775" s="12">
        <v>6.85</v>
      </c>
      <c r="D775" s="12">
        <v>0.66800000000000004</v>
      </c>
      <c r="E775" s="12">
        <v>2</v>
      </c>
    </row>
    <row r="776" spans="2:5" x14ac:dyDescent="0.25">
      <c r="B776" s="11" t="str">
        <f ca="1">IFERROR(__xludf.DUMMYFUNCTION("""COMPUTED_VALUE"""),"Jonathan Kaplan")</f>
        <v>Jonathan Kaplan</v>
      </c>
      <c r="C776" s="11">
        <v>6.4</v>
      </c>
      <c r="D776" s="11">
        <v>0.46400000000000002</v>
      </c>
      <c r="E776" s="11">
        <v>1</v>
      </c>
    </row>
    <row r="777" spans="2:5" x14ac:dyDescent="0.25">
      <c r="B777" s="12" t="str">
        <f ca="1">IFERROR(__xludf.DUMMYFUNCTION("""COMPUTED_VALUE"""),"Ole Bornedal")</f>
        <v>Ole Bornedal</v>
      </c>
      <c r="C777" s="12">
        <v>5.9</v>
      </c>
      <c r="D777" s="12">
        <v>0.27100000000000002</v>
      </c>
      <c r="E777" s="12">
        <v>1</v>
      </c>
    </row>
    <row r="778" spans="2:5" x14ac:dyDescent="0.25">
      <c r="B778" s="11" t="str">
        <f ca="1">IFERROR(__xludf.DUMMYFUNCTION("""COMPUTED_VALUE"""),"Richard Benjamin")</f>
        <v>Richard Benjamin</v>
      </c>
      <c r="C778" s="11">
        <v>4.7333333333333334</v>
      </c>
      <c r="D778" s="11">
        <v>7.2999999999999995E-2</v>
      </c>
      <c r="E778" s="11">
        <v>3</v>
      </c>
    </row>
    <row r="779" spans="2:5" x14ac:dyDescent="0.25">
      <c r="B779" s="12" t="str">
        <f ca="1">IFERROR(__xludf.DUMMYFUNCTION("""COMPUTED_VALUE"""),"Craig R. Baxley")</f>
        <v>Craig R. Baxley</v>
      </c>
      <c r="C779" s="12">
        <v>5.5500000000000007</v>
      </c>
      <c r="D779" s="12">
        <v>0.19500000000000001</v>
      </c>
      <c r="E779" s="12">
        <v>2</v>
      </c>
    </row>
    <row r="780" spans="2:5" x14ac:dyDescent="0.25">
      <c r="B780" s="11" t="str">
        <f ca="1">IFERROR(__xludf.DUMMYFUNCTION("""COMPUTED_VALUE"""),"John Hillcoat")</f>
        <v>John Hillcoat</v>
      </c>
      <c r="C780" s="11">
        <v>7</v>
      </c>
      <c r="D780" s="11">
        <v>0.72299999999999998</v>
      </c>
      <c r="E780" s="11">
        <v>3</v>
      </c>
    </row>
    <row r="781" spans="2:5" x14ac:dyDescent="0.25">
      <c r="B781" s="12" t="str">
        <f ca="1">IFERROR(__xludf.DUMMYFUNCTION("""COMPUTED_VALUE"""),"Marcos Siega")</f>
        <v>Marcos Siega</v>
      </c>
      <c r="C781" s="12">
        <v>4.0999999999999996</v>
      </c>
      <c r="D781" s="12">
        <v>3.5000000000000003E-2</v>
      </c>
      <c r="E781" s="12">
        <v>1</v>
      </c>
    </row>
    <row r="782" spans="2:5" x14ac:dyDescent="0.25">
      <c r="B782" s="11" t="str">
        <f ca="1">IFERROR(__xludf.DUMMYFUNCTION("""COMPUTED_VALUE"""),"Rachel Talalay")</f>
        <v>Rachel Talalay</v>
      </c>
      <c r="C782" s="11">
        <v>5.0500000000000007</v>
      </c>
      <c r="D782" s="11">
        <v>9.7000000000000003E-2</v>
      </c>
      <c r="E782" s="11">
        <v>2</v>
      </c>
    </row>
    <row r="783" spans="2:5" x14ac:dyDescent="0.25">
      <c r="B783" s="12" t="str">
        <f ca="1">IFERROR(__xludf.DUMMYFUNCTION("""COMPUTED_VALUE"""),"Jeffrey W. Byrd")</f>
        <v>Jeffrey W. Byrd</v>
      </c>
      <c r="C783" s="12">
        <v>4.0999999999999996</v>
      </c>
      <c r="D783" s="12">
        <v>3.5000000000000003E-2</v>
      </c>
      <c r="E783" s="12">
        <v>1</v>
      </c>
    </row>
    <row r="784" spans="2:5" x14ac:dyDescent="0.25">
      <c r="B784" s="11" t="str">
        <f ca="1">IFERROR(__xludf.DUMMYFUNCTION("""COMPUTED_VALUE"""),"Atom Egoyan")</f>
        <v>Atom Egoyan</v>
      </c>
      <c r="C784" s="11">
        <v>6.9249999999999998</v>
      </c>
      <c r="D784" s="11">
        <v>0.70799999999999996</v>
      </c>
      <c r="E784" s="11">
        <v>4</v>
      </c>
    </row>
    <row r="785" spans="2:5" x14ac:dyDescent="0.25">
      <c r="B785" s="12" t="str">
        <f ca="1">IFERROR(__xludf.DUMMYFUNCTION("""COMPUTED_VALUE"""),"Robert Towne")</f>
        <v>Robert Towne</v>
      </c>
      <c r="C785" s="12">
        <v>7.2</v>
      </c>
      <c r="D785" s="12">
        <v>0.81200000000000006</v>
      </c>
      <c r="E785" s="12">
        <v>1</v>
      </c>
    </row>
    <row r="786" spans="2:5" x14ac:dyDescent="0.25">
      <c r="B786" s="11" t="str">
        <f ca="1">IFERROR(__xludf.DUMMYFUNCTION("""COMPUTED_VALUE"""),"Giuseppe Tornatore")</f>
        <v>Giuseppe Tornatore</v>
      </c>
      <c r="C786" s="11">
        <v>7.8</v>
      </c>
      <c r="D786" s="11">
        <v>0.95799999999999996</v>
      </c>
      <c r="E786" s="11">
        <v>1</v>
      </c>
    </row>
    <row r="787" spans="2:5" x14ac:dyDescent="0.25">
      <c r="B787" s="12" t="str">
        <f ca="1">IFERROR(__xludf.DUMMYFUNCTION("""COMPUTED_VALUE"""),"Werner Herzog")</f>
        <v>Werner Herzog</v>
      </c>
      <c r="C787" s="12">
        <v>7</v>
      </c>
      <c r="D787" s="12">
        <v>0.72299999999999998</v>
      </c>
      <c r="E787" s="12">
        <v>2</v>
      </c>
    </row>
    <row r="788" spans="2:5" x14ac:dyDescent="0.25">
      <c r="B788" s="11" t="str">
        <f ca="1">IFERROR(__xludf.DUMMYFUNCTION("""COMPUTED_VALUE"""),"Teddy Chan")</f>
        <v>Teddy Chan</v>
      </c>
      <c r="C788" s="11">
        <v>6.5</v>
      </c>
      <c r="D788" s="11">
        <v>0.504</v>
      </c>
      <c r="E788" s="11">
        <v>1</v>
      </c>
    </row>
    <row r="789" spans="2:5" x14ac:dyDescent="0.25">
      <c r="B789" s="12" t="str">
        <f ca="1">IFERROR(__xludf.DUMMYFUNCTION("""COMPUTED_VALUE"""),"Leonard Nimoy")</f>
        <v>Leonard Nimoy</v>
      </c>
      <c r="C789" s="12">
        <v>6.5999999999999988</v>
      </c>
      <c r="D789" s="12">
        <v>0.55300000000000005</v>
      </c>
      <c r="E789" s="12">
        <v>3</v>
      </c>
    </row>
    <row r="790" spans="2:5" x14ac:dyDescent="0.25">
      <c r="B790" s="11" t="str">
        <f ca="1">IFERROR(__xludf.DUMMYFUNCTION("""COMPUTED_VALUE"""),"Herbert Ross")</f>
        <v>Herbert Ross</v>
      </c>
      <c r="C790" s="11">
        <v>6.5</v>
      </c>
      <c r="D790" s="11">
        <v>0.504</v>
      </c>
      <c r="E790" s="11">
        <v>1</v>
      </c>
    </row>
    <row r="791" spans="2:5" x14ac:dyDescent="0.25">
      <c r="B791" s="12" t="str">
        <f ca="1">IFERROR(__xludf.DUMMYFUNCTION("""COMPUTED_VALUE"""),"Bonnie Hunt")</f>
        <v>Bonnie Hunt</v>
      </c>
      <c r="C791" s="12">
        <v>6.9</v>
      </c>
      <c r="D791" s="12">
        <v>0.68200000000000005</v>
      </c>
      <c r="E791" s="12">
        <v>1</v>
      </c>
    </row>
    <row r="792" spans="2:5" x14ac:dyDescent="0.25">
      <c r="B792" s="11" t="str">
        <f ca="1">IFERROR(__xludf.DUMMYFUNCTION("""COMPUTED_VALUE"""),"Neil LaBute")</f>
        <v>Neil LaBute</v>
      </c>
      <c r="C792" s="11">
        <v>6.5666666666666664</v>
      </c>
      <c r="D792" s="11">
        <v>0.54900000000000004</v>
      </c>
      <c r="E792" s="11">
        <v>3</v>
      </c>
    </row>
    <row r="793" spans="2:5" x14ac:dyDescent="0.25">
      <c r="B793" s="12" t="str">
        <f ca="1">IFERROR(__xludf.DUMMYFUNCTION("""COMPUTED_VALUE"""),"Grant Heslov")</f>
        <v>Grant Heslov</v>
      </c>
      <c r="C793" s="12">
        <v>6.2</v>
      </c>
      <c r="D793" s="12">
        <v>0.39100000000000001</v>
      </c>
      <c r="E793" s="12">
        <v>1</v>
      </c>
    </row>
    <row r="794" spans="2:5" x14ac:dyDescent="0.25">
      <c r="B794" s="11" t="str">
        <f ca="1">IFERROR(__xludf.DUMMYFUNCTION("""COMPUTED_VALUE"""),"George Gallo")</f>
        <v>George Gallo</v>
      </c>
      <c r="C794" s="11">
        <v>5.9499999999999993</v>
      </c>
      <c r="D794" s="11">
        <v>0.30099999999999999</v>
      </c>
      <c r="E794" s="11">
        <v>2</v>
      </c>
    </row>
    <row r="795" spans="2:5" x14ac:dyDescent="0.25">
      <c r="B795" s="12" t="str">
        <f ca="1">IFERROR(__xludf.DUMMYFUNCTION("""COMPUTED_VALUE"""),"Sidney Lumet")</f>
        <v>Sidney Lumet</v>
      </c>
      <c r="C795" s="12">
        <v>6.5250000000000004</v>
      </c>
      <c r="D795" s="12">
        <v>0.53900000000000003</v>
      </c>
      <c r="E795" s="12">
        <v>4</v>
      </c>
    </row>
    <row r="796" spans="2:5" x14ac:dyDescent="0.25">
      <c r="B796" s="11" t="str">
        <f ca="1">IFERROR(__xludf.DUMMYFUNCTION("""COMPUTED_VALUE"""),"Douglas McGrath")</f>
        <v>Douglas McGrath</v>
      </c>
      <c r="C796" s="11">
        <v>6.3999999999999995</v>
      </c>
      <c r="D796" s="11">
        <v>0.46200000000000002</v>
      </c>
      <c r="E796" s="11">
        <v>3</v>
      </c>
    </row>
    <row r="797" spans="2:5" x14ac:dyDescent="0.25">
      <c r="B797" s="12" t="str">
        <f ca="1">IFERROR(__xludf.DUMMYFUNCTION("""COMPUTED_VALUE"""),"Kevin Spacey")</f>
        <v>Kevin Spacey</v>
      </c>
      <c r="C797" s="12">
        <v>6.4</v>
      </c>
      <c r="D797" s="12">
        <v>0.46400000000000002</v>
      </c>
      <c r="E797" s="12">
        <v>2</v>
      </c>
    </row>
    <row r="798" spans="2:5" x14ac:dyDescent="0.25">
      <c r="B798" s="11" t="str">
        <f ca="1">IFERROR(__xludf.DUMMYFUNCTION("""COMPUTED_VALUE"""),"Steve Boyum")</f>
        <v>Steve Boyum</v>
      </c>
      <c r="C798" s="11">
        <v>3.9</v>
      </c>
      <c r="D798" s="11">
        <v>2.7E-2</v>
      </c>
      <c r="E798" s="11">
        <v>1</v>
      </c>
    </row>
    <row r="799" spans="2:5" x14ac:dyDescent="0.25">
      <c r="B799" s="12" t="str">
        <f ca="1">IFERROR(__xludf.DUMMYFUNCTION("""COMPUTED_VALUE"""),"Richard Williams")</f>
        <v>Richard Williams</v>
      </c>
      <c r="C799" s="12">
        <v>7.2</v>
      </c>
      <c r="D799" s="12">
        <v>0.81200000000000006</v>
      </c>
      <c r="E799" s="12">
        <v>1</v>
      </c>
    </row>
    <row r="800" spans="2:5" x14ac:dyDescent="0.25">
      <c r="B800" s="11" t="str">
        <f ca="1">IFERROR(__xludf.DUMMYFUNCTION("""COMPUTED_VALUE"""),"Mary McGuckian")</f>
        <v>Mary McGuckian</v>
      </c>
      <c r="C800" s="11">
        <v>5.0999999999999996</v>
      </c>
      <c r="D800" s="11">
        <v>9.7000000000000003E-2</v>
      </c>
      <c r="E800" s="11">
        <v>1</v>
      </c>
    </row>
    <row r="801" spans="2:5" x14ac:dyDescent="0.25">
      <c r="B801" s="12" t="str">
        <f ca="1">IFERROR(__xludf.DUMMYFUNCTION("""COMPUTED_VALUE"""),"Tony Goldwyn")</f>
        <v>Tony Goldwyn</v>
      </c>
      <c r="C801" s="12">
        <v>6.35</v>
      </c>
      <c r="D801" s="12">
        <v>0.45600000000000002</v>
      </c>
      <c r="E801" s="12">
        <v>2</v>
      </c>
    </row>
    <row r="802" spans="2:5" x14ac:dyDescent="0.25">
      <c r="B802" s="11" t="str">
        <f ca="1">IFERROR(__xludf.DUMMYFUNCTION("""COMPUTED_VALUE"""),"Jonathan Newman")</f>
        <v>Jonathan Newman</v>
      </c>
      <c r="C802" s="11">
        <v>5.4</v>
      </c>
      <c r="D802" s="11">
        <v>0.155</v>
      </c>
      <c r="E802" s="11">
        <v>1</v>
      </c>
    </row>
    <row r="803" spans="2:5" x14ac:dyDescent="0.25">
      <c r="B803" s="12" t="str">
        <f ca="1">IFERROR(__xludf.DUMMYFUNCTION("""COMPUTED_VALUE"""),"Michael Dinner")</f>
        <v>Michael Dinner</v>
      </c>
      <c r="C803" s="12">
        <v>5.6</v>
      </c>
      <c r="D803" s="12">
        <v>0.19700000000000001</v>
      </c>
      <c r="E803" s="12">
        <v>1</v>
      </c>
    </row>
    <row r="804" spans="2:5" x14ac:dyDescent="0.25">
      <c r="B804" s="11" t="str">
        <f ca="1">IFERROR(__xludf.DUMMYFUNCTION("""COMPUTED_VALUE"""),"Joseph Sargent")</f>
        <v>Joseph Sargent</v>
      </c>
      <c r="C804" s="11">
        <v>2.8</v>
      </c>
      <c r="D804" s="11">
        <v>3.0000000000000001E-3</v>
      </c>
      <c r="E804" s="11">
        <v>1</v>
      </c>
    </row>
    <row r="805" spans="2:5" x14ac:dyDescent="0.25">
      <c r="B805" s="12" t="str">
        <f ca="1">IFERROR(__xludf.DUMMYFUNCTION("""COMPUTED_VALUE"""),"Jerry Zaks")</f>
        <v>Jerry Zaks</v>
      </c>
      <c r="C805" s="12">
        <v>6.7</v>
      </c>
      <c r="D805" s="12">
        <v>0.6</v>
      </c>
      <c r="E805" s="12">
        <v>1</v>
      </c>
    </row>
    <row r="806" spans="2:5" x14ac:dyDescent="0.25">
      <c r="B806" s="11" t="str">
        <f ca="1">IFERROR(__xludf.DUMMYFUNCTION("""COMPUTED_VALUE"""),"Fred Durst")</f>
        <v>Fred Durst</v>
      </c>
      <c r="C806" s="11">
        <v>5.0999999999999996</v>
      </c>
      <c r="D806" s="11">
        <v>9.7000000000000003E-2</v>
      </c>
      <c r="E806" s="11">
        <v>1</v>
      </c>
    </row>
    <row r="807" spans="2:5" x14ac:dyDescent="0.25">
      <c r="B807" s="12" t="str">
        <f ca="1">IFERROR(__xludf.DUMMYFUNCTION("""COMPUTED_VALUE"""),"Anne Fontaine")</f>
        <v>Anne Fontaine</v>
      </c>
      <c r="C807" s="12">
        <v>6.45</v>
      </c>
      <c r="D807" s="12">
        <v>0.496</v>
      </c>
      <c r="E807" s="12">
        <v>2</v>
      </c>
    </row>
    <row r="808" spans="2:5" x14ac:dyDescent="0.25">
      <c r="B808" s="11" t="str">
        <f ca="1">IFERROR(__xludf.DUMMYFUNCTION("""COMPUTED_VALUE"""),"Mira Nair")</f>
        <v>Mira Nair</v>
      </c>
      <c r="C808" s="11">
        <v>6.4499999999999993</v>
      </c>
      <c r="D808" s="11">
        <v>0.49199999999999999</v>
      </c>
      <c r="E808" s="11">
        <v>4</v>
      </c>
    </row>
    <row r="809" spans="2:5" x14ac:dyDescent="0.25">
      <c r="B809" s="12" t="str">
        <f ca="1">IFERROR(__xludf.DUMMYFUNCTION("""COMPUTED_VALUE"""),"Mel Brooks")</f>
        <v>Mel Brooks</v>
      </c>
      <c r="C809" s="12">
        <v>7.6333333333333329</v>
      </c>
      <c r="D809" s="12">
        <v>0.93100000000000005</v>
      </c>
      <c r="E809" s="12">
        <v>3</v>
      </c>
    </row>
    <row r="810" spans="2:5" x14ac:dyDescent="0.25">
      <c r="B810" s="11" t="str">
        <f ca="1">IFERROR(__xludf.DUMMYFUNCTION("""COMPUTED_VALUE"""),"Russell Crowe")</f>
        <v>Russell Crowe</v>
      </c>
      <c r="C810" s="11">
        <v>7.1</v>
      </c>
      <c r="D810" s="11">
        <v>0.77200000000000002</v>
      </c>
      <c r="E810" s="11">
        <v>1</v>
      </c>
    </row>
    <row r="811" spans="2:5" x14ac:dyDescent="0.25">
      <c r="B811" s="12" t="str">
        <f ca="1">IFERROR(__xludf.DUMMYFUNCTION("""COMPUTED_VALUE"""),"Jessie Nelson")</f>
        <v>Jessie Nelson</v>
      </c>
      <c r="C811" s="12">
        <v>6.65</v>
      </c>
      <c r="D811" s="12">
        <v>0.58699999999999997</v>
      </c>
      <c r="E811" s="12">
        <v>2</v>
      </c>
    </row>
    <row r="812" spans="2:5" x14ac:dyDescent="0.25">
      <c r="B812" s="11" t="str">
        <f ca="1">IFERROR(__xludf.DUMMYFUNCTION("""COMPUTED_VALUE"""),"Christopher Spencer")</f>
        <v>Christopher Spencer</v>
      </c>
      <c r="C812" s="11">
        <v>5.6</v>
      </c>
      <c r="D812" s="11">
        <v>0.19700000000000001</v>
      </c>
      <c r="E812" s="11">
        <v>1</v>
      </c>
    </row>
    <row r="813" spans="2:5" x14ac:dyDescent="0.25">
      <c r="B813" s="12" t="str">
        <f ca="1">IFERROR(__xludf.DUMMYFUNCTION("""COMPUTED_VALUE"""),"Mike Bigelow")</f>
        <v>Mike Bigelow</v>
      </c>
      <c r="C813" s="12">
        <v>4.5999999999999996</v>
      </c>
      <c r="D813" s="12">
        <v>5.8999999999999997E-2</v>
      </c>
      <c r="E813" s="12">
        <v>1</v>
      </c>
    </row>
    <row r="814" spans="2:5" x14ac:dyDescent="0.25">
      <c r="B814" s="11" t="str">
        <f ca="1">IFERROR(__xludf.DUMMYFUNCTION("""COMPUTED_VALUE"""),"Daniel Sackheim")</f>
        <v>Daniel Sackheim</v>
      </c>
      <c r="C814" s="11">
        <v>5.8</v>
      </c>
      <c r="D814" s="11">
        <v>0.251</v>
      </c>
      <c r="E814" s="11">
        <v>1</v>
      </c>
    </row>
    <row r="815" spans="2:5" x14ac:dyDescent="0.25">
      <c r="B815" s="12" t="str">
        <f ca="1">IFERROR(__xludf.DUMMYFUNCTION("""COMPUTED_VALUE"""),"Harry Elfont")</f>
        <v>Harry Elfont</v>
      </c>
      <c r="C815" s="12">
        <v>5.9</v>
      </c>
      <c r="D815" s="12">
        <v>0.27100000000000002</v>
      </c>
      <c r="E815" s="12">
        <v>2</v>
      </c>
    </row>
    <row r="816" spans="2:5" x14ac:dyDescent="0.25">
      <c r="B816" s="11" t="str">
        <f ca="1">IFERROR(__xludf.DUMMYFUNCTION("""COMPUTED_VALUE"""),"Uli Edel")</f>
        <v>Uli Edel</v>
      </c>
      <c r="C816" s="11">
        <v>6.5500000000000007</v>
      </c>
      <c r="D816" s="11">
        <v>0.54600000000000004</v>
      </c>
      <c r="E816" s="11">
        <v>2</v>
      </c>
    </row>
    <row r="817" spans="2:5" x14ac:dyDescent="0.25">
      <c r="B817" s="12" t="str">
        <f ca="1">IFERROR(__xludf.DUMMYFUNCTION("""COMPUTED_VALUE"""),"Fred Dekker")</f>
        <v>Fred Dekker</v>
      </c>
      <c r="C817" s="12">
        <v>3.9</v>
      </c>
      <c r="D817" s="12">
        <v>2.7E-2</v>
      </c>
      <c r="E817" s="12">
        <v>1</v>
      </c>
    </row>
    <row r="818" spans="2:5" x14ac:dyDescent="0.25">
      <c r="B818" s="11" t="str">
        <f ca="1">IFERROR(__xludf.DUMMYFUNCTION("""COMPUTED_VALUE"""),"Brian Trenchard-Smith")</f>
        <v>Brian Trenchard-Smith</v>
      </c>
      <c r="C818" s="11">
        <v>4.0999999999999996</v>
      </c>
      <c r="D818" s="11">
        <v>3.5000000000000003E-2</v>
      </c>
      <c r="E818" s="11">
        <v>2</v>
      </c>
    </row>
    <row r="819" spans="2:5" x14ac:dyDescent="0.25">
      <c r="B819" s="12" t="str">
        <f ca="1">IFERROR(__xludf.DUMMYFUNCTION("""COMPUTED_VALUE"""),"Blake Edwards")</f>
        <v>Blake Edwards</v>
      </c>
      <c r="C819" s="12">
        <v>6.2</v>
      </c>
      <c r="D819" s="12">
        <v>0.39100000000000001</v>
      </c>
      <c r="E819" s="12">
        <v>1</v>
      </c>
    </row>
    <row r="820" spans="2:5" x14ac:dyDescent="0.25">
      <c r="B820" s="11" t="str">
        <f ca="1">IFERROR(__xludf.DUMMYFUNCTION("""COMPUTED_VALUE"""),"Christian Carion")</f>
        <v>Christian Carion</v>
      </c>
      <c r="C820" s="11">
        <v>7.8</v>
      </c>
      <c r="D820" s="11">
        <v>0.95799999999999996</v>
      </c>
      <c r="E820" s="11">
        <v>1</v>
      </c>
    </row>
    <row r="821" spans="2:5" x14ac:dyDescent="0.25">
      <c r="B821" s="12" t="str">
        <f ca="1">IFERROR(__xludf.DUMMYFUNCTION("""COMPUTED_VALUE"""),"David Palmer")</f>
        <v>David Palmer</v>
      </c>
      <c r="C821" s="12">
        <v>6.1</v>
      </c>
      <c r="D821" s="12">
        <v>0.35099999999999998</v>
      </c>
      <c r="E821" s="12">
        <v>1</v>
      </c>
    </row>
    <row r="822" spans="2:5" x14ac:dyDescent="0.25">
      <c r="B822" s="11" t="str">
        <f ca="1">IFERROR(__xludf.DUMMYFUNCTION("""COMPUTED_VALUE"""),"Rowan Joffe")</f>
        <v>Rowan Joffe</v>
      </c>
      <c r="C822" s="11">
        <v>6.3</v>
      </c>
      <c r="D822" s="11">
        <v>0.42299999999999999</v>
      </c>
      <c r="E822" s="11">
        <v>1</v>
      </c>
    </row>
    <row r="823" spans="2:5" x14ac:dyDescent="0.25">
      <c r="B823" s="12" t="str">
        <f ca="1">IFERROR(__xludf.DUMMYFUNCTION("""COMPUTED_VALUE"""),"John Curran")</f>
        <v>John Curran</v>
      </c>
      <c r="C823" s="12">
        <v>6.45</v>
      </c>
      <c r="D823" s="12">
        <v>0.496</v>
      </c>
      <c r="E823" s="12">
        <v>2</v>
      </c>
    </row>
    <row r="824" spans="2:5" x14ac:dyDescent="0.25">
      <c r="B824" s="11" t="str">
        <f ca="1">IFERROR(__xludf.DUMMYFUNCTION("""COMPUTED_VALUE"""),"Laurent Tirard")</f>
        <v>Laurent Tirard</v>
      </c>
      <c r="C824" s="11">
        <v>7.3</v>
      </c>
      <c r="D824" s="11">
        <v>0.84899999999999998</v>
      </c>
      <c r="E824" s="11">
        <v>1</v>
      </c>
    </row>
    <row r="825" spans="2:5" x14ac:dyDescent="0.25">
      <c r="B825" s="12" t="str">
        <f ca="1">IFERROR(__xludf.DUMMYFUNCTION("""COMPUTED_VALUE"""),"Trey Parker")</f>
        <v>Trey Parker</v>
      </c>
      <c r="C825" s="12">
        <v>7.0666666666666664</v>
      </c>
      <c r="D825" s="12">
        <v>0.76800000000000002</v>
      </c>
      <c r="E825" s="12">
        <v>3</v>
      </c>
    </row>
    <row r="826" spans="2:5" x14ac:dyDescent="0.25">
      <c r="B826" s="11" t="str">
        <f ca="1">IFERROR(__xludf.DUMMYFUNCTION("""COMPUTED_VALUE"""),"Stuart Gillard")</f>
        <v>Stuart Gillard</v>
      </c>
      <c r="C826" s="11">
        <v>4.8</v>
      </c>
      <c r="D826" s="11">
        <v>7.3999999999999996E-2</v>
      </c>
      <c r="E826" s="11">
        <v>1</v>
      </c>
    </row>
    <row r="827" spans="2:5" x14ac:dyDescent="0.25">
      <c r="B827" s="12" t="str">
        <f ca="1">IFERROR(__xludf.DUMMYFUNCTION("""COMPUTED_VALUE"""),"Katt Shea")</f>
        <v>Katt Shea</v>
      </c>
      <c r="C827" s="12">
        <v>4.5999999999999996</v>
      </c>
      <c r="D827" s="12">
        <v>5.8999999999999997E-2</v>
      </c>
      <c r="E827" s="12">
        <v>1</v>
      </c>
    </row>
    <row r="828" spans="2:5" x14ac:dyDescent="0.25">
      <c r="B828" s="11" t="str">
        <f ca="1">IFERROR(__xludf.DUMMYFUNCTION("""COMPUTED_VALUE"""),"Joshua Michael Stern")</f>
        <v>Joshua Michael Stern</v>
      </c>
      <c r="C828" s="11">
        <v>6.1</v>
      </c>
      <c r="D828" s="11">
        <v>0.35099999999999998</v>
      </c>
      <c r="E828" s="11">
        <v>1</v>
      </c>
    </row>
    <row r="829" spans="2:5" x14ac:dyDescent="0.25">
      <c r="B829" s="12" t="str">
        <f ca="1">IFERROR(__xludf.DUMMYFUNCTION("""COMPUTED_VALUE"""),"Tomas Alfredson")</f>
        <v>Tomas Alfredson</v>
      </c>
      <c r="C829" s="12">
        <v>7.1</v>
      </c>
      <c r="D829" s="12">
        <v>0.77200000000000002</v>
      </c>
      <c r="E829" s="12">
        <v>1</v>
      </c>
    </row>
    <row r="830" spans="2:5" x14ac:dyDescent="0.25">
      <c r="B830" s="11" t="str">
        <f ca="1">IFERROR(__xludf.DUMMYFUNCTION("""COMPUTED_VALUE"""),"John Duigan")</f>
        <v>John Duigan</v>
      </c>
      <c r="C830" s="11">
        <v>5.8</v>
      </c>
      <c r="D830" s="11">
        <v>0.251</v>
      </c>
      <c r="E830" s="11">
        <v>1</v>
      </c>
    </row>
    <row r="831" spans="2:5" x14ac:dyDescent="0.25">
      <c r="B831" s="12" t="str">
        <f ca="1">IFERROR(__xludf.DUMMYFUNCTION("""COMPUTED_VALUE"""),"Colin Higgins")</f>
        <v>Colin Higgins</v>
      </c>
      <c r="C831" s="12">
        <v>5.8</v>
      </c>
      <c r="D831" s="12">
        <v>0.251</v>
      </c>
      <c r="E831" s="12">
        <v>1</v>
      </c>
    </row>
    <row r="832" spans="2:5" x14ac:dyDescent="0.25">
      <c r="B832" s="11" t="str">
        <f ca="1">IFERROR(__xludf.DUMMYFUNCTION("""COMPUTED_VALUE"""),"Jim Sonzero")</f>
        <v>Jim Sonzero</v>
      </c>
      <c r="C832" s="11">
        <v>4.7</v>
      </c>
      <c r="D832" s="11">
        <v>6.6000000000000003E-2</v>
      </c>
      <c r="E832" s="11">
        <v>1</v>
      </c>
    </row>
    <row r="833" spans="2:5" x14ac:dyDescent="0.25">
      <c r="B833" s="12" t="str">
        <f ca="1">IFERROR(__xludf.DUMMYFUNCTION("""COMPUTED_VALUE"""),"Penelope Spheeris")</f>
        <v>Penelope Spheeris</v>
      </c>
      <c r="C833" s="12">
        <v>7</v>
      </c>
      <c r="D833" s="12">
        <v>0.72299999999999998</v>
      </c>
      <c r="E833" s="12">
        <v>1</v>
      </c>
    </row>
    <row r="834" spans="2:5" x14ac:dyDescent="0.25">
      <c r="B834" s="11" t="str">
        <f ca="1">IFERROR(__xludf.DUMMYFUNCTION("""COMPUTED_VALUE"""),"Jeff Tremaine")</f>
        <v>Jeff Tremaine</v>
      </c>
      <c r="C834" s="11">
        <v>6.7666666666666657</v>
      </c>
      <c r="D834" s="11">
        <v>0.63100000000000001</v>
      </c>
      <c r="E834" s="11">
        <v>3</v>
      </c>
    </row>
    <row r="835" spans="2:5" x14ac:dyDescent="0.25">
      <c r="B835" s="12" t="str">
        <f ca="1">IFERROR(__xludf.DUMMYFUNCTION("""COMPUTED_VALUE"""),"Jeannot Szwarc")</f>
        <v>Jeannot Szwarc</v>
      </c>
      <c r="C835" s="12">
        <v>5.7</v>
      </c>
      <c r="D835" s="12">
        <v>0.23100000000000001</v>
      </c>
      <c r="E835" s="12">
        <v>1</v>
      </c>
    </row>
    <row r="836" spans="2:5" x14ac:dyDescent="0.25">
      <c r="B836" s="11" t="str">
        <f ca="1">IFERROR(__xludf.DUMMYFUNCTION("""COMPUTED_VALUE"""),"Steve McQueen")</f>
        <v>Steve McQueen</v>
      </c>
      <c r="C836" s="11">
        <v>7.6999999999999993</v>
      </c>
      <c r="D836" s="11">
        <v>0.93899999999999995</v>
      </c>
      <c r="E836" s="11">
        <v>2</v>
      </c>
    </row>
    <row r="837" spans="2:5" x14ac:dyDescent="0.25">
      <c r="B837" s="12" t="str">
        <f ca="1">IFERROR(__xludf.DUMMYFUNCTION("""COMPUTED_VALUE"""),"Thea Sharrock")</f>
        <v>Thea Sharrock</v>
      </c>
      <c r="C837" s="12">
        <v>7.6</v>
      </c>
      <c r="D837" s="12">
        <v>0.91500000000000004</v>
      </c>
      <c r="E837" s="12">
        <v>1</v>
      </c>
    </row>
    <row r="838" spans="2:5" x14ac:dyDescent="0.25">
      <c r="B838" s="11" t="str">
        <f ca="1">IFERROR(__xludf.DUMMYFUNCTION("""COMPUTED_VALUE"""),"Jon Lucas")</f>
        <v>Jon Lucas</v>
      </c>
      <c r="C838" s="11">
        <v>6.3000000000000007</v>
      </c>
      <c r="D838" s="11">
        <v>0.44900000000000001</v>
      </c>
      <c r="E838" s="11">
        <v>2</v>
      </c>
    </row>
    <row r="839" spans="2:5" x14ac:dyDescent="0.25">
      <c r="B839" s="12" t="str">
        <f ca="1">IFERROR(__xludf.DUMMYFUNCTION("""COMPUTED_VALUE"""),"Aaron Seltzer")</f>
        <v>Aaron Seltzer</v>
      </c>
      <c r="C839" s="12">
        <v>2.7</v>
      </c>
      <c r="D839" s="12">
        <v>2E-3</v>
      </c>
      <c r="E839" s="12">
        <v>1</v>
      </c>
    </row>
    <row r="840" spans="2:5" x14ac:dyDescent="0.25">
      <c r="B840" s="11" t="str">
        <f ca="1">IFERROR(__xludf.DUMMYFUNCTION("""COMPUTED_VALUE"""),"Robin Budd")</f>
        <v>Robin Budd</v>
      </c>
      <c r="C840" s="11">
        <v>5.8</v>
      </c>
      <c r="D840" s="11">
        <v>0.251</v>
      </c>
      <c r="E840" s="11">
        <v>1</v>
      </c>
    </row>
    <row r="841" spans="2:5" x14ac:dyDescent="0.25">
      <c r="B841" s="12" t="str">
        <f ca="1">IFERROR(__xludf.DUMMYFUNCTION("""COMPUTED_VALUE"""),"Ava DuVernay")</f>
        <v>Ava DuVernay</v>
      </c>
      <c r="C841" s="12">
        <v>7</v>
      </c>
      <c r="D841" s="12">
        <v>0.72299999999999998</v>
      </c>
      <c r="E841" s="12">
        <v>2</v>
      </c>
    </row>
    <row r="842" spans="2:5" x14ac:dyDescent="0.25">
      <c r="B842" s="11" t="str">
        <f ca="1">IFERROR(__xludf.DUMMYFUNCTION("""COMPUTED_VALUE"""),"Steve Trenbirth")</f>
        <v>Steve Trenbirth</v>
      </c>
      <c r="C842" s="11">
        <v>5.4</v>
      </c>
      <c r="D842" s="11">
        <v>0.155</v>
      </c>
      <c r="E842" s="11">
        <v>1</v>
      </c>
    </row>
    <row r="843" spans="2:5" x14ac:dyDescent="0.25">
      <c r="B843" s="12" t="str">
        <f ca="1">IFERROR(__xludf.DUMMYFUNCTION("""COMPUTED_VALUE"""),"Mennan Yapo")</f>
        <v>Mennan Yapo</v>
      </c>
      <c r="C843" s="12">
        <v>5.9</v>
      </c>
      <c r="D843" s="12">
        <v>0.27100000000000002</v>
      </c>
      <c r="E843" s="12">
        <v>1</v>
      </c>
    </row>
    <row r="844" spans="2:5" x14ac:dyDescent="0.25">
      <c r="B844" s="11" t="str">
        <f ca="1">IFERROR(__xludf.DUMMYFUNCTION("""COMPUTED_VALUE"""),"Jun Falkenstein")</f>
        <v>Jun Falkenstein</v>
      </c>
      <c r="C844" s="11">
        <v>6.3</v>
      </c>
      <c r="D844" s="11">
        <v>0.42299999999999999</v>
      </c>
      <c r="E844" s="11">
        <v>1</v>
      </c>
    </row>
    <row r="845" spans="2:5" x14ac:dyDescent="0.25">
      <c r="B845" s="12" t="str">
        <f ca="1">IFERROR(__xludf.DUMMYFUNCTION("""COMPUTED_VALUE"""),"Tom McCarthy")</f>
        <v>Tom McCarthy</v>
      </c>
      <c r="C845" s="12">
        <v>7.9</v>
      </c>
      <c r="D845" s="12">
        <v>0.97</v>
      </c>
      <c r="E845" s="12">
        <v>2</v>
      </c>
    </row>
    <row r="846" spans="2:5" x14ac:dyDescent="0.25">
      <c r="B846" s="11" t="str">
        <f ca="1">IFERROR(__xludf.DUMMYFUNCTION("""COMPUTED_VALUE"""),"Takashi Shimizu")</f>
        <v>Takashi Shimizu</v>
      </c>
      <c r="C846" s="11">
        <v>5.45</v>
      </c>
      <c r="D846" s="11">
        <v>0.17199999999999999</v>
      </c>
      <c r="E846" s="11">
        <v>2</v>
      </c>
    </row>
    <row r="847" spans="2:5" x14ac:dyDescent="0.25">
      <c r="B847" s="12" t="str">
        <f ca="1">IFERROR(__xludf.DUMMYFUNCTION("""COMPUTED_VALUE"""),"Anton Corbijn")</f>
        <v>Anton Corbijn</v>
      </c>
      <c r="C847" s="12">
        <v>6.9333333333333336</v>
      </c>
      <c r="D847" s="12">
        <v>0.71099999999999997</v>
      </c>
      <c r="E847" s="12">
        <v>3</v>
      </c>
    </row>
    <row r="848" spans="2:5" x14ac:dyDescent="0.25">
      <c r="B848" s="11" t="str">
        <f ca="1">IFERROR(__xludf.DUMMYFUNCTION("""COMPUTED_VALUE"""),"Gregory Nava")</f>
        <v>Gregory Nava</v>
      </c>
      <c r="C848" s="11">
        <v>6.7</v>
      </c>
      <c r="D848" s="11">
        <v>0.6</v>
      </c>
      <c r="E848" s="11">
        <v>1</v>
      </c>
    </row>
    <row r="849" spans="2:5" x14ac:dyDescent="0.25">
      <c r="B849" s="12" t="str">
        <f ca="1">IFERROR(__xludf.DUMMYFUNCTION("""COMPUTED_VALUE"""),"John Patrick Shanley")</f>
        <v>John Patrick Shanley</v>
      </c>
      <c r="C849" s="12">
        <v>7.5</v>
      </c>
      <c r="D849" s="12">
        <v>0.89300000000000002</v>
      </c>
      <c r="E849" s="12">
        <v>1</v>
      </c>
    </row>
    <row r="850" spans="2:5" x14ac:dyDescent="0.25">
      <c r="B850" s="11" t="str">
        <f ca="1">IFERROR(__xludf.DUMMYFUNCTION("""COMPUTED_VALUE"""),"Steve Beck")</f>
        <v>Steve Beck</v>
      </c>
      <c r="C850" s="11">
        <v>5.5</v>
      </c>
      <c r="D850" s="11">
        <v>0.17699999999999999</v>
      </c>
      <c r="E850" s="11">
        <v>2</v>
      </c>
    </row>
    <row r="851" spans="2:5" x14ac:dyDescent="0.25">
      <c r="B851" s="12" t="str">
        <f ca="1">IFERROR(__xludf.DUMMYFUNCTION("""COMPUTED_VALUE"""),"Todd Strauss-Schulson")</f>
        <v>Todd Strauss-Schulson</v>
      </c>
      <c r="C851" s="12">
        <v>6.3</v>
      </c>
      <c r="D851" s="12">
        <v>0.42299999999999999</v>
      </c>
      <c r="E851" s="12">
        <v>1</v>
      </c>
    </row>
    <row r="852" spans="2:5" x14ac:dyDescent="0.25">
      <c r="B852" s="11" t="str">
        <f ca="1">IFERROR(__xludf.DUMMYFUNCTION("""COMPUTED_VALUE"""),"John McNaughton")</f>
        <v>John McNaughton</v>
      </c>
      <c r="C852" s="11">
        <v>6.5</v>
      </c>
      <c r="D852" s="11">
        <v>0.504</v>
      </c>
      <c r="E852" s="11">
        <v>1</v>
      </c>
    </row>
    <row r="853" spans="2:5" x14ac:dyDescent="0.25">
      <c r="B853" s="12" t="str">
        <f ca="1">IFERROR(__xludf.DUMMYFUNCTION("""COMPUTED_VALUE"""),"Eric Valette")</f>
        <v>Eric Valette</v>
      </c>
      <c r="C853" s="12">
        <v>3.9</v>
      </c>
      <c r="D853" s="12">
        <v>2.7E-2</v>
      </c>
      <c r="E853" s="12">
        <v>1</v>
      </c>
    </row>
    <row r="854" spans="2:5" x14ac:dyDescent="0.25">
      <c r="B854" s="11" t="str">
        <f ca="1">IFERROR(__xludf.DUMMYFUNCTION("""COMPUTED_VALUE"""),"Andrew Fleming")</f>
        <v>Andrew Fleming</v>
      </c>
      <c r="C854" s="11">
        <v>6.15</v>
      </c>
      <c r="D854" s="11">
        <v>0.38400000000000001</v>
      </c>
      <c r="E854" s="11">
        <v>4</v>
      </c>
    </row>
    <row r="855" spans="2:5" x14ac:dyDescent="0.25">
      <c r="B855" s="12" t="str">
        <f ca="1">IFERROR(__xludf.DUMMYFUNCTION("""COMPUTED_VALUE"""),"Michael Spierig")</f>
        <v>Michael Spierig</v>
      </c>
      <c r="C855" s="12">
        <v>6.5</v>
      </c>
      <c r="D855" s="12">
        <v>0.504</v>
      </c>
      <c r="E855" s="12">
        <v>1</v>
      </c>
    </row>
    <row r="856" spans="2:5" x14ac:dyDescent="0.25">
      <c r="B856" s="11" t="str">
        <f ca="1">IFERROR(__xludf.DUMMYFUNCTION("""COMPUTED_VALUE"""),"Jim Field Smith")</f>
        <v>Jim Field Smith</v>
      </c>
      <c r="C856" s="11">
        <v>6.4</v>
      </c>
      <c r="D856" s="11">
        <v>0.46400000000000002</v>
      </c>
      <c r="E856" s="11">
        <v>1</v>
      </c>
    </row>
    <row r="857" spans="2:5" x14ac:dyDescent="0.25">
      <c r="B857" s="12" t="str">
        <f ca="1">IFERROR(__xludf.DUMMYFUNCTION("""COMPUTED_VALUE"""),"Thomas Bezucha")</f>
        <v>Thomas Bezucha</v>
      </c>
      <c r="C857" s="12">
        <v>6.05</v>
      </c>
      <c r="D857" s="12">
        <v>0.34</v>
      </c>
      <c r="E857" s="12">
        <v>2</v>
      </c>
    </row>
    <row r="858" spans="2:5" x14ac:dyDescent="0.25">
      <c r="B858" s="11" t="str">
        <f ca="1">IFERROR(__xludf.DUMMYFUNCTION("""COMPUTED_VALUE"""),"William Brent Bell")</f>
        <v>William Brent Bell</v>
      </c>
      <c r="C858" s="11">
        <v>5.1000000000000005</v>
      </c>
      <c r="D858" s="11">
        <v>0.11</v>
      </c>
      <c r="E858" s="11">
        <v>3</v>
      </c>
    </row>
    <row r="859" spans="2:5" x14ac:dyDescent="0.25">
      <c r="B859" s="12" t="str">
        <f ca="1">IFERROR(__xludf.DUMMYFUNCTION("""COMPUTED_VALUE"""),"Anthony Bell")</f>
        <v>Anthony Bell</v>
      </c>
      <c r="C859" s="12">
        <v>5.3</v>
      </c>
      <c r="D859" s="12">
        <v>0.13</v>
      </c>
      <c r="E859" s="12">
        <v>1</v>
      </c>
    </row>
    <row r="860" spans="2:5" x14ac:dyDescent="0.25">
      <c r="B860" s="11" t="str">
        <f ca="1">IFERROR(__xludf.DUMMYFUNCTION("""COMPUTED_VALUE"""),"Henry Joost")</f>
        <v>Henry Joost</v>
      </c>
      <c r="C860" s="11">
        <v>5.833333333333333</v>
      </c>
      <c r="D860" s="11">
        <v>0.26700000000000002</v>
      </c>
      <c r="E860" s="11">
        <v>3</v>
      </c>
    </row>
    <row r="861" spans="2:5" x14ac:dyDescent="0.25">
      <c r="B861" s="12" t="str">
        <f ca="1">IFERROR(__xludf.DUMMYFUNCTION("""COMPUTED_VALUE"""),"Alfred Hitchcock")</f>
        <v>Alfred Hitchcock</v>
      </c>
      <c r="C861" s="12">
        <v>8.5</v>
      </c>
      <c r="D861" s="12">
        <v>0.996</v>
      </c>
      <c r="E861" s="12">
        <v>1</v>
      </c>
    </row>
    <row r="862" spans="2:5" x14ac:dyDescent="0.25">
      <c r="B862" s="11" t="str">
        <f ca="1">IFERROR(__xludf.DUMMYFUNCTION("""COMPUTED_VALUE"""),"Shana Feste")</f>
        <v>Shana Feste</v>
      </c>
      <c r="C862" s="11">
        <v>6.4333333333333336</v>
      </c>
      <c r="D862" s="11">
        <v>0.49</v>
      </c>
      <c r="E862" s="11">
        <v>3</v>
      </c>
    </row>
    <row r="863" spans="2:5" x14ac:dyDescent="0.25">
      <c r="B863" s="12" t="str">
        <f ca="1">IFERROR(__xludf.DUMMYFUNCTION("""COMPUTED_VALUE"""),"Steve Rash")</f>
        <v>Steve Rash</v>
      </c>
      <c r="C863" s="12">
        <v>5.25</v>
      </c>
      <c r="D863" s="12">
        <v>0.125</v>
      </c>
      <c r="E863" s="12">
        <v>2</v>
      </c>
    </row>
    <row r="864" spans="2:5" x14ac:dyDescent="0.25">
      <c r="B864" s="11" t="str">
        <f ca="1">IFERROR(__xludf.DUMMYFUNCTION("""COMPUTED_VALUE"""),"Mike Binder")</f>
        <v>Mike Binder</v>
      </c>
      <c r="C864" s="11">
        <v>7</v>
      </c>
      <c r="D864" s="11">
        <v>0.72299999999999998</v>
      </c>
      <c r="E864" s="11">
        <v>3</v>
      </c>
    </row>
    <row r="865" spans="2:5" x14ac:dyDescent="0.25">
      <c r="B865" s="12" t="str">
        <f ca="1">IFERROR(__xludf.DUMMYFUNCTION("""COMPUTED_VALUE"""),"Michael J. Bassett")</f>
        <v>Michael J. Bassett</v>
      </c>
      <c r="C865" s="12">
        <v>5</v>
      </c>
      <c r="D865" s="12">
        <v>8.6999999999999994E-2</v>
      </c>
      <c r="E865" s="12">
        <v>1</v>
      </c>
    </row>
    <row r="866" spans="2:5" x14ac:dyDescent="0.25">
      <c r="B866" s="11" t="str">
        <f ca="1">IFERROR(__xludf.DUMMYFUNCTION("""COMPUTED_VALUE"""),"Frank Nissen")</f>
        <v>Frank Nissen</v>
      </c>
      <c r="C866" s="11">
        <v>6.4</v>
      </c>
      <c r="D866" s="11">
        <v>0.46400000000000002</v>
      </c>
      <c r="E866" s="11">
        <v>1</v>
      </c>
    </row>
    <row r="867" spans="2:5" x14ac:dyDescent="0.25">
      <c r="B867" s="12" t="str">
        <f ca="1">IFERROR(__xludf.DUMMYFUNCTION("""COMPUTED_VALUE"""),"Stephen Chow")</f>
        <v>Stephen Chow</v>
      </c>
      <c r="C867" s="12">
        <v>7.55</v>
      </c>
      <c r="D867" s="12">
        <v>0.90900000000000003</v>
      </c>
      <c r="E867" s="12">
        <v>2</v>
      </c>
    </row>
    <row r="868" spans="2:5" x14ac:dyDescent="0.25">
      <c r="B868" s="11" t="str">
        <f ca="1">IFERROR(__xludf.DUMMYFUNCTION("""COMPUTED_VALUE"""),"Peter Hastings")</f>
        <v>Peter Hastings</v>
      </c>
      <c r="C868" s="11">
        <v>4</v>
      </c>
      <c r="D868" s="11">
        <v>3.1E-2</v>
      </c>
      <c r="E868" s="11">
        <v>1</v>
      </c>
    </row>
    <row r="869" spans="2:5" x14ac:dyDescent="0.25">
      <c r="B869" s="12" t="str">
        <f ca="1">IFERROR(__xludf.DUMMYFUNCTION("""COMPUTED_VALUE"""),"Paul Abascal")</f>
        <v>Paul Abascal</v>
      </c>
      <c r="C869" s="12">
        <v>5.8</v>
      </c>
      <c r="D869" s="12">
        <v>0.251</v>
      </c>
      <c r="E869" s="12">
        <v>1</v>
      </c>
    </row>
    <row r="870" spans="2:5" x14ac:dyDescent="0.25">
      <c r="B870" s="11" t="str">
        <f ca="1">IFERROR(__xludf.DUMMYFUNCTION("""COMPUTED_VALUE"""),"Chris Koch")</f>
        <v>Chris Koch</v>
      </c>
      <c r="C870" s="11">
        <v>5.25</v>
      </c>
      <c r="D870" s="11">
        <v>0.125</v>
      </c>
      <c r="E870" s="11">
        <v>2</v>
      </c>
    </row>
    <row r="871" spans="2:5" x14ac:dyDescent="0.25">
      <c r="B871" s="12" t="str">
        <f ca="1">IFERROR(__xludf.DUMMYFUNCTION("""COMPUTED_VALUE"""),"Amy Heckerling")</f>
        <v>Amy Heckerling</v>
      </c>
      <c r="C871" s="12">
        <v>5.7333333333333334</v>
      </c>
      <c r="D871" s="12">
        <v>0.246</v>
      </c>
      <c r="E871" s="12">
        <v>3</v>
      </c>
    </row>
    <row r="872" spans="2:5" x14ac:dyDescent="0.25">
      <c r="B872" s="11" t="str">
        <f ca="1">IFERROR(__xludf.DUMMYFUNCTION("""COMPUTED_VALUE"""),"George Stevens")</f>
        <v>George Stevens</v>
      </c>
      <c r="C872" s="11">
        <v>6.6</v>
      </c>
      <c r="D872" s="11">
        <v>0.55300000000000005</v>
      </c>
      <c r="E872" s="11">
        <v>1</v>
      </c>
    </row>
    <row r="873" spans="2:5" x14ac:dyDescent="0.25">
      <c r="B873" s="12" t="str">
        <f ca="1">IFERROR(__xludf.DUMMYFUNCTION("""COMPUTED_VALUE"""),"Mark Mylod")</f>
        <v>Mark Mylod</v>
      </c>
      <c r="C873" s="12">
        <v>6</v>
      </c>
      <c r="D873" s="12">
        <v>0.312</v>
      </c>
      <c r="E873" s="12">
        <v>1</v>
      </c>
    </row>
    <row r="874" spans="2:5" x14ac:dyDescent="0.25">
      <c r="B874" s="11" t="str">
        <f ca="1">IFERROR(__xludf.DUMMYFUNCTION("""COMPUTED_VALUE"""),"James Mather")</f>
        <v>James Mather</v>
      </c>
      <c r="C874" s="11">
        <v>6.1</v>
      </c>
      <c r="D874" s="11">
        <v>0.35099999999999998</v>
      </c>
      <c r="E874" s="11">
        <v>1</v>
      </c>
    </row>
    <row r="875" spans="2:5" x14ac:dyDescent="0.25">
      <c r="B875" s="12" t="str">
        <f ca="1">IFERROR(__xludf.DUMMYFUNCTION("""COMPUTED_VALUE"""),"Michael O. Sajbel")</f>
        <v>Michael O. Sajbel</v>
      </c>
      <c r="C875" s="12">
        <v>6.3</v>
      </c>
      <c r="D875" s="12">
        <v>0.42299999999999999</v>
      </c>
      <c r="E875" s="12">
        <v>1</v>
      </c>
    </row>
    <row r="876" spans="2:5" x14ac:dyDescent="0.25">
      <c r="B876" s="11" t="str">
        <f ca="1">IFERROR(__xludf.DUMMYFUNCTION("""COMPUTED_VALUE"""),"Charles T. Kanganis")</f>
        <v>Charles T. Kanganis</v>
      </c>
      <c r="C876" s="11">
        <v>4.3</v>
      </c>
      <c r="D876" s="11">
        <v>4.4999999999999998E-2</v>
      </c>
      <c r="E876" s="11">
        <v>1</v>
      </c>
    </row>
    <row r="877" spans="2:5" x14ac:dyDescent="0.25">
      <c r="B877" s="12" t="str">
        <f ca="1">IFERROR(__xludf.DUMMYFUNCTION("""COMPUTED_VALUE"""),"Damon Santostefano")</f>
        <v>Damon Santostefano</v>
      </c>
      <c r="C877" s="12">
        <v>6.1</v>
      </c>
      <c r="D877" s="12">
        <v>0.35099999999999998</v>
      </c>
      <c r="E877" s="12">
        <v>1</v>
      </c>
    </row>
    <row r="878" spans="2:5" x14ac:dyDescent="0.25">
      <c r="B878" s="11" t="str">
        <f ca="1">IFERROR(__xludf.DUMMYFUNCTION("""COMPUTED_VALUE"""),"Bob Clark")</f>
        <v>Bob Clark</v>
      </c>
      <c r="C878" s="11">
        <v>3.5333333333333337</v>
      </c>
      <c r="D878" s="11">
        <v>1.9E-2</v>
      </c>
      <c r="E878" s="11">
        <v>3</v>
      </c>
    </row>
    <row r="879" spans="2:5" x14ac:dyDescent="0.25">
      <c r="B879" s="12" t="str">
        <f ca="1">IFERROR(__xludf.DUMMYFUNCTION("""COMPUTED_VALUE"""),"Dave Borthwick")</f>
        <v>Dave Borthwick</v>
      </c>
      <c r="C879" s="12">
        <v>2.8</v>
      </c>
      <c r="D879" s="12">
        <v>3.0000000000000001E-3</v>
      </c>
      <c r="E879" s="12">
        <v>1</v>
      </c>
    </row>
    <row r="880" spans="2:5" x14ac:dyDescent="0.25">
      <c r="B880" s="11" t="str">
        <f ca="1">IFERROR(__xludf.DUMMYFUNCTION("""COMPUTED_VALUE"""),"Benson Lee")</f>
        <v>Benson Lee</v>
      </c>
      <c r="C880" s="11">
        <v>5</v>
      </c>
      <c r="D880" s="11">
        <v>8.6999999999999994E-2</v>
      </c>
      <c r="E880" s="11">
        <v>1</v>
      </c>
    </row>
    <row r="881" spans="2:5" x14ac:dyDescent="0.25">
      <c r="B881" s="12" t="str">
        <f ca="1">IFERROR(__xludf.DUMMYFUNCTION("""COMPUTED_VALUE"""),"Glen Morgan")</f>
        <v>Glen Morgan</v>
      </c>
      <c r="C881" s="12">
        <v>5.35</v>
      </c>
      <c r="D881" s="12">
        <v>0.152</v>
      </c>
      <c r="E881" s="12">
        <v>2</v>
      </c>
    </row>
    <row r="882" spans="2:5" x14ac:dyDescent="0.25">
      <c r="B882" s="11" t="str">
        <f ca="1">IFERROR(__xludf.DUMMYFUNCTION("""COMPUTED_VALUE"""),"Mike Leigh")</f>
        <v>Mike Leigh</v>
      </c>
      <c r="C882" s="11">
        <v>7.3599999999999994</v>
      </c>
      <c r="D882" s="11">
        <v>0.873</v>
      </c>
      <c r="E882" s="11">
        <v>5</v>
      </c>
    </row>
    <row r="883" spans="2:5" x14ac:dyDescent="0.25">
      <c r="B883" s="12" t="str">
        <f ca="1">IFERROR(__xludf.DUMMYFUNCTION("""COMPUTED_VALUE"""),"Alejandro Monteverde")</f>
        <v>Alejandro Monteverde</v>
      </c>
      <c r="C883" s="12">
        <v>7.4</v>
      </c>
      <c r="D883" s="12">
        <v>0.875</v>
      </c>
      <c r="E883" s="12">
        <v>2</v>
      </c>
    </row>
    <row r="884" spans="2:5" x14ac:dyDescent="0.25">
      <c r="B884" s="11" t="str">
        <f ca="1">IFERROR(__xludf.DUMMYFUNCTION("""COMPUTED_VALUE"""),"Jonathan Glazer")</f>
        <v>Jonathan Glazer</v>
      </c>
      <c r="C884" s="11">
        <v>6.1</v>
      </c>
      <c r="D884" s="11">
        <v>0.35099999999999998</v>
      </c>
      <c r="E884" s="11">
        <v>1</v>
      </c>
    </row>
    <row r="885" spans="2:5" x14ac:dyDescent="0.25">
      <c r="B885" s="12" t="str">
        <f ca="1">IFERROR(__xludf.DUMMYFUNCTION("""COMPUTED_VALUE"""),"J.C. Chandor")</f>
        <v>J.C. Chandor</v>
      </c>
      <c r="C885" s="12">
        <v>7</v>
      </c>
      <c r="D885" s="12">
        <v>0.72299999999999998</v>
      </c>
      <c r="E885" s="12">
        <v>3</v>
      </c>
    </row>
    <row r="886" spans="2:5" x14ac:dyDescent="0.25">
      <c r="B886" s="11" t="str">
        <f ca="1">IFERROR(__xludf.DUMMYFUNCTION("""COMPUTED_VALUE"""),"Marc Abraham")</f>
        <v>Marc Abraham</v>
      </c>
      <c r="C886" s="11">
        <v>7</v>
      </c>
      <c r="D886" s="11">
        <v>0.72299999999999998</v>
      </c>
      <c r="E886" s="11">
        <v>1</v>
      </c>
    </row>
    <row r="887" spans="2:5" x14ac:dyDescent="0.25">
      <c r="B887" s="12" t="str">
        <f ca="1">IFERROR(__xludf.DUMMYFUNCTION("""COMPUTED_VALUE"""),"Todd Haynes")</f>
        <v>Todd Haynes</v>
      </c>
      <c r="C887" s="12">
        <v>7.2</v>
      </c>
      <c r="D887" s="12">
        <v>0.81200000000000006</v>
      </c>
      <c r="E887" s="12">
        <v>2</v>
      </c>
    </row>
    <row r="888" spans="2:5" x14ac:dyDescent="0.25">
      <c r="B888" s="11" t="str">
        <f ca="1">IFERROR(__xludf.DUMMYFUNCTION("""COMPUTED_VALUE"""),"Mabrouk El Mechri")</f>
        <v>Mabrouk El Mechri</v>
      </c>
      <c r="C888" s="11">
        <v>4.9000000000000004</v>
      </c>
      <c r="D888" s="11">
        <v>8.2000000000000003E-2</v>
      </c>
      <c r="E888" s="11">
        <v>1</v>
      </c>
    </row>
    <row r="889" spans="2:5" x14ac:dyDescent="0.25">
      <c r="B889" s="12" t="str">
        <f ca="1">IFERROR(__xludf.DUMMYFUNCTION("""COMPUTED_VALUE"""),"Charlie Kaufman")</f>
        <v>Charlie Kaufman</v>
      </c>
      <c r="C889" s="12">
        <v>7.5</v>
      </c>
      <c r="D889" s="12">
        <v>0.89300000000000002</v>
      </c>
      <c r="E889" s="12">
        <v>1</v>
      </c>
    </row>
    <row r="890" spans="2:5" x14ac:dyDescent="0.25">
      <c r="B890" s="11" t="str">
        <f ca="1">IFERROR(__xludf.DUMMYFUNCTION("""COMPUTED_VALUE"""),"Jean-Paul Rappeneau")</f>
        <v>Jean-Paul Rappeneau</v>
      </c>
      <c r="C890" s="11">
        <v>6.9</v>
      </c>
      <c r="D890" s="11">
        <v>0.68200000000000005</v>
      </c>
      <c r="E890" s="11">
        <v>1</v>
      </c>
    </row>
    <row r="891" spans="2:5" x14ac:dyDescent="0.25">
      <c r="B891" s="12" t="str">
        <f ca="1">IFERROR(__xludf.DUMMYFUNCTION("""COMPUTED_VALUE"""),"Nancy Walker")</f>
        <v>Nancy Walker</v>
      </c>
      <c r="C891" s="12">
        <v>4.5</v>
      </c>
      <c r="D891" s="12">
        <v>5.5E-2</v>
      </c>
      <c r="E891" s="12">
        <v>1</v>
      </c>
    </row>
    <row r="892" spans="2:5" x14ac:dyDescent="0.25">
      <c r="B892" s="11" t="str">
        <f ca="1">IFERROR(__xludf.DUMMYFUNCTION("""COMPUTED_VALUE"""),"Angelo Pizzo")</f>
        <v>Angelo Pizzo</v>
      </c>
      <c r="C892" s="11">
        <v>7</v>
      </c>
      <c r="D892" s="11">
        <v>0.72299999999999998</v>
      </c>
      <c r="E892" s="11">
        <v>1</v>
      </c>
    </row>
    <row r="893" spans="2:5" x14ac:dyDescent="0.25">
      <c r="B893" s="12" t="str">
        <f ca="1">IFERROR(__xludf.DUMMYFUNCTION("""COMPUTED_VALUE"""),"Matthew Diamond")</f>
        <v>Matthew Diamond</v>
      </c>
      <c r="C893" s="12">
        <v>6.7</v>
      </c>
      <c r="D893" s="12">
        <v>0.6</v>
      </c>
      <c r="E893" s="12">
        <v>1</v>
      </c>
    </row>
    <row r="894" spans="2:5" x14ac:dyDescent="0.25">
      <c r="B894" s="11" t="str">
        <f ca="1">IFERROR(__xludf.DUMMYFUNCTION("""COMPUTED_VALUE"""),"Katsuhiro Ôtomo")</f>
        <v>Katsuhiro Ôtomo</v>
      </c>
      <c r="C894" s="11">
        <v>7.5</v>
      </c>
      <c r="D894" s="11">
        <v>0.89300000000000002</v>
      </c>
      <c r="E894" s="11">
        <v>2</v>
      </c>
    </row>
    <row r="895" spans="2:5" x14ac:dyDescent="0.25">
      <c r="B895" s="12" t="str">
        <f ca="1">IFERROR(__xludf.DUMMYFUNCTION("""COMPUTED_VALUE"""),"David Anspaugh")</f>
        <v>David Anspaugh</v>
      </c>
      <c r="C895" s="12">
        <v>6.2</v>
      </c>
      <c r="D895" s="12">
        <v>0.39100000000000001</v>
      </c>
      <c r="E895" s="12">
        <v>1</v>
      </c>
    </row>
    <row r="896" spans="2:5" x14ac:dyDescent="0.25">
      <c r="B896" s="11" t="str">
        <f ca="1">IFERROR(__xludf.DUMMYFUNCTION("""COMPUTED_VALUE"""),"Daniel Algrant")</f>
        <v>Daniel Algrant</v>
      </c>
      <c r="C896" s="11">
        <v>5.5</v>
      </c>
      <c r="D896" s="11">
        <v>0.17699999999999999</v>
      </c>
      <c r="E896" s="11">
        <v>1</v>
      </c>
    </row>
    <row r="897" spans="2:5" x14ac:dyDescent="0.25">
      <c r="B897" s="12" t="str">
        <f ca="1">IFERROR(__xludf.DUMMYFUNCTION("""COMPUTED_VALUE"""),"Mark Rosman")</f>
        <v>Mark Rosman</v>
      </c>
      <c r="C897" s="12">
        <v>5.7</v>
      </c>
      <c r="D897" s="12">
        <v>0.23100000000000001</v>
      </c>
      <c r="E897" s="12">
        <v>2</v>
      </c>
    </row>
    <row r="898" spans="2:5" x14ac:dyDescent="0.25">
      <c r="B898" s="11" t="str">
        <f ca="1">IFERROR(__xludf.DUMMYFUNCTION("""COMPUTED_VALUE"""),"Britt Allcroft")</f>
        <v>Britt Allcroft</v>
      </c>
      <c r="C898" s="11">
        <v>3.6</v>
      </c>
      <c r="D898" s="11">
        <v>0.02</v>
      </c>
      <c r="E898" s="11">
        <v>1</v>
      </c>
    </row>
    <row r="899" spans="2:5" x14ac:dyDescent="0.25">
      <c r="B899" s="12" t="str">
        <f ca="1">IFERROR(__xludf.DUMMYFUNCTION("""COMPUTED_VALUE"""),"Brian Percival")</f>
        <v>Brian Percival</v>
      </c>
      <c r="C899" s="12">
        <v>7.6</v>
      </c>
      <c r="D899" s="12">
        <v>0.91500000000000004</v>
      </c>
      <c r="E899" s="12">
        <v>1</v>
      </c>
    </row>
    <row r="900" spans="2:5" x14ac:dyDescent="0.25">
      <c r="B900" s="11" t="str">
        <f ca="1">IFERROR(__xludf.DUMMYFUNCTION("""COMPUTED_VALUE"""),"Anand Tucker")</f>
        <v>Anand Tucker</v>
      </c>
      <c r="C900" s="11">
        <v>6.65</v>
      </c>
      <c r="D900" s="11">
        <v>0.58699999999999997</v>
      </c>
      <c r="E900" s="11">
        <v>2</v>
      </c>
    </row>
    <row r="901" spans="2:5" x14ac:dyDescent="0.25">
      <c r="B901" s="12" t="str">
        <f ca="1">IFERROR(__xludf.DUMMYFUNCTION("""COMPUTED_VALUE"""),"Michael Dowse")</f>
        <v>Michael Dowse</v>
      </c>
      <c r="C901" s="12">
        <v>6.3</v>
      </c>
      <c r="D901" s="12">
        <v>0.42299999999999999</v>
      </c>
      <c r="E901" s="12">
        <v>1</v>
      </c>
    </row>
    <row r="902" spans="2:5" x14ac:dyDescent="0.25">
      <c r="B902" s="11" t="str">
        <f ca="1">IFERROR(__xludf.DUMMYFUNCTION("""COMPUTED_VALUE"""),"Emile Ardolino")</f>
        <v>Emile Ardolino</v>
      </c>
      <c r="C902" s="11">
        <v>5.7</v>
      </c>
      <c r="D902" s="11">
        <v>0.23100000000000001</v>
      </c>
      <c r="E902" s="11">
        <v>1</v>
      </c>
    </row>
    <row r="903" spans="2:5" x14ac:dyDescent="0.25">
      <c r="B903" s="12" t="str">
        <f ca="1">IFERROR(__xludf.DUMMYFUNCTION("""COMPUTED_VALUE"""),"Robert Altman")</f>
        <v>Robert Altman</v>
      </c>
      <c r="C903" s="12">
        <v>6.8</v>
      </c>
      <c r="D903" s="12">
        <v>0.63800000000000001</v>
      </c>
      <c r="E903" s="12">
        <v>3</v>
      </c>
    </row>
    <row r="904" spans="2:5" x14ac:dyDescent="0.25">
      <c r="B904" s="11" t="str">
        <f ca="1">IFERROR(__xludf.DUMMYFUNCTION("""COMPUTED_VALUE"""),"Andrew Douglas")</f>
        <v>Andrew Douglas</v>
      </c>
      <c r="C904" s="11">
        <v>6</v>
      </c>
      <c r="D904" s="11">
        <v>0.312</v>
      </c>
      <c r="E904" s="11">
        <v>1</v>
      </c>
    </row>
    <row r="905" spans="2:5" x14ac:dyDescent="0.25">
      <c r="B905" s="12" t="str">
        <f ca="1">IFERROR(__xludf.DUMMYFUNCTION("""COMPUTED_VALUE"""),"George A. Romero")</f>
        <v>George A. Romero</v>
      </c>
      <c r="C905" s="12">
        <v>5.6333333333333329</v>
      </c>
      <c r="D905" s="12">
        <v>0.221</v>
      </c>
      <c r="E905" s="12">
        <v>3</v>
      </c>
    </row>
    <row r="906" spans="2:5" x14ac:dyDescent="0.25">
      <c r="B906" s="11" t="str">
        <f ca="1">IFERROR(__xludf.DUMMYFUNCTION("""COMPUTED_VALUE"""),"Ricky Gervais")</f>
        <v>Ricky Gervais</v>
      </c>
      <c r="C906" s="11">
        <v>6.4</v>
      </c>
      <c r="D906" s="11">
        <v>0.46400000000000002</v>
      </c>
      <c r="E906" s="11">
        <v>1</v>
      </c>
    </row>
    <row r="907" spans="2:5" x14ac:dyDescent="0.25">
      <c r="B907" s="12" t="str">
        <f ca="1">IFERROR(__xludf.DUMMYFUNCTION("""COMPUTED_VALUE"""),"Vic Armstrong")</f>
        <v>Vic Armstrong</v>
      </c>
      <c r="C907" s="12">
        <v>3.1</v>
      </c>
      <c r="D907" s="12">
        <v>8.0000000000000002E-3</v>
      </c>
      <c r="E907" s="12">
        <v>1</v>
      </c>
    </row>
    <row r="908" spans="2:5" x14ac:dyDescent="0.25">
      <c r="B908" s="11" t="str">
        <f ca="1">IFERROR(__xludf.DUMMYFUNCTION("""COMPUTED_VALUE"""),"Terry Zwigoff")</f>
        <v>Terry Zwigoff</v>
      </c>
      <c r="C908" s="11">
        <v>7.25</v>
      </c>
      <c r="D908" s="11">
        <v>0.84399999999999997</v>
      </c>
      <c r="E908" s="11">
        <v>2</v>
      </c>
    </row>
    <row r="909" spans="2:5" x14ac:dyDescent="0.25">
      <c r="B909" s="12" t="str">
        <f ca="1">IFERROR(__xludf.DUMMYFUNCTION("""COMPUTED_VALUE"""),"Nelson McCormick")</f>
        <v>Nelson McCormick</v>
      </c>
      <c r="C909" s="12">
        <v>3.9</v>
      </c>
      <c r="D909" s="12">
        <v>2.7E-2</v>
      </c>
      <c r="E909" s="12">
        <v>1</v>
      </c>
    </row>
    <row r="910" spans="2:5" x14ac:dyDescent="0.25">
      <c r="B910" s="11" t="str">
        <f ca="1">IFERROR(__xludf.DUMMYFUNCTION("""COMPUTED_VALUE"""),"Audrey Wells")</f>
        <v>Audrey Wells</v>
      </c>
      <c r="C910" s="11">
        <v>6.7</v>
      </c>
      <c r="D910" s="11">
        <v>0.6</v>
      </c>
      <c r="E910" s="11">
        <v>1</v>
      </c>
    </row>
    <row r="911" spans="2:5" x14ac:dyDescent="0.25">
      <c r="B911" s="12" t="str">
        <f ca="1">IFERROR(__xludf.DUMMYFUNCTION("""COMPUTED_VALUE"""),"Bille Woodruff")</f>
        <v>Bille Woodruff</v>
      </c>
      <c r="C911" s="12">
        <v>5</v>
      </c>
      <c r="D911" s="12">
        <v>8.6999999999999994E-2</v>
      </c>
      <c r="E911" s="12">
        <v>3</v>
      </c>
    </row>
    <row r="912" spans="2:5" x14ac:dyDescent="0.25">
      <c r="B912" s="11" t="str">
        <f ca="1">IFERROR(__xludf.DUMMYFUNCTION("""COMPUTED_VALUE"""),"Rick Friedberg")</f>
        <v>Rick Friedberg</v>
      </c>
      <c r="C912" s="11">
        <v>5.3</v>
      </c>
      <c r="D912" s="11">
        <v>0.13</v>
      </c>
      <c r="E912" s="11">
        <v>1</v>
      </c>
    </row>
    <row r="913" spans="2:5" x14ac:dyDescent="0.25">
      <c r="B913" s="12" t="str">
        <f ca="1">IFERROR(__xludf.DUMMYFUNCTION("""COMPUTED_VALUE"""),"Sean McNamara")</f>
        <v>Sean McNamara</v>
      </c>
      <c r="C913" s="12">
        <v>6.5</v>
      </c>
      <c r="D913" s="12">
        <v>0.504</v>
      </c>
      <c r="E913" s="12">
        <v>2</v>
      </c>
    </row>
    <row r="914" spans="2:5" x14ac:dyDescent="0.25">
      <c r="B914" s="11" t="str">
        <f ca="1">IFERROR(__xludf.DUMMYFUNCTION("""COMPUTED_VALUE"""),"Jody Hill")</f>
        <v>Jody Hill</v>
      </c>
      <c r="C914" s="11">
        <v>5.8</v>
      </c>
      <c r="D914" s="11">
        <v>0.251</v>
      </c>
      <c r="E914" s="11">
        <v>1</v>
      </c>
    </row>
    <row r="915" spans="2:5" x14ac:dyDescent="0.25">
      <c r="B915" s="12" t="str">
        <f ca="1">IFERROR(__xludf.DUMMYFUNCTION("""COMPUTED_VALUE"""),"Brandon Camp")</f>
        <v>Brandon Camp</v>
      </c>
      <c r="C915" s="12">
        <v>5.6</v>
      </c>
      <c r="D915" s="12">
        <v>0.19700000000000001</v>
      </c>
      <c r="E915" s="12">
        <v>1</v>
      </c>
    </row>
    <row r="916" spans="2:5" x14ac:dyDescent="0.25">
      <c r="B916" s="11" t="str">
        <f ca="1">IFERROR(__xludf.DUMMYFUNCTION("""COMPUTED_VALUE"""),"Kevin Tancharoen")</f>
        <v>Kevin Tancharoen</v>
      </c>
      <c r="C916" s="11">
        <v>5.2</v>
      </c>
      <c r="D916" s="11">
        <v>0.113</v>
      </c>
      <c r="E916" s="11">
        <v>2</v>
      </c>
    </row>
    <row r="917" spans="2:5" x14ac:dyDescent="0.25">
      <c r="B917" s="12" t="str">
        <f ca="1">IFERROR(__xludf.DUMMYFUNCTION("""COMPUTED_VALUE"""),"Nicholas Hytner")</f>
        <v>Nicholas Hytner</v>
      </c>
      <c r="C917" s="12">
        <v>6.5333333333333341</v>
      </c>
      <c r="D917" s="12">
        <v>0.54100000000000004</v>
      </c>
      <c r="E917" s="12">
        <v>3</v>
      </c>
    </row>
    <row r="918" spans="2:5" x14ac:dyDescent="0.25">
      <c r="B918" s="11" t="str">
        <f ca="1">IFERROR(__xludf.DUMMYFUNCTION("""COMPUTED_VALUE"""),"Bart Freundlich")</f>
        <v>Bart Freundlich</v>
      </c>
      <c r="C918" s="11">
        <v>5.45</v>
      </c>
      <c r="D918" s="11">
        <v>0.17199999999999999</v>
      </c>
      <c r="E918" s="11">
        <v>2</v>
      </c>
    </row>
    <row r="919" spans="2:5" x14ac:dyDescent="0.25">
      <c r="B919" s="12" t="str">
        <f ca="1">IFERROR(__xludf.DUMMYFUNCTION("""COMPUTED_VALUE"""),"William A. Fraker")</f>
        <v>William A. Fraker</v>
      </c>
      <c r="C919" s="12">
        <v>5</v>
      </c>
      <c r="D919" s="12">
        <v>8.6999999999999994E-2</v>
      </c>
      <c r="E919" s="12">
        <v>1</v>
      </c>
    </row>
    <row r="920" spans="2:5" x14ac:dyDescent="0.25">
      <c r="B920" s="11" t="str">
        <f ca="1">IFERROR(__xludf.DUMMYFUNCTION("""COMPUTED_VALUE"""),"John Boorman")</f>
        <v>John Boorman</v>
      </c>
      <c r="C920" s="11">
        <v>6.1</v>
      </c>
      <c r="D920" s="11">
        <v>0.35099999999999998</v>
      </c>
      <c r="E920" s="11">
        <v>1</v>
      </c>
    </row>
    <row r="921" spans="2:5" x14ac:dyDescent="0.25">
      <c r="B921" s="12" t="str">
        <f ca="1">IFERROR(__xludf.DUMMYFUNCTION("""COMPUTED_VALUE"""),"Courtney Solomon")</f>
        <v>Courtney Solomon</v>
      </c>
      <c r="C921" s="12">
        <v>4.7</v>
      </c>
      <c r="D921" s="12">
        <v>6.6000000000000003E-2</v>
      </c>
      <c r="E921" s="12">
        <v>2</v>
      </c>
    </row>
    <row r="922" spans="2:5" x14ac:dyDescent="0.25">
      <c r="B922" s="11" t="str">
        <f ca="1">IFERROR(__xludf.DUMMYFUNCTION("""COMPUTED_VALUE"""),"Jeff Kanew")</f>
        <v>Jeff Kanew</v>
      </c>
      <c r="C922" s="11">
        <v>5.5</v>
      </c>
      <c r="D922" s="11">
        <v>0.17699999999999999</v>
      </c>
      <c r="E922" s="11">
        <v>1</v>
      </c>
    </row>
    <row r="923" spans="2:5" x14ac:dyDescent="0.25">
      <c r="B923" s="12" t="str">
        <f ca="1">IFERROR(__xludf.DUMMYFUNCTION("""COMPUTED_VALUE"""),"István Szabó")</f>
        <v>István Szabó</v>
      </c>
      <c r="C923" s="12">
        <v>7.1</v>
      </c>
      <c r="D923" s="12">
        <v>0.77200000000000002</v>
      </c>
      <c r="E923" s="12">
        <v>1</v>
      </c>
    </row>
    <row r="924" spans="2:5" x14ac:dyDescent="0.25">
      <c r="B924" s="11" t="str">
        <f ca="1">IFERROR(__xludf.DUMMYFUNCTION("""COMPUTED_VALUE"""),"Matthew Robbins")</f>
        <v>Matthew Robbins</v>
      </c>
      <c r="C924" s="11">
        <v>6.7</v>
      </c>
      <c r="D924" s="11">
        <v>0.6</v>
      </c>
      <c r="E924" s="11">
        <v>1</v>
      </c>
    </row>
    <row r="925" spans="2:5" x14ac:dyDescent="0.25">
      <c r="B925" s="12" t="str">
        <f ca="1">IFERROR(__xludf.DUMMYFUNCTION("""COMPUTED_VALUE"""),"Hal Needham")</f>
        <v>Hal Needham</v>
      </c>
      <c r="C925" s="12">
        <v>3.5</v>
      </c>
      <c r="D925" s="12">
        <v>1.7000000000000001E-2</v>
      </c>
      <c r="E925" s="12">
        <v>1</v>
      </c>
    </row>
    <row r="926" spans="2:5" x14ac:dyDescent="0.25">
      <c r="B926" s="11" t="str">
        <f ca="1">IFERROR(__xludf.DUMMYFUNCTION("""COMPUTED_VALUE"""),"Jeff Nichols")</f>
        <v>Jeff Nichols</v>
      </c>
      <c r="C926" s="11">
        <v>7.166666666666667</v>
      </c>
      <c r="D926" s="11">
        <v>0.80900000000000005</v>
      </c>
      <c r="E926" s="11">
        <v>3</v>
      </c>
    </row>
    <row r="927" spans="2:5" x14ac:dyDescent="0.25">
      <c r="B927" s="12" t="str">
        <f ca="1">IFERROR(__xludf.DUMMYFUNCTION("""COMPUTED_VALUE"""),"Jonathan Teplitzky")</f>
        <v>Jonathan Teplitzky</v>
      </c>
      <c r="C927" s="12">
        <v>7.1</v>
      </c>
      <c r="D927" s="12">
        <v>0.77200000000000002</v>
      </c>
      <c r="E927" s="12">
        <v>1</v>
      </c>
    </row>
    <row r="928" spans="2:5" x14ac:dyDescent="0.25">
      <c r="B928" s="11" t="str">
        <f ca="1">IFERROR(__xludf.DUMMYFUNCTION("""COMPUTED_VALUE"""),"Michael Haneke")</f>
        <v>Michael Haneke</v>
      </c>
      <c r="C928" s="11">
        <v>7.4000000000000012</v>
      </c>
      <c r="D928" s="11">
        <v>0.88500000000000001</v>
      </c>
      <c r="E928" s="11">
        <v>3</v>
      </c>
    </row>
    <row r="929" spans="2:5" x14ac:dyDescent="0.25">
      <c r="B929" s="12" t="str">
        <f ca="1">IFERROR(__xludf.DUMMYFUNCTION("""COMPUTED_VALUE"""),"Mike Marvin")</f>
        <v>Mike Marvin</v>
      </c>
      <c r="C929" s="12">
        <v>5.9</v>
      </c>
      <c r="D929" s="12">
        <v>0.27100000000000002</v>
      </c>
      <c r="E929" s="12">
        <v>1</v>
      </c>
    </row>
    <row r="930" spans="2:5" x14ac:dyDescent="0.25">
      <c r="B930" s="11" t="str">
        <f ca="1">IFERROR(__xludf.DUMMYFUNCTION("""COMPUTED_VALUE"""),"Lance Hool")</f>
        <v>Lance Hool</v>
      </c>
      <c r="C930" s="11">
        <v>6.2</v>
      </c>
      <c r="D930" s="11">
        <v>0.39100000000000001</v>
      </c>
      <c r="E930" s="11">
        <v>1</v>
      </c>
    </row>
    <row r="931" spans="2:5" x14ac:dyDescent="0.25">
      <c r="B931" s="12" t="str">
        <f ca="1">IFERROR(__xludf.DUMMYFUNCTION("""COMPUTED_VALUE"""),"Christian Volckman")</f>
        <v>Christian Volckman</v>
      </c>
      <c r="C931" s="12">
        <v>6.7</v>
      </c>
      <c r="D931" s="12">
        <v>0.6</v>
      </c>
      <c r="E931" s="12">
        <v>1</v>
      </c>
    </row>
    <row r="932" spans="2:5" x14ac:dyDescent="0.25">
      <c r="B932" s="11" t="str">
        <f ca="1">IFERROR(__xludf.DUMMYFUNCTION("""COMPUTED_VALUE"""),"Cory Edwards")</f>
        <v>Cory Edwards</v>
      </c>
      <c r="C932" s="11">
        <v>6.5</v>
      </c>
      <c r="D932" s="11">
        <v>0.504</v>
      </c>
      <c r="E932" s="11">
        <v>1</v>
      </c>
    </row>
    <row r="933" spans="2:5" x14ac:dyDescent="0.25">
      <c r="B933" s="12" t="str">
        <f ca="1">IFERROR(__xludf.DUMMYFUNCTION("""COMPUTED_VALUE"""),"Terry George")</f>
        <v>Terry George</v>
      </c>
      <c r="C933" s="12">
        <v>8.1</v>
      </c>
      <c r="D933" s="12">
        <v>0.98099999999999998</v>
      </c>
      <c r="E933" s="12">
        <v>1</v>
      </c>
    </row>
    <row r="934" spans="2:5" x14ac:dyDescent="0.25">
      <c r="B934" s="11" t="str">
        <f ca="1">IFERROR(__xludf.DUMMYFUNCTION("""COMPUTED_VALUE"""),"Xavier Gens")</f>
        <v>Xavier Gens</v>
      </c>
      <c r="C934" s="11">
        <v>6.05</v>
      </c>
      <c r="D934" s="11">
        <v>0.34</v>
      </c>
      <c r="E934" s="11">
        <v>2</v>
      </c>
    </row>
    <row r="935" spans="2:5" x14ac:dyDescent="0.25">
      <c r="B935" s="12" t="str">
        <f ca="1">IFERROR(__xludf.DUMMYFUNCTION("""COMPUTED_VALUE"""),"Kasi Lemmons")</f>
        <v>Kasi Lemmons</v>
      </c>
      <c r="C935" s="12">
        <v>5.85</v>
      </c>
      <c r="D935" s="12">
        <v>0.26800000000000002</v>
      </c>
      <c r="E935" s="12">
        <v>2</v>
      </c>
    </row>
    <row r="936" spans="2:5" x14ac:dyDescent="0.25">
      <c r="B936" s="11" t="str">
        <f ca="1">IFERROR(__xludf.DUMMYFUNCTION("""COMPUTED_VALUE"""),"Matt Dillon")</f>
        <v>Matt Dillon</v>
      </c>
      <c r="C936" s="11">
        <v>6</v>
      </c>
      <c r="D936" s="11">
        <v>0.312</v>
      </c>
      <c r="E936" s="11">
        <v>1</v>
      </c>
    </row>
    <row r="937" spans="2:5" x14ac:dyDescent="0.25">
      <c r="B937" s="12" t="str">
        <f ca="1">IFERROR(__xludf.DUMMYFUNCTION("""COMPUTED_VALUE"""),"George Cukor")</f>
        <v>George Cukor</v>
      </c>
      <c r="C937" s="12">
        <v>7.9</v>
      </c>
      <c r="D937" s="12">
        <v>0.97</v>
      </c>
      <c r="E937" s="12">
        <v>1</v>
      </c>
    </row>
    <row r="938" spans="2:5" x14ac:dyDescent="0.25">
      <c r="B938" s="11" t="str">
        <f ca="1">IFERROR(__xludf.DUMMYFUNCTION("""COMPUTED_VALUE"""),"Jim Gillespie")</f>
        <v>Jim Gillespie</v>
      </c>
      <c r="C938" s="11">
        <v>5.6</v>
      </c>
      <c r="D938" s="11">
        <v>0.19700000000000001</v>
      </c>
      <c r="E938" s="11">
        <v>1</v>
      </c>
    </row>
    <row r="939" spans="2:5" x14ac:dyDescent="0.25">
      <c r="B939" s="12" t="str">
        <f ca="1">IFERROR(__xludf.DUMMYFUNCTION("""COMPUTED_VALUE"""),"John Hoffman")</f>
        <v>John Hoffman</v>
      </c>
      <c r="C939" s="12">
        <v>5.0999999999999996</v>
      </c>
      <c r="D939" s="12">
        <v>9.7000000000000003E-2</v>
      </c>
      <c r="E939" s="12">
        <v>1</v>
      </c>
    </row>
    <row r="940" spans="2:5" x14ac:dyDescent="0.25">
      <c r="B940" s="11" t="str">
        <f ca="1">IFERROR(__xludf.DUMMYFUNCTION("""COMPUTED_VALUE"""),"Kevin Greutert")</f>
        <v>Kevin Greutert</v>
      </c>
      <c r="C940" s="11">
        <v>5.8</v>
      </c>
      <c r="D940" s="11">
        <v>0.251</v>
      </c>
      <c r="E940" s="11">
        <v>2</v>
      </c>
    </row>
    <row r="941" spans="2:5" x14ac:dyDescent="0.25">
      <c r="B941" s="12" t="str">
        <f ca="1">IFERROR(__xludf.DUMMYFUNCTION("""COMPUTED_VALUE"""),"John Fortenberry")</f>
        <v>John Fortenberry</v>
      </c>
      <c r="C941" s="12">
        <v>6.2</v>
      </c>
      <c r="D941" s="12">
        <v>0.39100000000000001</v>
      </c>
      <c r="E941" s="12">
        <v>1</v>
      </c>
    </row>
    <row r="942" spans="2:5" x14ac:dyDescent="0.25">
      <c r="B942" s="11" t="str">
        <f ca="1">IFERROR(__xludf.DUMMYFUNCTION("""COMPUTED_VALUE"""),"Daniel Barnz")</f>
        <v>Daniel Barnz</v>
      </c>
      <c r="C942" s="11">
        <v>5.6</v>
      </c>
      <c r="D942" s="11">
        <v>0.19700000000000001</v>
      </c>
      <c r="E942" s="11">
        <v>1</v>
      </c>
    </row>
    <row r="943" spans="2:5" x14ac:dyDescent="0.25">
      <c r="B943" s="12" t="str">
        <f ca="1">IFERROR(__xludf.DUMMYFUNCTION("""COMPUTED_VALUE"""),"Jason Moore")</f>
        <v>Jason Moore</v>
      </c>
      <c r="C943" s="12">
        <v>7.2</v>
      </c>
      <c r="D943" s="12">
        <v>0.81200000000000006</v>
      </c>
      <c r="E943" s="12">
        <v>1</v>
      </c>
    </row>
    <row r="944" spans="2:5" x14ac:dyDescent="0.25">
      <c r="B944" s="11" t="str">
        <f ca="1">IFERROR(__xludf.DUMMYFUNCTION("""COMPUTED_VALUE"""),"Robert Harmon")</f>
        <v>Robert Harmon</v>
      </c>
      <c r="C944" s="11">
        <v>5.15</v>
      </c>
      <c r="D944" s="11">
        <v>0.111</v>
      </c>
      <c r="E944" s="11">
        <v>2</v>
      </c>
    </row>
    <row r="945" spans="2:5" x14ac:dyDescent="0.25">
      <c r="B945" s="12" t="str">
        <f ca="1">IFERROR(__xludf.DUMMYFUNCTION("""COMPUTED_VALUE"""),"Trent Cooper")</f>
        <v>Trent Cooper</v>
      </c>
      <c r="C945" s="12">
        <v>3.1</v>
      </c>
      <c r="D945" s="12">
        <v>8.0000000000000002E-3</v>
      </c>
      <c r="E945" s="12">
        <v>1</v>
      </c>
    </row>
    <row r="946" spans="2:5" x14ac:dyDescent="0.25">
      <c r="B946" s="11" t="str">
        <f ca="1">IFERROR(__xludf.DUMMYFUNCTION("""COMPUTED_VALUE"""),"Gary Halvorson")</f>
        <v>Gary Halvorson</v>
      </c>
      <c r="C946" s="11">
        <v>5.8</v>
      </c>
      <c r="D946" s="11">
        <v>0.251</v>
      </c>
      <c r="E946" s="11">
        <v>1</v>
      </c>
    </row>
    <row r="947" spans="2:5" x14ac:dyDescent="0.25">
      <c r="B947" s="12" t="str">
        <f ca="1">IFERROR(__xludf.DUMMYFUNCTION("""COMPUTED_VALUE"""),"Fede Alvarez")</f>
        <v>Fede Alvarez</v>
      </c>
      <c r="C947" s="12">
        <v>6.5</v>
      </c>
      <c r="D947" s="12">
        <v>0.504</v>
      </c>
      <c r="E947" s="12">
        <v>1</v>
      </c>
    </row>
    <row r="948" spans="2:5" x14ac:dyDescent="0.25">
      <c r="B948" s="11" t="str">
        <f ca="1">IFERROR(__xludf.DUMMYFUNCTION("""COMPUTED_VALUE"""),"Sidney J. Furie")</f>
        <v>Sidney J. Furie</v>
      </c>
      <c r="C948" s="11">
        <v>3.6</v>
      </c>
      <c r="D948" s="11">
        <v>0.02</v>
      </c>
      <c r="E948" s="11">
        <v>1</v>
      </c>
    </row>
    <row r="949" spans="2:5" x14ac:dyDescent="0.25">
      <c r="B949" s="12" t="str">
        <f ca="1">IFERROR(__xludf.DUMMYFUNCTION("""COMPUTED_VALUE"""),"Wayne Kramer")</f>
        <v>Wayne Kramer</v>
      </c>
      <c r="C949" s="12">
        <v>7.2</v>
      </c>
      <c r="D949" s="12">
        <v>0.81200000000000006</v>
      </c>
      <c r="E949" s="12">
        <v>2</v>
      </c>
    </row>
    <row r="950" spans="2:5" x14ac:dyDescent="0.25">
      <c r="B950" s="11" t="str">
        <f ca="1">IFERROR(__xludf.DUMMYFUNCTION("""COMPUTED_VALUE"""),"Jim Goddard")</f>
        <v>Jim Goddard</v>
      </c>
      <c r="C950" s="11">
        <v>3</v>
      </c>
      <c r="D950" s="11">
        <v>6.0000000000000001E-3</v>
      </c>
      <c r="E950" s="11">
        <v>1</v>
      </c>
    </row>
    <row r="951" spans="2:5" x14ac:dyDescent="0.25">
      <c r="B951" s="12" t="str">
        <f ca="1">IFERROR(__xludf.DUMMYFUNCTION("""COMPUTED_VALUE"""),"Noel Marshall")</f>
        <v>Noel Marshall</v>
      </c>
      <c r="C951" s="12">
        <v>6.4</v>
      </c>
      <c r="D951" s="12">
        <v>0.46400000000000002</v>
      </c>
      <c r="E951" s="12">
        <v>1</v>
      </c>
    </row>
    <row r="952" spans="2:5" x14ac:dyDescent="0.25">
      <c r="B952" s="11" t="str">
        <f ca="1">IFERROR(__xludf.DUMMYFUNCTION("""COMPUTED_VALUE"""),"Andrea Di Stefano")</f>
        <v>Andrea Di Stefano</v>
      </c>
      <c r="C952" s="11">
        <v>6.6</v>
      </c>
      <c r="D952" s="11">
        <v>0.55300000000000005</v>
      </c>
      <c r="E952" s="11">
        <v>1</v>
      </c>
    </row>
    <row r="953" spans="2:5" x14ac:dyDescent="0.25">
      <c r="B953" s="12" t="str">
        <f ca="1">IFERROR(__xludf.DUMMYFUNCTION("""COMPUTED_VALUE"""),"Todd Lincoln")</f>
        <v>Todd Lincoln</v>
      </c>
      <c r="C953" s="12">
        <v>4.0999999999999996</v>
      </c>
      <c r="D953" s="12">
        <v>3.5000000000000003E-2</v>
      </c>
      <c r="E953" s="12">
        <v>1</v>
      </c>
    </row>
    <row r="954" spans="2:5" x14ac:dyDescent="0.25">
      <c r="B954" s="11" t="str">
        <f ca="1">IFERROR(__xludf.DUMMYFUNCTION("""COMPUTED_VALUE"""),"Howard Zieff")</f>
        <v>Howard Zieff</v>
      </c>
      <c r="C954" s="11">
        <v>6.4499999999999993</v>
      </c>
      <c r="D954" s="11">
        <v>0.49199999999999999</v>
      </c>
      <c r="E954" s="11">
        <v>2</v>
      </c>
    </row>
    <row r="955" spans="2:5" x14ac:dyDescent="0.25">
      <c r="B955" s="12" t="str">
        <f ca="1">IFERROR(__xludf.DUMMYFUNCTION("""COMPUTED_VALUE"""),"Steven Shainberg")</f>
        <v>Steven Shainberg</v>
      </c>
      <c r="C955" s="12">
        <v>6.8</v>
      </c>
      <c r="D955" s="12">
        <v>0.63800000000000001</v>
      </c>
      <c r="E955" s="12">
        <v>2</v>
      </c>
    </row>
    <row r="956" spans="2:5" x14ac:dyDescent="0.25">
      <c r="B956" s="11" t="str">
        <f ca="1">IFERROR(__xludf.DUMMYFUNCTION("""COMPUTED_VALUE"""),"Julian Jarrold")</f>
        <v>Julian Jarrold</v>
      </c>
      <c r="C956" s="11">
        <v>7.1</v>
      </c>
      <c r="D956" s="11">
        <v>0.77200000000000002</v>
      </c>
      <c r="E956" s="11">
        <v>1</v>
      </c>
    </row>
    <row r="957" spans="2:5" x14ac:dyDescent="0.25">
      <c r="B957" s="12" t="str">
        <f ca="1">IFERROR(__xludf.DUMMYFUNCTION("""COMPUTED_VALUE"""),"Joe Nussbaum")</f>
        <v>Joe Nussbaum</v>
      </c>
      <c r="C957" s="12">
        <v>5.666666666666667</v>
      </c>
      <c r="D957" s="12">
        <v>0.22700000000000001</v>
      </c>
      <c r="E957" s="12">
        <v>3</v>
      </c>
    </row>
    <row r="958" spans="2:5" x14ac:dyDescent="0.25">
      <c r="B958" s="11" t="str">
        <f ca="1">IFERROR(__xludf.DUMMYFUNCTION("""COMPUTED_VALUE"""),"Vadim Perelman")</f>
        <v>Vadim Perelman</v>
      </c>
      <c r="C958" s="11">
        <v>7</v>
      </c>
      <c r="D958" s="11">
        <v>0.72299999999999998</v>
      </c>
      <c r="E958" s="11">
        <v>2</v>
      </c>
    </row>
    <row r="959" spans="2:5" x14ac:dyDescent="0.25">
      <c r="B959" s="12" t="str">
        <f ca="1">IFERROR(__xludf.DUMMYFUNCTION("""COMPUTED_VALUE"""),"Peter Farrelly")</f>
        <v>Peter Farrelly</v>
      </c>
      <c r="C959" s="12">
        <v>7.3</v>
      </c>
      <c r="D959" s="12">
        <v>0.84899999999999998</v>
      </c>
      <c r="E959" s="12">
        <v>1</v>
      </c>
    </row>
    <row r="960" spans="2:5" x14ac:dyDescent="0.25">
      <c r="B960" s="11" t="str">
        <f ca="1">IFERROR(__xludf.DUMMYFUNCTION("""COMPUTED_VALUE"""),"Michel Hazanavicius")</f>
        <v>Michel Hazanavicius</v>
      </c>
      <c r="C960" s="11">
        <v>8</v>
      </c>
      <c r="D960" s="11">
        <v>0.97799999999999998</v>
      </c>
      <c r="E960" s="11">
        <v>1</v>
      </c>
    </row>
    <row r="961" spans="2:5" x14ac:dyDescent="0.25">
      <c r="B961" s="12" t="str">
        <f ca="1">IFERROR(__xludf.DUMMYFUNCTION("""COMPUTED_VALUE"""),"Cyrus Nowrasteh")</f>
        <v>Cyrus Nowrasteh</v>
      </c>
      <c r="C961" s="12">
        <v>5.4</v>
      </c>
      <c r="D961" s="12">
        <v>0.155</v>
      </c>
      <c r="E961" s="12">
        <v>1</v>
      </c>
    </row>
    <row r="962" spans="2:5" x14ac:dyDescent="0.25">
      <c r="B962" s="11" t="str">
        <f ca="1">IFERROR(__xludf.DUMMYFUNCTION("""COMPUTED_VALUE"""),"Perry Andelin Blake")</f>
        <v>Perry Andelin Blake</v>
      </c>
      <c r="C962" s="11">
        <v>3.3</v>
      </c>
      <c r="D962" s="11">
        <v>0.01</v>
      </c>
      <c r="E962" s="11">
        <v>1</v>
      </c>
    </row>
    <row r="963" spans="2:5" x14ac:dyDescent="0.25">
      <c r="B963" s="12" t="str">
        <f ca="1">IFERROR(__xludf.DUMMYFUNCTION("""COMPUTED_VALUE"""),"Christian E. Christiansen")</f>
        <v>Christian E. Christiansen</v>
      </c>
      <c r="C963" s="12">
        <v>4.8</v>
      </c>
      <c r="D963" s="12">
        <v>7.3999999999999996E-2</v>
      </c>
      <c r="E963" s="12">
        <v>1</v>
      </c>
    </row>
    <row r="964" spans="2:5" x14ac:dyDescent="0.25">
      <c r="B964" s="11" t="str">
        <f ca="1">IFERROR(__xludf.DUMMYFUNCTION("""COMPUTED_VALUE"""),"Sheldon Lettich")</f>
        <v>Sheldon Lettich</v>
      </c>
      <c r="C964" s="11">
        <v>6.1</v>
      </c>
      <c r="D964" s="11">
        <v>0.35099999999999998</v>
      </c>
      <c r="E964" s="11">
        <v>2</v>
      </c>
    </row>
    <row r="965" spans="2:5" x14ac:dyDescent="0.25">
      <c r="B965" s="12" t="str">
        <f ca="1">IFERROR(__xludf.DUMMYFUNCTION("""COMPUTED_VALUE"""),"Diane English")</f>
        <v>Diane English</v>
      </c>
      <c r="C965" s="12">
        <v>4.9000000000000004</v>
      </c>
      <c r="D965" s="12">
        <v>8.2000000000000003E-2</v>
      </c>
      <c r="E965" s="12">
        <v>1</v>
      </c>
    </row>
    <row r="966" spans="2:5" x14ac:dyDescent="0.25">
      <c r="B966" s="11" t="str">
        <f ca="1">IFERROR(__xludf.DUMMYFUNCTION("""COMPUTED_VALUE"""),"Robert Iscove")</f>
        <v>Robert Iscove</v>
      </c>
      <c r="C966" s="11">
        <v>4.3999999999999995</v>
      </c>
      <c r="D966" s="11">
        <v>4.9000000000000002E-2</v>
      </c>
      <c r="E966" s="11">
        <v>3</v>
      </c>
    </row>
    <row r="967" spans="2:5" x14ac:dyDescent="0.25">
      <c r="B967" s="12" t="str">
        <f ca="1">IFERROR(__xludf.DUMMYFUNCTION("""COMPUTED_VALUE"""),"Peter Kosminsky")</f>
        <v>Peter Kosminsky</v>
      </c>
      <c r="C967" s="12">
        <v>7.2</v>
      </c>
      <c r="D967" s="12">
        <v>0.81200000000000006</v>
      </c>
      <c r="E967" s="12">
        <v>1</v>
      </c>
    </row>
    <row r="968" spans="2:5" x14ac:dyDescent="0.25">
      <c r="B968" s="11" t="str">
        <f ca="1">IFERROR(__xludf.DUMMYFUNCTION("""COMPUTED_VALUE"""),"Nick Gomez")</f>
        <v>Nick Gomez</v>
      </c>
      <c r="C968" s="11">
        <v>5.6</v>
      </c>
      <c r="D968" s="11">
        <v>0.19700000000000001</v>
      </c>
      <c r="E968" s="11">
        <v>1</v>
      </c>
    </row>
    <row r="969" spans="2:5" x14ac:dyDescent="0.25">
      <c r="B969" s="12" t="str">
        <f ca="1">IFERROR(__xludf.DUMMYFUNCTION("""COMPUTED_VALUE"""),"Allen Coulter")</f>
        <v>Allen Coulter</v>
      </c>
      <c r="C969" s="12">
        <v>7.2</v>
      </c>
      <c r="D969" s="12">
        <v>0.81200000000000006</v>
      </c>
      <c r="E969" s="12">
        <v>1</v>
      </c>
    </row>
    <row r="970" spans="2:5" x14ac:dyDescent="0.25">
      <c r="B970" s="11" t="str">
        <f ca="1">IFERROR(__xludf.DUMMYFUNCTION("""COMPUTED_VALUE"""),"Clare Kilner")</f>
        <v>Clare Kilner</v>
      </c>
      <c r="C970" s="11">
        <v>5.9</v>
      </c>
      <c r="D970" s="11">
        <v>0.27100000000000002</v>
      </c>
      <c r="E970" s="11">
        <v>2</v>
      </c>
    </row>
    <row r="971" spans="2:5" x14ac:dyDescent="0.25">
      <c r="B971" s="12" t="str">
        <f ca="1">IFERROR(__xludf.DUMMYFUNCTION("""COMPUTED_VALUE"""),"Josef Rusnak")</f>
        <v>Josef Rusnak</v>
      </c>
      <c r="C971" s="12">
        <v>7</v>
      </c>
      <c r="D971" s="12">
        <v>0.72299999999999998</v>
      </c>
      <c r="E971" s="12">
        <v>1</v>
      </c>
    </row>
    <row r="972" spans="2:5" x14ac:dyDescent="0.25">
      <c r="B972" s="11" t="str">
        <f ca="1">IFERROR(__xludf.DUMMYFUNCTION("""COMPUTED_VALUE"""),"Bruce Paltrow")</f>
        <v>Bruce Paltrow</v>
      </c>
      <c r="C972" s="11">
        <v>6</v>
      </c>
      <c r="D972" s="11">
        <v>0.312</v>
      </c>
      <c r="E972" s="11">
        <v>1</v>
      </c>
    </row>
    <row r="973" spans="2:5" x14ac:dyDescent="0.25">
      <c r="B973" s="12" t="str">
        <f ca="1">IFERROR(__xludf.DUMMYFUNCTION("""COMPUTED_VALUE"""),"Adam Rifkin")</f>
        <v>Adam Rifkin</v>
      </c>
      <c r="C973" s="12">
        <v>6.8</v>
      </c>
      <c r="D973" s="12">
        <v>0.63800000000000001</v>
      </c>
      <c r="E973" s="12">
        <v>1</v>
      </c>
    </row>
    <row r="974" spans="2:5" x14ac:dyDescent="0.25">
      <c r="B974" s="11" t="str">
        <f ca="1">IFERROR(__xludf.DUMMYFUNCTION("""COMPUTED_VALUE"""),"Susanne Bier")</f>
        <v>Susanne Bier</v>
      </c>
      <c r="C974" s="11">
        <v>7.2</v>
      </c>
      <c r="D974" s="11">
        <v>0.81200000000000006</v>
      </c>
      <c r="E974" s="11">
        <v>1</v>
      </c>
    </row>
    <row r="975" spans="2:5" x14ac:dyDescent="0.25">
      <c r="B975" s="12" t="str">
        <f ca="1">IFERROR(__xludf.DUMMYFUNCTION("""COMPUTED_VALUE"""),"Kenneth Johnson")</f>
        <v>Kenneth Johnson</v>
      </c>
      <c r="C975" s="12">
        <v>2.8</v>
      </c>
      <c r="D975" s="12">
        <v>3.0000000000000001E-3</v>
      </c>
      <c r="E975" s="12">
        <v>1</v>
      </c>
    </row>
    <row r="976" spans="2:5" x14ac:dyDescent="0.25">
      <c r="B976" s="11" t="str">
        <f ca="1">IFERROR(__xludf.DUMMYFUNCTION("""COMPUTED_VALUE"""),"James Ivory")</f>
        <v>James Ivory</v>
      </c>
      <c r="C976" s="11">
        <v>7.1</v>
      </c>
      <c r="D976" s="11">
        <v>0.77200000000000002</v>
      </c>
      <c r="E976" s="11">
        <v>5</v>
      </c>
    </row>
    <row r="977" spans="2:5" x14ac:dyDescent="0.25">
      <c r="B977" s="12" t="str">
        <f ca="1">IFERROR(__xludf.DUMMYFUNCTION("""COMPUTED_VALUE"""),"Jessy Terrero")</f>
        <v>Jessy Terrero</v>
      </c>
      <c r="C977" s="12">
        <v>4.4000000000000004</v>
      </c>
      <c r="D977" s="12">
        <v>0.05</v>
      </c>
      <c r="E977" s="12">
        <v>1</v>
      </c>
    </row>
    <row r="978" spans="2:5" x14ac:dyDescent="0.25">
      <c r="B978" s="11" t="str">
        <f ca="1">IFERROR(__xludf.DUMMYFUNCTION("""COMPUTED_VALUE"""),"Vicente Amorim")</f>
        <v>Vicente Amorim</v>
      </c>
      <c r="C978" s="11">
        <v>6.2</v>
      </c>
      <c r="D978" s="11">
        <v>0.39100000000000001</v>
      </c>
      <c r="E978" s="11">
        <v>1</v>
      </c>
    </row>
    <row r="979" spans="2:5" x14ac:dyDescent="0.25">
      <c r="B979" s="12" t="str">
        <f ca="1">IFERROR(__xludf.DUMMYFUNCTION("""COMPUTED_VALUE"""),"Gaspar Noé")</f>
        <v>Gaspar Noé</v>
      </c>
      <c r="C979" s="12">
        <v>7.3</v>
      </c>
      <c r="D979" s="12">
        <v>0.84899999999999998</v>
      </c>
      <c r="E979" s="12">
        <v>1</v>
      </c>
    </row>
    <row r="980" spans="2:5" x14ac:dyDescent="0.25">
      <c r="B980" s="11" t="str">
        <f ca="1">IFERROR(__xludf.DUMMYFUNCTION("""COMPUTED_VALUE"""),"Tommy Lee Jones")</f>
        <v>Tommy Lee Jones</v>
      </c>
      <c r="C980" s="11">
        <v>7.05</v>
      </c>
      <c r="D980" s="11">
        <v>0.76500000000000001</v>
      </c>
      <c r="E980" s="11">
        <v>2</v>
      </c>
    </row>
    <row r="981" spans="2:5" x14ac:dyDescent="0.25">
      <c r="B981" s="12" t="str">
        <f ca="1">IFERROR(__xludf.DUMMYFUNCTION("""COMPUTED_VALUE"""),"Jesse Vaughan")</f>
        <v>Jesse Vaughan</v>
      </c>
      <c r="C981" s="12">
        <v>4.5</v>
      </c>
      <c r="D981" s="12">
        <v>5.5E-2</v>
      </c>
      <c r="E981" s="12">
        <v>1</v>
      </c>
    </row>
    <row r="982" spans="2:5" x14ac:dyDescent="0.25">
      <c r="B982" s="11" t="str">
        <f ca="1">IFERROR(__xludf.DUMMYFUNCTION("""COMPUTED_VALUE"""),"Wayne Beach")</f>
        <v>Wayne Beach</v>
      </c>
      <c r="C982" s="11">
        <v>5.9</v>
      </c>
      <c r="D982" s="11">
        <v>0.27100000000000002</v>
      </c>
      <c r="E982" s="11">
        <v>1</v>
      </c>
    </row>
    <row r="983" spans="2:5" x14ac:dyDescent="0.25">
      <c r="B983" s="12" t="str">
        <f ca="1">IFERROR(__xludf.DUMMYFUNCTION("""COMPUTED_VALUE"""),"Gérard Krawczyk")</f>
        <v>Gérard Krawczyk</v>
      </c>
      <c r="C983" s="12">
        <v>6.6</v>
      </c>
      <c r="D983" s="12">
        <v>0.55300000000000005</v>
      </c>
      <c r="E983" s="12">
        <v>1</v>
      </c>
    </row>
    <row r="984" spans="2:5" x14ac:dyDescent="0.25">
      <c r="B984" s="11" t="str">
        <f ca="1">IFERROR(__xludf.DUMMYFUNCTION("""COMPUTED_VALUE"""),"Udayan Prasad")</f>
        <v>Udayan Prasad</v>
      </c>
      <c r="C984" s="11">
        <v>6.8</v>
      </c>
      <c r="D984" s="11">
        <v>0.63800000000000001</v>
      </c>
      <c r="E984" s="11">
        <v>1</v>
      </c>
    </row>
    <row r="985" spans="2:5" x14ac:dyDescent="0.25">
      <c r="B985" s="12" t="str">
        <f ca="1">IFERROR(__xludf.DUMMYFUNCTION("""COMPUTED_VALUE"""),"Morten Tyldum")</f>
        <v>Morten Tyldum</v>
      </c>
      <c r="C985" s="12">
        <v>7.85</v>
      </c>
      <c r="D985" s="12">
        <v>0.96799999999999997</v>
      </c>
      <c r="E985" s="12">
        <v>2</v>
      </c>
    </row>
    <row r="986" spans="2:5" x14ac:dyDescent="0.25">
      <c r="B986" s="11" t="str">
        <f ca="1">IFERROR(__xludf.DUMMYFUNCTION("""COMPUTED_VALUE"""),"Andrés Muschietti")</f>
        <v>Andrés Muschietti</v>
      </c>
      <c r="C986" s="11">
        <v>6.2</v>
      </c>
      <c r="D986" s="11">
        <v>0.39100000000000001</v>
      </c>
      <c r="E986" s="11">
        <v>1</v>
      </c>
    </row>
    <row r="987" spans="2:5" x14ac:dyDescent="0.25">
      <c r="B987" s="12" t="str">
        <f ca="1">IFERROR(__xludf.DUMMYFUNCTION("""COMPUTED_VALUE"""),"Gillian Armstrong")</f>
        <v>Gillian Armstrong</v>
      </c>
      <c r="C987" s="12">
        <v>7</v>
      </c>
      <c r="D987" s="12">
        <v>0.72299999999999998</v>
      </c>
      <c r="E987" s="12">
        <v>2</v>
      </c>
    </row>
    <row r="988" spans="2:5" x14ac:dyDescent="0.25">
      <c r="B988" s="11" t="str">
        <f ca="1">IFERROR(__xludf.DUMMYFUNCTION("""COMPUTED_VALUE"""),"James Watkins")</f>
        <v>James Watkins</v>
      </c>
      <c r="C988" s="11">
        <v>6.4</v>
      </c>
      <c r="D988" s="11">
        <v>0.46400000000000002</v>
      </c>
      <c r="E988" s="11">
        <v>1</v>
      </c>
    </row>
    <row r="989" spans="2:5" x14ac:dyDescent="0.25">
      <c r="B989" s="12" t="str">
        <f ca="1">IFERROR(__xludf.DUMMYFUNCTION("""COMPUTED_VALUE"""),"Jim Fall")</f>
        <v>Jim Fall</v>
      </c>
      <c r="C989" s="12">
        <v>5.3</v>
      </c>
      <c r="D989" s="12">
        <v>0.13</v>
      </c>
      <c r="E989" s="12">
        <v>1</v>
      </c>
    </row>
    <row r="990" spans="2:5" x14ac:dyDescent="0.25">
      <c r="B990" s="11" t="str">
        <f ca="1">IFERROR(__xludf.DUMMYFUNCTION("""COMPUTED_VALUE"""),"Ric Roman Waugh")</f>
        <v>Ric Roman Waugh</v>
      </c>
      <c r="C990" s="11">
        <v>6.5</v>
      </c>
      <c r="D990" s="11">
        <v>0.504</v>
      </c>
      <c r="E990" s="11">
        <v>1</v>
      </c>
    </row>
    <row r="991" spans="2:5" x14ac:dyDescent="0.25">
      <c r="B991" s="12" t="str">
        <f ca="1">IFERROR(__xludf.DUMMYFUNCTION("""COMPUTED_VALUE"""),"Michael Dougherty")</f>
        <v>Michael Dougherty</v>
      </c>
      <c r="C991" s="12">
        <v>6.2</v>
      </c>
      <c r="D991" s="12">
        <v>0.39100000000000001</v>
      </c>
      <c r="E991" s="12">
        <v>1</v>
      </c>
    </row>
    <row r="992" spans="2:5" x14ac:dyDescent="0.25">
      <c r="B992" s="11" t="str">
        <f ca="1">IFERROR(__xludf.DUMMYFUNCTION("""COMPUTED_VALUE"""),"Joel Gallen")</f>
        <v>Joel Gallen</v>
      </c>
      <c r="C992" s="11">
        <v>5.7</v>
      </c>
      <c r="D992" s="11">
        <v>0.23100000000000001</v>
      </c>
      <c r="E992" s="11">
        <v>1</v>
      </c>
    </row>
    <row r="993" spans="2:5" x14ac:dyDescent="0.25">
      <c r="B993" s="12" t="str">
        <f ca="1">IFERROR(__xludf.DUMMYFUNCTION("""COMPUTED_VALUE"""),"James Marsh")</f>
        <v>James Marsh</v>
      </c>
      <c r="C993" s="12">
        <v>7.75</v>
      </c>
      <c r="D993" s="12">
        <v>0.95499999999999996</v>
      </c>
      <c r="E993" s="12">
        <v>2</v>
      </c>
    </row>
    <row r="994" spans="2:5" x14ac:dyDescent="0.25">
      <c r="B994" s="11" t="str">
        <f ca="1">IFERROR(__xludf.DUMMYFUNCTION("""COMPUTED_VALUE"""),"Matt Williams")</f>
        <v>Matt Williams</v>
      </c>
      <c r="C994" s="11">
        <v>6.8</v>
      </c>
      <c r="D994" s="11">
        <v>0.63800000000000001</v>
      </c>
      <c r="E994" s="11">
        <v>1</v>
      </c>
    </row>
    <row r="995" spans="2:5" x14ac:dyDescent="0.25">
      <c r="B995" s="12" t="str">
        <f ca="1">IFERROR(__xludf.DUMMYFUNCTION("""COMPUTED_VALUE"""),"Rob Zombie")</f>
        <v>Rob Zombie</v>
      </c>
      <c r="C995" s="12">
        <v>5.7249999999999996</v>
      </c>
      <c r="D995" s="12">
        <v>0.245</v>
      </c>
      <c r="E995" s="12">
        <v>4</v>
      </c>
    </row>
    <row r="996" spans="2:5" x14ac:dyDescent="0.25">
      <c r="B996" s="11" t="str">
        <f ca="1">IFERROR(__xludf.DUMMYFUNCTION("""COMPUTED_VALUE"""),"Dennis Iliadis")</f>
        <v>Dennis Iliadis</v>
      </c>
      <c r="C996" s="11">
        <v>6.6</v>
      </c>
      <c r="D996" s="11">
        <v>0.55300000000000005</v>
      </c>
      <c r="E996" s="11">
        <v>1</v>
      </c>
    </row>
    <row r="997" spans="2:5" x14ac:dyDescent="0.25">
      <c r="B997" s="12" t="str">
        <f ca="1">IFERROR(__xludf.DUMMYFUNCTION("""COMPUTED_VALUE"""),"Rick Rosenthal")</f>
        <v>Rick Rosenthal</v>
      </c>
      <c r="C997" s="12">
        <v>4.0999999999999996</v>
      </c>
      <c r="D997" s="12">
        <v>3.5000000000000003E-2</v>
      </c>
      <c r="E997" s="12">
        <v>1</v>
      </c>
    </row>
    <row r="998" spans="2:5" x14ac:dyDescent="0.25">
      <c r="B998" s="11" t="str">
        <f ca="1">IFERROR(__xludf.DUMMYFUNCTION("""COMPUTED_VALUE"""),"Denzel Washington")</f>
        <v>Denzel Washington</v>
      </c>
      <c r="C998" s="11">
        <v>7.4499999999999993</v>
      </c>
      <c r="D998" s="11">
        <v>0.88800000000000001</v>
      </c>
      <c r="E998" s="11">
        <v>2</v>
      </c>
    </row>
    <row r="999" spans="2:5" x14ac:dyDescent="0.25">
      <c r="B999" s="12" t="str">
        <f ca="1">IFERROR(__xludf.DUMMYFUNCTION("""COMPUTED_VALUE"""),"Nicolas Winding Refn")</f>
        <v>Nicolas Winding Refn</v>
      </c>
      <c r="C999" s="12">
        <v>6.833333333333333</v>
      </c>
      <c r="D999" s="12">
        <v>0.66400000000000003</v>
      </c>
      <c r="E999" s="12">
        <v>3</v>
      </c>
    </row>
    <row r="1000" spans="2:5" x14ac:dyDescent="0.25">
      <c r="B1000" s="11" t="str">
        <f ca="1">IFERROR(__xludf.DUMMYFUNCTION("""COMPUTED_VALUE"""),"Sara Sugarman")</f>
        <v>Sara Sugarman</v>
      </c>
      <c r="C1000" s="11">
        <v>4.5999999999999996</v>
      </c>
      <c r="D1000" s="11">
        <v>5.8999999999999997E-2</v>
      </c>
      <c r="E1000" s="11">
        <v>1</v>
      </c>
    </row>
    <row r="1001" spans="2:5" x14ac:dyDescent="0.25">
      <c r="B1001" s="12" t="str">
        <f ca="1">IFERROR(__xludf.DUMMYFUNCTION("""COMPUTED_VALUE"""),"Juan Carlos Fresnadillo")</f>
        <v>Juan Carlos Fresnadillo</v>
      </c>
      <c r="C1001" s="12">
        <v>7</v>
      </c>
      <c r="D1001" s="12">
        <v>0.72299999999999998</v>
      </c>
      <c r="E1001" s="12">
        <v>1</v>
      </c>
    </row>
    <row r="1002" spans="2:5" x14ac:dyDescent="0.25">
      <c r="B1002" s="11" t="str">
        <f ca="1">IFERROR(__xludf.DUMMYFUNCTION("""COMPUTED_VALUE"""),"Gina Prince-Bythewood")</f>
        <v>Gina Prince-Bythewood</v>
      </c>
      <c r="C1002" s="11">
        <v>7.1333333333333329</v>
      </c>
      <c r="D1002" s="11">
        <v>0.80100000000000005</v>
      </c>
      <c r="E1002" s="11">
        <v>3</v>
      </c>
    </row>
    <row r="1003" spans="2:5" x14ac:dyDescent="0.25">
      <c r="B1003" s="12" t="str">
        <f ca="1">IFERROR(__xludf.DUMMYFUNCTION("""COMPUTED_VALUE"""),"Phil Traill")</f>
        <v>Phil Traill</v>
      </c>
      <c r="C1003" s="12">
        <v>4.8</v>
      </c>
      <c r="D1003" s="12">
        <v>7.3999999999999996E-2</v>
      </c>
      <c r="E1003" s="12">
        <v>1</v>
      </c>
    </row>
    <row r="1004" spans="2:5" x14ac:dyDescent="0.25">
      <c r="B1004" s="11" t="str">
        <f ca="1">IFERROR(__xludf.DUMMYFUNCTION("""COMPUTED_VALUE"""),"Joe Berlinger")</f>
        <v>Joe Berlinger</v>
      </c>
      <c r="C1004" s="11">
        <v>4</v>
      </c>
      <c r="D1004" s="11">
        <v>3.1E-2</v>
      </c>
      <c r="E1004" s="11">
        <v>1</v>
      </c>
    </row>
    <row r="1005" spans="2:5" x14ac:dyDescent="0.25">
      <c r="B1005" s="12" t="str">
        <f ca="1">IFERROR(__xludf.DUMMYFUNCTION("""COMPUTED_VALUE"""),"Elizabeth Allen Rosenbaum")</f>
        <v>Elizabeth Allen Rosenbaum</v>
      </c>
      <c r="C1005" s="12">
        <v>6</v>
      </c>
      <c r="D1005" s="12">
        <v>0.312</v>
      </c>
      <c r="E1005" s="12">
        <v>2</v>
      </c>
    </row>
    <row r="1006" spans="2:5" x14ac:dyDescent="0.25">
      <c r="B1006" s="11" t="str">
        <f ca="1">IFERROR(__xludf.DUMMYFUNCTION("""COMPUTED_VALUE"""),"Michael Mayer")</f>
        <v>Michael Mayer</v>
      </c>
      <c r="C1006" s="11">
        <v>6.5</v>
      </c>
      <c r="D1006" s="11">
        <v>0.504</v>
      </c>
      <c r="E1006" s="11">
        <v>2</v>
      </c>
    </row>
    <row r="1007" spans="2:5" x14ac:dyDescent="0.25">
      <c r="B1007" s="12" t="str">
        <f ca="1">IFERROR(__xludf.DUMMYFUNCTION("""COMPUTED_VALUE"""),"Martin Weisz")</f>
        <v>Martin Weisz</v>
      </c>
      <c r="C1007" s="12">
        <v>5.0999999999999996</v>
      </c>
      <c r="D1007" s="12">
        <v>9.7000000000000003E-2</v>
      </c>
      <c r="E1007" s="12">
        <v>1</v>
      </c>
    </row>
    <row r="1008" spans="2:5" x14ac:dyDescent="0.25">
      <c r="B1008" s="11" t="str">
        <f ca="1">IFERROR(__xludf.DUMMYFUNCTION("""COMPUTED_VALUE"""),"John Ottman")</f>
        <v>John Ottman</v>
      </c>
      <c r="C1008" s="11">
        <v>4.0999999999999996</v>
      </c>
      <c r="D1008" s="11">
        <v>3.5000000000000003E-2</v>
      </c>
      <c r="E1008" s="11">
        <v>1</v>
      </c>
    </row>
    <row r="1009" spans="2:5" x14ac:dyDescent="0.25">
      <c r="B1009" s="12" t="str">
        <f ca="1">IFERROR(__xludf.DUMMYFUNCTION("""COMPUTED_VALUE"""),"John Bonito")</f>
        <v>John Bonito</v>
      </c>
      <c r="C1009" s="12">
        <v>4.7</v>
      </c>
      <c r="D1009" s="12">
        <v>6.6000000000000003E-2</v>
      </c>
      <c r="E1009" s="12">
        <v>1</v>
      </c>
    </row>
    <row r="1010" spans="2:5" x14ac:dyDescent="0.25">
      <c r="B1010" s="11" t="str">
        <f ca="1">IFERROR(__xludf.DUMMYFUNCTION("""COMPUTED_VALUE"""),"Peter Atencio")</f>
        <v>Peter Atencio</v>
      </c>
      <c r="C1010" s="11">
        <v>6.4</v>
      </c>
      <c r="D1010" s="11">
        <v>0.46400000000000002</v>
      </c>
      <c r="E1010" s="11">
        <v>1</v>
      </c>
    </row>
    <row r="1011" spans="2:5" x14ac:dyDescent="0.25">
      <c r="B1011" s="12" t="str">
        <f ca="1">IFERROR(__xludf.DUMMYFUNCTION("""COMPUTED_VALUE"""),"David Nutter")</f>
        <v>David Nutter</v>
      </c>
      <c r="C1011" s="12">
        <v>5.5</v>
      </c>
      <c r="D1011" s="12">
        <v>0.17699999999999999</v>
      </c>
      <c r="E1011" s="12">
        <v>1</v>
      </c>
    </row>
    <row r="1012" spans="2:5" x14ac:dyDescent="0.25">
      <c r="B1012" s="11" t="str">
        <f ca="1">IFERROR(__xludf.DUMMYFUNCTION("""COMPUTED_VALUE"""),"Derek Cianfrance")</f>
        <v>Derek Cianfrance</v>
      </c>
      <c r="C1012" s="11">
        <v>7.35</v>
      </c>
      <c r="D1012" s="11">
        <v>0.872</v>
      </c>
      <c r="E1012" s="11">
        <v>2</v>
      </c>
    </row>
    <row r="1013" spans="2:5" x14ac:dyDescent="0.25">
      <c r="B1013" s="12" t="str">
        <f ca="1">IFERROR(__xludf.DUMMYFUNCTION("""COMPUTED_VALUE"""),"Stephan Elliott")</f>
        <v>Stephan Elliott</v>
      </c>
      <c r="C1013" s="12">
        <v>4.9000000000000004</v>
      </c>
      <c r="D1013" s="12">
        <v>8.2000000000000003E-2</v>
      </c>
      <c r="E1013" s="12">
        <v>1</v>
      </c>
    </row>
    <row r="1014" spans="2:5" x14ac:dyDescent="0.25">
      <c r="B1014" s="11" t="str">
        <f ca="1">IFERROR(__xludf.DUMMYFUNCTION("""COMPUTED_VALUE"""),"Mark L. Lester")</f>
        <v>Mark L. Lester</v>
      </c>
      <c r="C1014" s="11">
        <v>6</v>
      </c>
      <c r="D1014" s="11">
        <v>0.312</v>
      </c>
      <c r="E1014" s="11">
        <v>2</v>
      </c>
    </row>
    <row r="1015" spans="2:5" x14ac:dyDescent="0.25">
      <c r="B1015" s="12" t="str">
        <f ca="1">IFERROR(__xludf.DUMMYFUNCTION("""COMPUTED_VALUE"""),"Tom Green")</f>
        <v>Tom Green</v>
      </c>
      <c r="C1015" s="12">
        <v>4.5</v>
      </c>
      <c r="D1015" s="12">
        <v>5.5E-2</v>
      </c>
      <c r="E1015" s="12">
        <v>1</v>
      </c>
    </row>
    <row r="1016" spans="2:5" x14ac:dyDescent="0.25">
      <c r="B1016" s="11" t="str">
        <f ca="1">IFERROR(__xludf.DUMMYFUNCTION("""COMPUTED_VALUE"""),"Mike Nawrocki")</f>
        <v>Mike Nawrocki</v>
      </c>
      <c r="C1016" s="11">
        <v>6.15</v>
      </c>
      <c r="D1016" s="11">
        <v>0.38400000000000001</v>
      </c>
      <c r="E1016" s="11">
        <v>2</v>
      </c>
    </row>
    <row r="1017" spans="2:5" x14ac:dyDescent="0.25">
      <c r="B1017" s="12" t="str">
        <f ca="1">IFERROR(__xludf.DUMMYFUNCTION("""COMPUTED_VALUE"""),"Douglas Aarniokoski")</f>
        <v>Douglas Aarniokoski</v>
      </c>
      <c r="C1017" s="12">
        <v>4.5999999999999996</v>
      </c>
      <c r="D1017" s="12">
        <v>5.8999999999999997E-2</v>
      </c>
      <c r="E1017" s="12">
        <v>1</v>
      </c>
    </row>
    <row r="1018" spans="2:5" x14ac:dyDescent="0.25">
      <c r="B1018" s="11" t="str">
        <f ca="1">IFERROR(__xludf.DUMMYFUNCTION("""COMPUTED_VALUE"""),"Bryan Barber")</f>
        <v>Bryan Barber</v>
      </c>
      <c r="C1018" s="11">
        <v>6.2</v>
      </c>
      <c r="D1018" s="11">
        <v>0.39100000000000001</v>
      </c>
      <c r="E1018" s="11">
        <v>1</v>
      </c>
    </row>
    <row r="1019" spans="2:5" x14ac:dyDescent="0.25">
      <c r="B1019" s="12" t="str">
        <f ca="1">IFERROR(__xludf.DUMMYFUNCTION("""COMPUTED_VALUE"""),"Lone Scherfig")</f>
        <v>Lone Scherfig</v>
      </c>
      <c r="C1019" s="12">
        <v>7.15</v>
      </c>
      <c r="D1019" s="12">
        <v>0.80500000000000005</v>
      </c>
      <c r="E1019" s="12">
        <v>2</v>
      </c>
    </row>
    <row r="1020" spans="2:5" x14ac:dyDescent="0.25">
      <c r="B1020" s="11" t="str">
        <f ca="1">IFERROR(__xludf.DUMMYFUNCTION("""COMPUTED_VALUE"""),"Drew Barrymore")</f>
        <v>Drew Barrymore</v>
      </c>
      <c r="C1020" s="11">
        <v>6.9</v>
      </c>
      <c r="D1020" s="11">
        <v>0.68200000000000005</v>
      </c>
      <c r="E1020" s="11">
        <v>1</v>
      </c>
    </row>
    <row r="1021" spans="2:5" x14ac:dyDescent="0.25">
      <c r="B1021" s="12" t="str">
        <f ca="1">IFERROR(__xludf.DUMMYFUNCTION("""COMPUTED_VALUE"""),"James Foley")</f>
        <v>James Foley</v>
      </c>
      <c r="C1021" s="12">
        <v>6.833333333333333</v>
      </c>
      <c r="D1021" s="12">
        <v>0.66400000000000003</v>
      </c>
      <c r="E1021" s="12">
        <v>3</v>
      </c>
    </row>
    <row r="1022" spans="2:5" x14ac:dyDescent="0.25">
      <c r="B1022" s="11" t="str">
        <f ca="1">IFERROR(__xludf.DUMMYFUNCTION("""COMPUTED_VALUE"""),"Albert Brooks")</f>
        <v>Albert Brooks</v>
      </c>
      <c r="C1022" s="11">
        <v>5.6</v>
      </c>
      <c r="D1022" s="11">
        <v>0.19700000000000001</v>
      </c>
      <c r="E1022" s="11">
        <v>1</v>
      </c>
    </row>
    <row r="1023" spans="2:5" x14ac:dyDescent="0.25">
      <c r="B1023" s="12" t="str">
        <f ca="1">IFERROR(__xludf.DUMMYFUNCTION("""COMPUTED_VALUE"""),"Steve Gomer")</f>
        <v>Steve Gomer</v>
      </c>
      <c r="C1023" s="12">
        <v>2.8</v>
      </c>
      <c r="D1023" s="12">
        <v>3.0000000000000001E-3</v>
      </c>
      <c r="E1023" s="12">
        <v>1</v>
      </c>
    </row>
    <row r="1024" spans="2:5" x14ac:dyDescent="0.25">
      <c r="B1024" s="11" t="str">
        <f ca="1">IFERROR(__xludf.DUMMYFUNCTION("""COMPUTED_VALUE"""),"RZA")</f>
        <v>RZA</v>
      </c>
      <c r="C1024" s="11">
        <v>5.4</v>
      </c>
      <c r="D1024" s="11">
        <v>0.155</v>
      </c>
      <c r="E1024" s="11">
        <v>1</v>
      </c>
    </row>
    <row r="1025" spans="2:5" x14ac:dyDescent="0.25">
      <c r="B1025" s="12" t="str">
        <f ca="1">IFERROR(__xludf.DUMMYFUNCTION("""COMPUTED_VALUE"""),"Mark Piznarski")</f>
        <v>Mark Piznarski</v>
      </c>
      <c r="C1025" s="12">
        <v>5.0999999999999996</v>
      </c>
      <c r="D1025" s="12">
        <v>9.7000000000000003E-2</v>
      </c>
      <c r="E1025" s="12">
        <v>1</v>
      </c>
    </row>
    <row r="1026" spans="2:5" x14ac:dyDescent="0.25">
      <c r="B1026" s="11" t="str">
        <f ca="1">IFERROR(__xludf.DUMMYFUNCTION("""COMPUTED_VALUE"""),"Craig Brewer")</f>
        <v>Craig Brewer</v>
      </c>
      <c r="C1026" s="11">
        <v>7.2</v>
      </c>
      <c r="D1026" s="11">
        <v>0.81200000000000006</v>
      </c>
      <c r="E1026" s="11">
        <v>2</v>
      </c>
    </row>
    <row r="1027" spans="2:5" x14ac:dyDescent="0.25">
      <c r="B1027" s="12" t="str">
        <f ca="1">IFERROR(__xludf.DUMMYFUNCTION("""COMPUTED_VALUE"""),"Michael Winterbottom")</f>
        <v>Michael Winterbottom</v>
      </c>
      <c r="C1027" s="12">
        <v>6.4799999999999995</v>
      </c>
      <c r="D1027" s="12">
        <v>0.503</v>
      </c>
      <c r="E1027" s="12">
        <v>5</v>
      </c>
    </row>
    <row r="1028" spans="2:5" x14ac:dyDescent="0.25">
      <c r="B1028" s="11" t="str">
        <f ca="1">IFERROR(__xludf.DUMMYFUNCTION("""COMPUTED_VALUE"""),"David Raynr")</f>
        <v>David Raynr</v>
      </c>
      <c r="C1028" s="11">
        <v>5.45</v>
      </c>
      <c r="D1028" s="11">
        <v>0.17199999999999999</v>
      </c>
      <c r="E1028" s="11">
        <v>2</v>
      </c>
    </row>
    <row r="1029" spans="2:5" x14ac:dyDescent="0.25">
      <c r="B1029" s="12" t="str">
        <f ca="1">IFERROR(__xludf.DUMMYFUNCTION("""COMPUTED_VALUE"""),"Mort Nathan")</f>
        <v>Mort Nathan</v>
      </c>
      <c r="C1029" s="12">
        <v>4.9000000000000004</v>
      </c>
      <c r="D1029" s="12">
        <v>8.2000000000000003E-2</v>
      </c>
      <c r="E1029" s="12">
        <v>1</v>
      </c>
    </row>
    <row r="1030" spans="2:5" x14ac:dyDescent="0.25">
      <c r="B1030" s="11" t="str">
        <f ca="1">IFERROR(__xludf.DUMMYFUNCTION("""COMPUTED_VALUE"""),"Wil Shriner")</f>
        <v>Wil Shriner</v>
      </c>
      <c r="C1030" s="11">
        <v>5.6</v>
      </c>
      <c r="D1030" s="11">
        <v>0.19700000000000001</v>
      </c>
      <c r="E1030" s="11">
        <v>1</v>
      </c>
    </row>
    <row r="1031" spans="2:5" x14ac:dyDescent="0.25">
      <c r="B1031" s="12" t="str">
        <f ca="1">IFERROR(__xludf.DUMMYFUNCTION("""COMPUTED_VALUE"""),"Martin McDonagh")</f>
        <v>Martin McDonagh</v>
      </c>
      <c r="C1031" s="12">
        <v>7.6</v>
      </c>
      <c r="D1031" s="12">
        <v>0.91500000000000004</v>
      </c>
      <c r="E1031" s="12">
        <v>2</v>
      </c>
    </row>
    <row r="1032" spans="2:5" x14ac:dyDescent="0.25">
      <c r="B1032" s="11" t="str">
        <f ca="1">IFERROR(__xludf.DUMMYFUNCTION("""COMPUTED_VALUE"""),"Tina Gordon Chism")</f>
        <v>Tina Gordon Chism</v>
      </c>
      <c r="C1032" s="11">
        <v>5.3</v>
      </c>
      <c r="D1032" s="11">
        <v>0.13</v>
      </c>
      <c r="E1032" s="11">
        <v>1</v>
      </c>
    </row>
    <row r="1033" spans="2:5" x14ac:dyDescent="0.25">
      <c r="B1033" s="12" t="str">
        <f ca="1">IFERROR(__xludf.DUMMYFUNCTION("""COMPUTED_VALUE"""),"Peter Cattaneo")</f>
        <v>Peter Cattaneo</v>
      </c>
      <c r="C1033" s="12">
        <v>6.55</v>
      </c>
      <c r="D1033" s="12">
        <v>0.54200000000000004</v>
      </c>
      <c r="E1033" s="12">
        <v>4</v>
      </c>
    </row>
    <row r="1034" spans="2:5" x14ac:dyDescent="0.25">
      <c r="B1034" s="11" t="str">
        <f ca="1">IFERROR(__xludf.DUMMYFUNCTION("""COMPUTED_VALUE"""),"Vicky Jenson")</f>
        <v>Vicky Jenson</v>
      </c>
      <c r="C1034" s="11">
        <v>5.3</v>
      </c>
      <c r="D1034" s="11">
        <v>0.13</v>
      </c>
      <c r="E1034" s="11">
        <v>1</v>
      </c>
    </row>
    <row r="1035" spans="2:5" x14ac:dyDescent="0.25">
      <c r="B1035" s="12" t="str">
        <f ca="1">IFERROR(__xludf.DUMMYFUNCTION("""COMPUTED_VALUE"""),"Mary Lambert")</f>
        <v>Mary Lambert</v>
      </c>
      <c r="C1035" s="12">
        <v>5.6</v>
      </c>
      <c r="D1035" s="12">
        <v>0.19700000000000001</v>
      </c>
      <c r="E1035" s="12">
        <v>2</v>
      </c>
    </row>
    <row r="1036" spans="2:5" x14ac:dyDescent="0.25">
      <c r="B1036" s="11" t="str">
        <f ca="1">IFERROR(__xludf.DUMMYFUNCTION("""COMPUTED_VALUE"""),"Peter Kassovitz")</f>
        <v>Peter Kassovitz</v>
      </c>
      <c r="C1036" s="11">
        <v>6.5</v>
      </c>
      <c r="D1036" s="11">
        <v>0.504</v>
      </c>
      <c r="E1036" s="11">
        <v>1</v>
      </c>
    </row>
    <row r="1037" spans="2:5" x14ac:dyDescent="0.25">
      <c r="B1037" s="12" t="str">
        <f ca="1">IFERROR(__xludf.DUMMYFUNCTION("""COMPUTED_VALUE"""),"Rodman Flender")</f>
        <v>Rodman Flender</v>
      </c>
      <c r="C1037" s="12">
        <v>6.2</v>
      </c>
      <c r="D1037" s="12">
        <v>0.39100000000000001</v>
      </c>
      <c r="E1037" s="12">
        <v>1</v>
      </c>
    </row>
    <row r="1038" spans="2:5" x14ac:dyDescent="0.25">
      <c r="B1038" s="11" t="str">
        <f ca="1">IFERROR(__xludf.DUMMYFUNCTION("""COMPUTED_VALUE"""),"Mark Romanek")</f>
        <v>Mark Romanek</v>
      </c>
      <c r="C1038" s="11">
        <v>7</v>
      </c>
      <c r="D1038" s="11">
        <v>0.72299999999999998</v>
      </c>
      <c r="E1038" s="11">
        <v>2</v>
      </c>
    </row>
    <row r="1039" spans="2:5" x14ac:dyDescent="0.25">
      <c r="B1039" s="12" t="str">
        <f ca="1">IFERROR(__xludf.DUMMYFUNCTION("""COMPUTED_VALUE"""),"Brad Anderson")</f>
        <v>Brad Anderson</v>
      </c>
      <c r="C1039" s="12">
        <v>6.8600000000000012</v>
      </c>
      <c r="D1039" s="12">
        <v>0.67700000000000005</v>
      </c>
      <c r="E1039" s="12">
        <v>5</v>
      </c>
    </row>
    <row r="1040" spans="2:5" x14ac:dyDescent="0.25">
      <c r="B1040" s="11" t="str">
        <f ca="1">IFERROR(__xludf.DUMMYFUNCTION("""COMPUTED_VALUE"""),"Michael Chapman")</f>
        <v>Michael Chapman</v>
      </c>
      <c r="C1040" s="11">
        <v>5.3</v>
      </c>
      <c r="D1040" s="11">
        <v>0.13</v>
      </c>
      <c r="E1040" s="11">
        <v>1</v>
      </c>
    </row>
    <row r="1041" spans="2:5" x14ac:dyDescent="0.25">
      <c r="B1041" s="12" t="str">
        <f ca="1">IFERROR(__xludf.DUMMYFUNCTION("""COMPUTED_VALUE"""),"Antonio Banderas")</f>
        <v>Antonio Banderas</v>
      </c>
      <c r="C1041" s="12">
        <v>6.3</v>
      </c>
      <c r="D1041" s="12">
        <v>0.42299999999999999</v>
      </c>
      <c r="E1041" s="12">
        <v>1</v>
      </c>
    </row>
    <row r="1042" spans="2:5" x14ac:dyDescent="0.25">
      <c r="B1042" s="11" t="str">
        <f ca="1">IFERROR(__xludf.DUMMYFUNCTION("""COMPUTED_VALUE"""),"Fritz Lang")</f>
        <v>Fritz Lang</v>
      </c>
      <c r="C1042" s="11">
        <v>8.3000000000000007</v>
      </c>
      <c r="D1042" s="11">
        <v>0.99</v>
      </c>
      <c r="E1042" s="11">
        <v>1</v>
      </c>
    </row>
    <row r="1043" spans="2:5" x14ac:dyDescent="0.25">
      <c r="B1043" s="12" t="str">
        <f ca="1">IFERROR(__xludf.DUMMYFUNCTION("""COMPUTED_VALUE"""),"Hsiao-Hsien Hou")</f>
        <v>Hsiao-Hsien Hou</v>
      </c>
      <c r="C1043" s="12">
        <v>6.4</v>
      </c>
      <c r="D1043" s="12">
        <v>0.46400000000000002</v>
      </c>
      <c r="E1043" s="12">
        <v>1</v>
      </c>
    </row>
    <row r="1044" spans="2:5" x14ac:dyDescent="0.25">
      <c r="B1044" s="11" t="str">
        <f ca="1">IFERROR(__xludf.DUMMYFUNCTION("""COMPUTED_VALUE"""),"Gregor Jordan")</f>
        <v>Gregor Jordan</v>
      </c>
      <c r="C1044" s="11">
        <v>6.9</v>
      </c>
      <c r="D1044" s="11">
        <v>0.68200000000000005</v>
      </c>
      <c r="E1044" s="11">
        <v>1</v>
      </c>
    </row>
    <row r="1045" spans="2:5" x14ac:dyDescent="0.25">
      <c r="B1045" s="12" t="str">
        <f ca="1">IFERROR(__xludf.DUMMYFUNCTION("""COMPUTED_VALUE"""),"Tony Jaa")</f>
        <v>Tony Jaa</v>
      </c>
      <c r="C1045" s="12">
        <v>6.2</v>
      </c>
      <c r="D1045" s="12">
        <v>0.39100000000000001</v>
      </c>
      <c r="E1045" s="12">
        <v>1</v>
      </c>
    </row>
    <row r="1046" spans="2:5" x14ac:dyDescent="0.25">
      <c r="B1046" s="11" t="str">
        <f ca="1">IFERROR(__xludf.DUMMYFUNCTION("""COMPUTED_VALUE"""),"Ryûhei Kitamura")</f>
        <v>Ryûhei Kitamura</v>
      </c>
      <c r="C1046" s="11">
        <v>6.1</v>
      </c>
      <c r="D1046" s="11">
        <v>0.35099999999999998</v>
      </c>
      <c r="E1046" s="11">
        <v>1</v>
      </c>
    </row>
    <row r="1047" spans="2:5" x14ac:dyDescent="0.25">
      <c r="B1047" s="12" t="str">
        <f ca="1">IFERROR(__xludf.DUMMYFUNCTION("""COMPUTED_VALUE"""),"Dito Montiel")</f>
        <v>Dito Montiel</v>
      </c>
      <c r="C1047" s="12">
        <v>5.0999999999999996</v>
      </c>
      <c r="D1047" s="12">
        <v>9.7000000000000003E-2</v>
      </c>
      <c r="E1047" s="12">
        <v>1</v>
      </c>
    </row>
    <row r="1048" spans="2:5" x14ac:dyDescent="0.25">
      <c r="B1048" s="11" t="str">
        <f ca="1">IFERROR(__xludf.DUMMYFUNCTION("""COMPUTED_VALUE"""),"Stefan Ruzowitzky")</f>
        <v>Stefan Ruzowitzky</v>
      </c>
      <c r="C1048" s="11">
        <v>5.6333333333333329</v>
      </c>
      <c r="D1048" s="11">
        <v>0.221</v>
      </c>
      <c r="E1048" s="11">
        <v>3</v>
      </c>
    </row>
    <row r="1049" spans="2:5" x14ac:dyDescent="0.25">
      <c r="B1049" s="12" t="str">
        <f ca="1">IFERROR(__xludf.DUMMYFUNCTION("""COMPUTED_VALUE"""),"Jake Paltrow")</f>
        <v>Jake Paltrow</v>
      </c>
      <c r="C1049" s="12">
        <v>5.9</v>
      </c>
      <c r="D1049" s="12">
        <v>0.27100000000000002</v>
      </c>
      <c r="E1049" s="12">
        <v>1</v>
      </c>
    </row>
    <row r="1050" spans="2:5" x14ac:dyDescent="0.25">
      <c r="B1050" s="11" t="str">
        <f ca="1">IFERROR(__xludf.DUMMYFUNCTION("""COMPUTED_VALUE"""),"Gregory Jacobs")</f>
        <v>Gregory Jacobs</v>
      </c>
      <c r="C1050" s="11">
        <v>5.7</v>
      </c>
      <c r="D1050" s="11">
        <v>0.23100000000000001</v>
      </c>
      <c r="E1050" s="11">
        <v>1</v>
      </c>
    </row>
    <row r="1051" spans="2:5" x14ac:dyDescent="0.25">
      <c r="B1051" s="12" t="str">
        <f ca="1">IFERROR(__xludf.DUMMYFUNCTION("""COMPUTED_VALUE"""),"Gilles Paquet-Brenner")</f>
        <v>Gilles Paquet-Brenner</v>
      </c>
      <c r="C1051" s="12">
        <v>7.5</v>
      </c>
      <c r="D1051" s="12">
        <v>0.89300000000000002</v>
      </c>
      <c r="E1051" s="12">
        <v>1</v>
      </c>
    </row>
    <row r="1052" spans="2:5" x14ac:dyDescent="0.25">
      <c r="B1052" s="11" t="str">
        <f ca="1">IFERROR(__xludf.DUMMYFUNCTION("""COMPUTED_VALUE"""),"Lars von Trier")</f>
        <v>Lars von Trier</v>
      </c>
      <c r="C1052" s="11">
        <v>7.5</v>
      </c>
      <c r="D1052" s="11">
        <v>0.89300000000000002</v>
      </c>
      <c r="E1052" s="11">
        <v>3</v>
      </c>
    </row>
    <row r="1053" spans="2:5" x14ac:dyDescent="0.25">
      <c r="B1053" s="12" t="str">
        <f ca="1">IFERROR(__xludf.DUMMYFUNCTION("""COMPUTED_VALUE"""),"John Cornell")</f>
        <v>John Cornell</v>
      </c>
      <c r="C1053" s="12">
        <v>5.5</v>
      </c>
      <c r="D1053" s="12">
        <v>0.17699999999999999</v>
      </c>
      <c r="E1053" s="12">
        <v>1</v>
      </c>
    </row>
    <row r="1054" spans="2:5" x14ac:dyDescent="0.25">
      <c r="B1054" s="11" t="str">
        <f ca="1">IFERROR(__xludf.DUMMYFUNCTION("""COMPUTED_VALUE"""),"Jamie Blanks")</f>
        <v>Jamie Blanks</v>
      </c>
      <c r="C1054" s="11">
        <v>5.0999999999999996</v>
      </c>
      <c r="D1054" s="11">
        <v>9.7000000000000003E-2</v>
      </c>
      <c r="E1054" s="11">
        <v>2</v>
      </c>
    </row>
    <row r="1055" spans="2:5" x14ac:dyDescent="0.25">
      <c r="B1055" s="12" t="str">
        <f ca="1">IFERROR(__xludf.DUMMYFUNCTION("""COMPUTED_VALUE"""),"Randal Kleiser")</f>
        <v>Randal Kleiser</v>
      </c>
      <c r="C1055" s="12">
        <v>6.95</v>
      </c>
      <c r="D1055" s="12">
        <v>0.71599999999999997</v>
      </c>
      <c r="E1055" s="12">
        <v>2</v>
      </c>
    </row>
    <row r="1056" spans="2:5" x14ac:dyDescent="0.25">
      <c r="B1056" s="11" t="str">
        <f ca="1">IFERROR(__xludf.DUMMYFUNCTION("""COMPUTED_VALUE"""),"Rick Famuyiwa")</f>
        <v>Rick Famuyiwa</v>
      </c>
      <c r="C1056" s="11">
        <v>6.4</v>
      </c>
      <c r="D1056" s="11">
        <v>0.46400000000000002</v>
      </c>
      <c r="E1056" s="11">
        <v>4</v>
      </c>
    </row>
    <row r="1057" spans="2:5" x14ac:dyDescent="0.25">
      <c r="B1057" s="12" t="str">
        <f ca="1">IFERROR(__xludf.DUMMYFUNCTION("""COMPUTED_VALUE"""),"Alan Cohn")</f>
        <v>Alan Cohn</v>
      </c>
      <c r="C1057" s="12">
        <v>6</v>
      </c>
      <c r="D1057" s="12">
        <v>0.312</v>
      </c>
      <c r="E1057" s="12">
        <v>1</v>
      </c>
    </row>
    <row r="1058" spans="2:5" x14ac:dyDescent="0.25">
      <c r="B1058" s="11" t="str">
        <f ca="1">IFERROR(__xludf.DUMMYFUNCTION("""COMPUTED_VALUE"""),"Franco Zeffirelli")</f>
        <v>Franco Zeffirelli</v>
      </c>
      <c r="C1058" s="11">
        <v>6.9</v>
      </c>
      <c r="D1058" s="11">
        <v>0.68200000000000005</v>
      </c>
      <c r="E1058" s="11">
        <v>1</v>
      </c>
    </row>
    <row r="1059" spans="2:5" x14ac:dyDescent="0.25">
      <c r="B1059" s="12" t="str">
        <f ca="1">IFERROR(__xludf.DUMMYFUNCTION("""COMPUTED_VALUE"""),"Tom Holland")</f>
        <v>Tom Holland</v>
      </c>
      <c r="C1059" s="12">
        <v>6.1</v>
      </c>
      <c r="D1059" s="12">
        <v>0.35099999999999998</v>
      </c>
      <c r="E1059" s="12">
        <v>2</v>
      </c>
    </row>
    <row r="1060" spans="2:5" x14ac:dyDescent="0.25">
      <c r="B1060" s="11" t="str">
        <f ca="1">IFERROR(__xludf.DUMMYFUNCTION("""COMPUTED_VALUE"""),"James Isaac")</f>
        <v>James Isaac</v>
      </c>
      <c r="C1060" s="11">
        <v>4.4000000000000004</v>
      </c>
      <c r="D1060" s="11">
        <v>0.05</v>
      </c>
      <c r="E1060" s="11">
        <v>1</v>
      </c>
    </row>
    <row r="1061" spans="2:5" x14ac:dyDescent="0.25">
      <c r="B1061" s="12" t="str">
        <f ca="1">IFERROR(__xludf.DUMMYFUNCTION("""COMPUTED_VALUE"""),"Emilio Estevez")</f>
        <v>Emilio Estevez</v>
      </c>
      <c r="C1061" s="12">
        <v>7</v>
      </c>
      <c r="D1061" s="12">
        <v>0.72299999999999998</v>
      </c>
      <c r="E1061" s="12">
        <v>1</v>
      </c>
    </row>
    <row r="1062" spans="2:5" x14ac:dyDescent="0.25">
      <c r="B1062" s="11" t="str">
        <f ca="1">IFERROR(__xludf.DUMMYFUNCTION("""COMPUTED_VALUE"""),"Josh Schwartz")</f>
        <v>Josh Schwartz</v>
      </c>
      <c r="C1062" s="11">
        <v>5.4</v>
      </c>
      <c r="D1062" s="11">
        <v>0.155</v>
      </c>
      <c r="E1062" s="11">
        <v>1</v>
      </c>
    </row>
    <row r="1063" spans="2:5" x14ac:dyDescent="0.25">
      <c r="B1063" s="12" t="str">
        <f ca="1">IFERROR(__xludf.DUMMYFUNCTION("""COMPUTED_VALUE"""),"Todd Field")</f>
        <v>Todd Field</v>
      </c>
      <c r="C1063" s="12">
        <v>7.55</v>
      </c>
      <c r="D1063" s="12">
        <v>0.90900000000000003</v>
      </c>
      <c r="E1063" s="12">
        <v>2</v>
      </c>
    </row>
    <row r="1064" spans="2:5" x14ac:dyDescent="0.25">
      <c r="B1064" s="11" t="str">
        <f ca="1">IFERROR(__xludf.DUMMYFUNCTION("""COMPUTED_VALUE"""),"Davis Guggenheim")</f>
        <v>Davis Guggenheim</v>
      </c>
      <c r="C1064" s="11">
        <v>6.0500000000000007</v>
      </c>
      <c r="D1064" s="11">
        <v>0.34399999999999997</v>
      </c>
      <c r="E1064" s="11">
        <v>2</v>
      </c>
    </row>
    <row r="1065" spans="2:5" x14ac:dyDescent="0.25">
      <c r="B1065" s="12" t="str">
        <f ca="1">IFERROR(__xludf.DUMMYFUNCTION("""COMPUTED_VALUE"""),"Stephen Carpenter")</f>
        <v>Stephen Carpenter</v>
      </c>
      <c r="C1065" s="12">
        <v>3.9</v>
      </c>
      <c r="D1065" s="12">
        <v>2.7E-2</v>
      </c>
      <c r="E1065" s="12">
        <v>1</v>
      </c>
    </row>
    <row r="1066" spans="2:5" x14ac:dyDescent="0.25">
      <c r="B1066" s="11" t="str">
        <f ca="1">IFERROR(__xludf.DUMMYFUNCTION("""COMPUTED_VALUE"""),"James Fargo")</f>
        <v>James Fargo</v>
      </c>
      <c r="C1066" s="11">
        <v>6.5</v>
      </c>
      <c r="D1066" s="11">
        <v>0.504</v>
      </c>
      <c r="E1066" s="11">
        <v>1</v>
      </c>
    </row>
    <row r="1067" spans="2:5" x14ac:dyDescent="0.25">
      <c r="B1067" s="12" t="str">
        <f ca="1">IFERROR(__xludf.DUMMYFUNCTION("""COMPUTED_VALUE"""),"Kenneth Lonergan")</f>
        <v>Kenneth Lonergan</v>
      </c>
      <c r="C1067" s="12">
        <v>7.1</v>
      </c>
      <c r="D1067" s="12">
        <v>0.77200000000000002</v>
      </c>
      <c r="E1067" s="12">
        <v>2</v>
      </c>
    </row>
    <row r="1068" spans="2:5" x14ac:dyDescent="0.25">
      <c r="B1068" s="11" t="str">
        <f ca="1">IFERROR(__xludf.DUMMYFUNCTION("""COMPUTED_VALUE"""),"Danny Leiner")</f>
        <v>Danny Leiner</v>
      </c>
      <c r="C1068" s="11">
        <v>6.3</v>
      </c>
      <c r="D1068" s="11">
        <v>0.42299999999999999</v>
      </c>
      <c r="E1068" s="11">
        <v>2</v>
      </c>
    </row>
    <row r="1069" spans="2:5" x14ac:dyDescent="0.25">
      <c r="B1069" s="12" t="str">
        <f ca="1">IFERROR(__xludf.DUMMYFUNCTION("""COMPUTED_VALUE"""),"Christopher Cain")</f>
        <v>Christopher Cain</v>
      </c>
      <c r="C1069" s="12">
        <v>6.8</v>
      </c>
      <c r="D1069" s="12">
        <v>0.63800000000000001</v>
      </c>
      <c r="E1069" s="12">
        <v>1</v>
      </c>
    </row>
    <row r="1070" spans="2:5" x14ac:dyDescent="0.25">
      <c r="B1070" s="11" t="str">
        <f ca="1">IFERROR(__xludf.DUMMYFUNCTION("""COMPUTED_VALUE"""),"Theodore Melfi")</f>
        <v>Theodore Melfi</v>
      </c>
      <c r="C1070" s="11">
        <v>7.3</v>
      </c>
      <c r="D1070" s="11">
        <v>0.84899999999999998</v>
      </c>
      <c r="E1070" s="11">
        <v>1</v>
      </c>
    </row>
    <row r="1071" spans="2:5" x14ac:dyDescent="0.25">
      <c r="B1071" s="12" t="str">
        <f ca="1">IFERROR(__xludf.DUMMYFUNCTION("""COMPUTED_VALUE"""),"Ed Decter")</f>
        <v>Ed Decter</v>
      </c>
      <c r="C1071" s="12">
        <v>5.9</v>
      </c>
      <c r="D1071" s="12">
        <v>0.27100000000000002</v>
      </c>
      <c r="E1071" s="12">
        <v>1</v>
      </c>
    </row>
    <row r="1072" spans="2:5" x14ac:dyDescent="0.25">
      <c r="B1072" s="11" t="str">
        <f ca="1">IFERROR(__xludf.DUMMYFUNCTION("""COMPUTED_VALUE"""),"Gene Quintano")</f>
        <v>Gene Quintano</v>
      </c>
      <c r="C1072" s="11">
        <v>6.1</v>
      </c>
      <c r="D1072" s="11">
        <v>0.35099999999999998</v>
      </c>
      <c r="E1072" s="11">
        <v>1</v>
      </c>
    </row>
    <row r="1073" spans="2:5" x14ac:dyDescent="0.25">
      <c r="B1073" s="12" t="str">
        <f ca="1">IFERROR(__xludf.DUMMYFUNCTION("""COMPUTED_VALUE"""),"Eric Bress")</f>
        <v>Eric Bress</v>
      </c>
      <c r="C1073" s="12">
        <v>7.7</v>
      </c>
      <c r="D1073" s="12">
        <v>0.94</v>
      </c>
      <c r="E1073" s="12">
        <v>1</v>
      </c>
    </row>
    <row r="1074" spans="2:5" x14ac:dyDescent="0.25">
      <c r="B1074" s="11" t="str">
        <f ca="1">IFERROR(__xludf.DUMMYFUNCTION("""COMPUTED_VALUE"""),"Preston A. Whitmore II")</f>
        <v>Preston A. Whitmore II</v>
      </c>
      <c r="C1074" s="11">
        <v>4.0999999999999996</v>
      </c>
      <c r="D1074" s="11">
        <v>3.5000000000000003E-2</v>
      </c>
      <c r="E1074" s="11">
        <v>2</v>
      </c>
    </row>
    <row r="1075" spans="2:5" x14ac:dyDescent="0.25">
      <c r="B1075" s="12" t="str">
        <f ca="1">IFERROR(__xludf.DUMMYFUNCTION("""COMPUTED_VALUE"""),"Kirk Wong")</f>
        <v>Kirk Wong</v>
      </c>
      <c r="C1075" s="12">
        <v>6.1</v>
      </c>
      <c r="D1075" s="12">
        <v>0.35099999999999998</v>
      </c>
      <c r="E1075" s="12">
        <v>1</v>
      </c>
    </row>
    <row r="1076" spans="2:5" x14ac:dyDescent="0.25">
      <c r="B1076" s="11" t="str">
        <f ca="1">IFERROR(__xludf.DUMMYFUNCTION("""COMPUTED_VALUE"""),"Bronwen Hughes")</f>
        <v>Bronwen Hughes</v>
      </c>
      <c r="C1076" s="11">
        <v>5.9</v>
      </c>
      <c r="D1076" s="11">
        <v>0.27100000000000002</v>
      </c>
      <c r="E1076" s="11">
        <v>1</v>
      </c>
    </row>
    <row r="1077" spans="2:5" x14ac:dyDescent="0.25">
      <c r="B1077" s="12" t="str">
        <f ca="1">IFERROR(__xludf.DUMMYFUNCTION("""COMPUTED_VALUE"""),"John Lafia")</f>
        <v>John Lafia</v>
      </c>
      <c r="C1077" s="12">
        <v>5.7</v>
      </c>
      <c r="D1077" s="12">
        <v>0.23100000000000001</v>
      </c>
      <c r="E1077" s="12">
        <v>1</v>
      </c>
    </row>
    <row r="1078" spans="2:5" x14ac:dyDescent="0.25">
      <c r="B1078" s="11" t="str">
        <f ca="1">IFERROR(__xludf.DUMMYFUNCTION("""COMPUTED_VALUE"""),"Sam Miller")</f>
        <v>Sam Miller</v>
      </c>
      <c r="C1078" s="11">
        <v>5.75</v>
      </c>
      <c r="D1078" s="11">
        <v>0.247</v>
      </c>
      <c r="E1078" s="11">
        <v>2</v>
      </c>
    </row>
    <row r="1079" spans="2:5" x14ac:dyDescent="0.25">
      <c r="B1079" s="12" t="str">
        <f ca="1">IFERROR(__xludf.DUMMYFUNCTION("""COMPUTED_VALUE"""),"Alex Garland")</f>
        <v>Alex Garland</v>
      </c>
      <c r="C1079" s="12">
        <v>7.7</v>
      </c>
      <c r="D1079" s="12">
        <v>0.94</v>
      </c>
      <c r="E1079" s="12">
        <v>1</v>
      </c>
    </row>
    <row r="1080" spans="2:5" x14ac:dyDescent="0.25">
      <c r="B1080" s="11" t="str">
        <f ca="1">IFERROR(__xludf.DUMMYFUNCTION("""COMPUTED_VALUE"""),"Mark Brown")</f>
        <v>Mark Brown</v>
      </c>
      <c r="C1080" s="11">
        <v>5.1999999999999993</v>
      </c>
      <c r="D1080" s="11">
        <v>0.112</v>
      </c>
      <c r="E1080" s="11">
        <v>2</v>
      </c>
    </row>
    <row r="1081" spans="2:5" x14ac:dyDescent="0.25">
      <c r="B1081" s="12" t="str">
        <f ca="1">IFERROR(__xludf.DUMMYFUNCTION("""COMPUTED_VALUE"""),"Michael Polish")</f>
        <v>Michael Polish</v>
      </c>
      <c r="C1081" s="12">
        <v>6.1499999999999995</v>
      </c>
      <c r="D1081" s="12">
        <v>0.38300000000000001</v>
      </c>
      <c r="E1081" s="12">
        <v>4</v>
      </c>
    </row>
    <row r="1082" spans="2:5" x14ac:dyDescent="0.25">
      <c r="B1082" s="11" t="str">
        <f ca="1">IFERROR(__xludf.DUMMYFUNCTION("""COMPUTED_VALUE"""),"Daisy von Scherler Mayer")</f>
        <v>Daisy von Scherler Mayer</v>
      </c>
      <c r="C1082" s="11">
        <v>4.5999999999999996</v>
      </c>
      <c r="D1082" s="11">
        <v>5.8999999999999997E-2</v>
      </c>
      <c r="E1082" s="11">
        <v>2</v>
      </c>
    </row>
    <row r="1083" spans="2:5" x14ac:dyDescent="0.25">
      <c r="B1083" s="12" t="str">
        <f ca="1">IFERROR(__xludf.DUMMYFUNCTION("""COMPUTED_VALUE"""),"Lenny Abrahamson")</f>
        <v>Lenny Abrahamson</v>
      </c>
      <c r="C1083" s="12">
        <v>8.3000000000000007</v>
      </c>
      <c r="D1083" s="12">
        <v>0.99</v>
      </c>
      <c r="E1083" s="12">
        <v>1</v>
      </c>
    </row>
    <row r="1084" spans="2:5" x14ac:dyDescent="0.25">
      <c r="B1084" s="11" t="str">
        <f ca="1">IFERROR(__xludf.DUMMYFUNCTION("""COMPUTED_VALUE"""),"Bob Saget")</f>
        <v>Bob Saget</v>
      </c>
      <c r="C1084" s="11">
        <v>6.4</v>
      </c>
      <c r="D1084" s="11">
        <v>0.46400000000000002</v>
      </c>
      <c r="E1084" s="11">
        <v>1</v>
      </c>
    </row>
    <row r="1085" spans="2:5" x14ac:dyDescent="0.25">
      <c r="B1085" s="12" t="str">
        <f ca="1">IFERROR(__xludf.DUMMYFUNCTION("""COMPUTED_VALUE"""),"John Waters")</f>
        <v>John Waters</v>
      </c>
      <c r="C1085" s="12">
        <v>6.333333333333333</v>
      </c>
      <c r="D1085" s="12">
        <v>0.45300000000000001</v>
      </c>
      <c r="E1085" s="12">
        <v>3</v>
      </c>
    </row>
    <row r="1086" spans="2:5" x14ac:dyDescent="0.25">
      <c r="B1086" s="11" t="str">
        <f ca="1">IFERROR(__xludf.DUMMYFUNCTION("""COMPUTED_VALUE"""),"Craig Bolotin")</f>
        <v>Craig Bolotin</v>
      </c>
      <c r="C1086" s="11">
        <v>6</v>
      </c>
      <c r="D1086" s="11">
        <v>0.312</v>
      </c>
      <c r="E1086" s="11">
        <v>1</v>
      </c>
    </row>
    <row r="1087" spans="2:5" x14ac:dyDescent="0.25">
      <c r="B1087" s="12" t="str">
        <f ca="1">IFERROR(__xludf.DUMMYFUNCTION("""COMPUTED_VALUE"""),"Mark Christopher")</f>
        <v>Mark Christopher</v>
      </c>
      <c r="C1087" s="12">
        <v>5.8</v>
      </c>
      <c r="D1087" s="12">
        <v>0.251</v>
      </c>
      <c r="E1087" s="12">
        <v>1</v>
      </c>
    </row>
    <row r="1088" spans="2:5" x14ac:dyDescent="0.25">
      <c r="B1088" s="11" t="str">
        <f ca="1">IFERROR(__xludf.DUMMYFUNCTION("""COMPUTED_VALUE"""),"Blair Hayes")</f>
        <v>Blair Hayes</v>
      </c>
      <c r="C1088" s="11">
        <v>5.6</v>
      </c>
      <c r="D1088" s="11">
        <v>0.19700000000000001</v>
      </c>
      <c r="E1088" s="11">
        <v>1</v>
      </c>
    </row>
    <row r="1089" spans="2:5" x14ac:dyDescent="0.25">
      <c r="B1089" s="12" t="str">
        <f ca="1">IFERROR(__xludf.DUMMYFUNCTION("""COMPUTED_VALUE"""),"Jez Butterworth")</f>
        <v>Jez Butterworth</v>
      </c>
      <c r="C1089" s="12">
        <v>6.1</v>
      </c>
      <c r="D1089" s="12">
        <v>0.35099999999999998</v>
      </c>
      <c r="E1089" s="12">
        <v>1</v>
      </c>
    </row>
    <row r="1090" spans="2:5" x14ac:dyDescent="0.25">
      <c r="B1090" s="11" t="str">
        <f ca="1">IFERROR(__xludf.DUMMYFUNCTION("""COMPUTED_VALUE"""),"Olivier Assayas")</f>
        <v>Olivier Assayas</v>
      </c>
      <c r="C1090" s="11">
        <v>7.1</v>
      </c>
      <c r="D1090" s="11">
        <v>0.77200000000000002</v>
      </c>
      <c r="E1090" s="11">
        <v>2</v>
      </c>
    </row>
    <row r="1091" spans="2:5" x14ac:dyDescent="0.25">
      <c r="B1091" s="12" t="str">
        <f ca="1">IFERROR(__xludf.DUMMYFUNCTION("""COMPUTED_VALUE"""),"Patrice Leconte")</f>
        <v>Patrice Leconte</v>
      </c>
      <c r="C1091" s="12">
        <v>7.3</v>
      </c>
      <c r="D1091" s="12">
        <v>0.84899999999999998</v>
      </c>
      <c r="E1091" s="12">
        <v>1</v>
      </c>
    </row>
    <row r="1092" spans="2:5" x14ac:dyDescent="0.25">
      <c r="B1092" s="11" t="str">
        <f ca="1">IFERROR(__xludf.DUMMYFUNCTION("""COMPUTED_VALUE"""),"Paul Mazursky")</f>
        <v>Paul Mazursky</v>
      </c>
      <c r="C1092" s="11">
        <v>5.9</v>
      </c>
      <c r="D1092" s="11">
        <v>0.27100000000000002</v>
      </c>
      <c r="E1092" s="11">
        <v>1</v>
      </c>
    </row>
    <row r="1093" spans="2:5" x14ac:dyDescent="0.25">
      <c r="B1093" s="12" t="str">
        <f ca="1">IFERROR(__xludf.DUMMYFUNCTION("""COMPUTED_VALUE"""),"Stephen Chbosky")</f>
        <v>Stephen Chbosky</v>
      </c>
      <c r="C1093" s="12">
        <v>8</v>
      </c>
      <c r="D1093" s="12">
        <v>0.97799999999999998</v>
      </c>
      <c r="E1093" s="12">
        <v>1</v>
      </c>
    </row>
    <row r="1094" spans="2:5" x14ac:dyDescent="0.25">
      <c r="B1094" s="11" t="str">
        <f ca="1">IFERROR(__xludf.DUMMYFUNCTION("""COMPUTED_VALUE"""),"Jon Hess")</f>
        <v>Jon Hess</v>
      </c>
      <c r="C1094" s="11">
        <v>5.0999999999999996</v>
      </c>
      <c r="D1094" s="11">
        <v>9.7000000000000003E-2</v>
      </c>
      <c r="E1094" s="11">
        <v>1</v>
      </c>
    </row>
    <row r="1095" spans="2:5" x14ac:dyDescent="0.25">
      <c r="B1095" s="12" t="str">
        <f ca="1">IFERROR(__xludf.DUMMYFUNCTION("""COMPUTED_VALUE"""),"Joe Cornish")</f>
        <v>Joe Cornish</v>
      </c>
      <c r="C1095" s="12">
        <v>6.6</v>
      </c>
      <c r="D1095" s="12">
        <v>0.55300000000000005</v>
      </c>
      <c r="E1095" s="12">
        <v>1</v>
      </c>
    </row>
    <row r="1096" spans="2:5" x14ac:dyDescent="0.25">
      <c r="B1096" s="11" t="str">
        <f ca="1">IFERROR(__xludf.DUMMYFUNCTION("""COMPUTED_VALUE"""),"John H. Lee")</f>
        <v>John H. Lee</v>
      </c>
      <c r="C1096" s="11">
        <v>6.8</v>
      </c>
      <c r="D1096" s="11">
        <v>0.63800000000000001</v>
      </c>
      <c r="E1096" s="11">
        <v>1</v>
      </c>
    </row>
    <row r="1097" spans="2:5" x14ac:dyDescent="0.25">
      <c r="B1097" s="12" t="str">
        <f ca="1">IFERROR(__xludf.DUMMYFUNCTION("""COMPUTED_VALUE"""),"John Stainton")</f>
        <v>John Stainton</v>
      </c>
      <c r="C1097" s="12">
        <v>5.4</v>
      </c>
      <c r="D1097" s="12">
        <v>0.155</v>
      </c>
      <c r="E1097" s="12">
        <v>1</v>
      </c>
    </row>
    <row r="1098" spans="2:5" x14ac:dyDescent="0.25">
      <c r="B1098" s="11" t="str">
        <f ca="1">IFERROR(__xludf.DUMMYFUNCTION("""COMPUTED_VALUE"""),"Stewart Hendler")</f>
        <v>Stewart Hendler</v>
      </c>
      <c r="C1098" s="11">
        <v>5.0999999999999996</v>
      </c>
      <c r="D1098" s="11">
        <v>9.7000000000000003E-2</v>
      </c>
      <c r="E1098" s="11">
        <v>1</v>
      </c>
    </row>
    <row r="1099" spans="2:5" x14ac:dyDescent="0.25">
      <c r="B1099" s="12" t="str">
        <f ca="1">IFERROR(__xludf.DUMMYFUNCTION("""COMPUTED_VALUE"""),"Mark Herman")</f>
        <v>Mark Herman</v>
      </c>
      <c r="C1099" s="12">
        <v>7.8</v>
      </c>
      <c r="D1099" s="12">
        <v>0.95799999999999996</v>
      </c>
      <c r="E1099" s="12">
        <v>1</v>
      </c>
    </row>
    <row r="1100" spans="2:5" x14ac:dyDescent="0.25">
      <c r="B1100" s="11" t="str">
        <f ca="1">IFERROR(__xludf.DUMMYFUNCTION("""COMPUTED_VALUE"""),"Abel Ferrara")</f>
        <v>Abel Ferrara</v>
      </c>
      <c r="C1100" s="11">
        <v>6.6</v>
      </c>
      <c r="D1100" s="11">
        <v>0.55300000000000005</v>
      </c>
      <c r="E1100" s="11">
        <v>1</v>
      </c>
    </row>
    <row r="1101" spans="2:5" x14ac:dyDescent="0.25">
      <c r="B1101" s="12" t="str">
        <f ca="1">IFERROR(__xludf.DUMMYFUNCTION("""COMPUTED_VALUE"""),"Brian Koppelman")</f>
        <v>Brian Koppelman</v>
      </c>
      <c r="C1101" s="12">
        <v>6.4</v>
      </c>
      <c r="D1101" s="12">
        <v>0.46400000000000002</v>
      </c>
      <c r="E1101" s="12">
        <v>1</v>
      </c>
    </row>
    <row r="1102" spans="2:5" x14ac:dyDescent="0.25">
      <c r="B1102" s="11" t="str">
        <f ca="1">IFERROR(__xludf.DUMMYFUNCTION("""COMPUTED_VALUE"""),"Ethan Maniquis")</f>
        <v>Ethan Maniquis</v>
      </c>
      <c r="C1102" s="11">
        <v>6.7</v>
      </c>
      <c r="D1102" s="11">
        <v>0.6</v>
      </c>
      <c r="E1102" s="11">
        <v>1</v>
      </c>
    </row>
    <row r="1103" spans="2:5" x14ac:dyDescent="0.25">
      <c r="B1103" s="12" t="str">
        <f ca="1">IFERROR(__xludf.DUMMYFUNCTION("""COMPUTED_VALUE"""),"George Hickenlooper")</f>
        <v>George Hickenlooper</v>
      </c>
      <c r="C1103" s="12">
        <v>6.3000000000000007</v>
      </c>
      <c r="D1103" s="12">
        <v>0.44900000000000001</v>
      </c>
      <c r="E1103" s="12">
        <v>2</v>
      </c>
    </row>
    <row r="1104" spans="2:5" x14ac:dyDescent="0.25">
      <c r="B1104" s="11" t="str">
        <f ca="1">IFERROR(__xludf.DUMMYFUNCTION("""COMPUTED_VALUE"""),"Je-kyu Kang")</f>
        <v>Je-kyu Kang</v>
      </c>
      <c r="C1104" s="11">
        <v>8.1</v>
      </c>
      <c r="D1104" s="11">
        <v>0.98099999999999998</v>
      </c>
      <c r="E1104" s="11">
        <v>1</v>
      </c>
    </row>
    <row r="1105" spans="2:5" x14ac:dyDescent="0.25">
      <c r="B1105" s="12" t="str">
        <f ca="1">IFERROR(__xludf.DUMMYFUNCTION("""COMPUTED_VALUE"""),"William Dear")</f>
        <v>William Dear</v>
      </c>
      <c r="C1105" s="12">
        <v>7</v>
      </c>
      <c r="D1105" s="12">
        <v>0.72299999999999998</v>
      </c>
      <c r="E1105" s="12">
        <v>1</v>
      </c>
    </row>
    <row r="1106" spans="2:5" x14ac:dyDescent="0.25">
      <c r="B1106" s="11" t="str">
        <f ca="1">IFERROR(__xludf.DUMMYFUNCTION("""COMPUTED_VALUE"""),"Stéphane Aubier")</f>
        <v>Stéphane Aubier</v>
      </c>
      <c r="C1106" s="11">
        <v>7.9</v>
      </c>
      <c r="D1106" s="11">
        <v>0.97</v>
      </c>
      <c r="E1106" s="11">
        <v>1</v>
      </c>
    </row>
    <row r="1107" spans="2:5" x14ac:dyDescent="0.25">
      <c r="B1107" s="12" t="str">
        <f ca="1">IFERROR(__xludf.DUMMYFUNCTION("""COMPUTED_VALUE"""),"John Badham")</f>
        <v>John Badham</v>
      </c>
      <c r="C1107" s="12">
        <v>7.1</v>
      </c>
      <c r="D1107" s="12">
        <v>0.77200000000000002</v>
      </c>
      <c r="E1107" s="12">
        <v>1</v>
      </c>
    </row>
    <row r="1108" spans="2:5" x14ac:dyDescent="0.25">
      <c r="B1108" s="11" t="str">
        <f ca="1">IFERROR(__xludf.DUMMYFUNCTION("""COMPUTED_VALUE"""),"Mike McCoy")</f>
        <v>Mike McCoy</v>
      </c>
      <c r="C1108" s="11">
        <v>6.5</v>
      </c>
      <c r="D1108" s="11">
        <v>0.504</v>
      </c>
      <c r="E1108" s="11">
        <v>1</v>
      </c>
    </row>
    <row r="1109" spans="2:5" x14ac:dyDescent="0.25">
      <c r="B1109" s="12" t="str">
        <f ca="1">IFERROR(__xludf.DUMMYFUNCTION("""COMPUTED_VALUE"""),"Mike Judge")</f>
        <v>Mike Judge</v>
      </c>
      <c r="C1109" s="12">
        <v>6.9333333333333336</v>
      </c>
      <c r="D1109" s="12">
        <v>0.71099999999999997</v>
      </c>
      <c r="E1109" s="12">
        <v>3</v>
      </c>
    </row>
    <row r="1110" spans="2:5" x14ac:dyDescent="0.25">
      <c r="B1110" s="11" t="str">
        <f ca="1">IFERROR(__xludf.DUMMYFUNCTION("""COMPUTED_VALUE"""),"Tamra Davis")</f>
        <v>Tamra Davis</v>
      </c>
      <c r="C1110" s="11">
        <v>5</v>
      </c>
      <c r="D1110" s="11">
        <v>8.6999999999999994E-2</v>
      </c>
      <c r="E1110" s="11">
        <v>2</v>
      </c>
    </row>
    <row r="1111" spans="2:5" x14ac:dyDescent="0.25">
      <c r="B1111" s="12" t="str">
        <f ca="1">IFERROR(__xludf.DUMMYFUNCTION("""COMPUTED_VALUE"""),"Nima Nourizadeh")</f>
        <v>Nima Nourizadeh</v>
      </c>
      <c r="C1111" s="12">
        <v>6.7</v>
      </c>
      <c r="D1111" s="12">
        <v>0.6</v>
      </c>
      <c r="E1111" s="12">
        <v>1</v>
      </c>
    </row>
    <row r="1112" spans="2:5" x14ac:dyDescent="0.25">
      <c r="B1112" s="11" t="str">
        <f ca="1">IFERROR(__xludf.DUMMYFUNCTION("""COMPUTED_VALUE"""),"John Erick Dowdle")</f>
        <v>John Erick Dowdle</v>
      </c>
      <c r="C1112" s="11">
        <v>6.3</v>
      </c>
      <c r="D1112" s="11">
        <v>0.42299999999999999</v>
      </c>
      <c r="E1112" s="11">
        <v>4</v>
      </c>
    </row>
    <row r="1113" spans="2:5" x14ac:dyDescent="0.25">
      <c r="B1113" s="12" t="str">
        <f ca="1">IFERROR(__xludf.DUMMYFUNCTION("""COMPUTED_VALUE"""),"David Moreau")</f>
        <v>David Moreau</v>
      </c>
      <c r="C1113" s="12">
        <v>5.4</v>
      </c>
      <c r="D1113" s="12">
        <v>0.155</v>
      </c>
      <c r="E1113" s="12">
        <v>1</v>
      </c>
    </row>
    <row r="1114" spans="2:5" x14ac:dyDescent="0.25">
      <c r="B1114" s="11" t="str">
        <f ca="1">IFERROR(__xludf.DUMMYFUNCTION("""COMPUTED_VALUE"""),"Christopher Erskin")</f>
        <v>Christopher Erskin</v>
      </c>
      <c r="C1114" s="11">
        <v>4.3</v>
      </c>
      <c r="D1114" s="11">
        <v>4.4999999999999998E-2</v>
      </c>
      <c r="E1114" s="11">
        <v>1</v>
      </c>
    </row>
    <row r="1115" spans="2:5" x14ac:dyDescent="0.25">
      <c r="B1115" s="12" t="str">
        <f ca="1">IFERROR(__xludf.DUMMYFUNCTION("""COMPUTED_VALUE"""),"Brian Henson")</f>
        <v>Brian Henson</v>
      </c>
      <c r="C1115" s="12">
        <v>7.7</v>
      </c>
      <c r="D1115" s="12">
        <v>0.94</v>
      </c>
      <c r="E1115" s="12">
        <v>1</v>
      </c>
    </row>
    <row r="1116" spans="2:5" x14ac:dyDescent="0.25">
      <c r="B1116" s="11" t="str">
        <f ca="1">IFERROR(__xludf.DUMMYFUNCTION("""COMPUTED_VALUE"""),"Dan Cutforth")</f>
        <v>Dan Cutforth</v>
      </c>
      <c r="C1116" s="11">
        <v>5.9</v>
      </c>
      <c r="D1116" s="11">
        <v>0.27100000000000002</v>
      </c>
      <c r="E1116" s="11">
        <v>1</v>
      </c>
    </row>
    <row r="1117" spans="2:5" x14ac:dyDescent="0.25">
      <c r="B1117" s="12" t="str">
        <f ca="1">IFERROR(__xludf.DUMMYFUNCTION("""COMPUTED_VALUE"""),"Josh Boone")</f>
        <v>Josh Boone</v>
      </c>
      <c r="C1117" s="12">
        <v>7.8</v>
      </c>
      <c r="D1117" s="12">
        <v>0.95799999999999996</v>
      </c>
      <c r="E1117" s="12">
        <v>1</v>
      </c>
    </row>
    <row r="1118" spans="2:5" x14ac:dyDescent="0.25">
      <c r="B1118" s="11" t="str">
        <f ca="1">IFERROR(__xludf.DUMMYFUNCTION("""COMPUTED_VALUE"""),"Jake Schreier")</f>
        <v>Jake Schreier</v>
      </c>
      <c r="C1118" s="11">
        <v>6.75</v>
      </c>
      <c r="D1118" s="11">
        <v>0.627</v>
      </c>
      <c r="E1118" s="11">
        <v>2</v>
      </c>
    </row>
    <row r="1119" spans="2:5" x14ac:dyDescent="0.25">
      <c r="B1119" s="12" t="str">
        <f ca="1">IFERROR(__xludf.DUMMYFUNCTION("""COMPUTED_VALUE"""),"Ernest R. Dickerson")</f>
        <v>Ernest R. Dickerson</v>
      </c>
      <c r="C1119" s="12">
        <v>6.7</v>
      </c>
      <c r="D1119" s="12">
        <v>0.6</v>
      </c>
      <c r="E1119" s="12">
        <v>1</v>
      </c>
    </row>
    <row r="1120" spans="2:5" x14ac:dyDescent="0.25">
      <c r="B1120" s="11" t="str">
        <f ca="1">IFERROR(__xludf.DUMMYFUNCTION("""COMPUTED_VALUE"""),"Wallace Wolodarsky")</f>
        <v>Wallace Wolodarsky</v>
      </c>
      <c r="C1120" s="11">
        <v>5.4</v>
      </c>
      <c r="D1120" s="11">
        <v>0.155</v>
      </c>
      <c r="E1120" s="11">
        <v>1</v>
      </c>
    </row>
    <row r="1121" spans="2:5" x14ac:dyDescent="0.25">
      <c r="B1121" s="12" t="str">
        <f ca="1">IFERROR(__xludf.DUMMYFUNCTION("""COMPUTED_VALUE"""),"Nicholas Jarecki")</f>
        <v>Nicholas Jarecki</v>
      </c>
      <c r="C1121" s="12">
        <v>6.6</v>
      </c>
      <c r="D1121" s="12">
        <v>0.55300000000000005</v>
      </c>
      <c r="E1121" s="12">
        <v>1</v>
      </c>
    </row>
    <row r="1122" spans="2:5" x14ac:dyDescent="0.25">
      <c r="B1122" s="11" t="str">
        <f ca="1">IFERROR(__xludf.DUMMYFUNCTION("""COMPUTED_VALUE"""),"Dean Israelite")</f>
        <v>Dean Israelite</v>
      </c>
      <c r="C1122" s="11">
        <v>6.4</v>
      </c>
      <c r="D1122" s="11">
        <v>0.46400000000000002</v>
      </c>
      <c r="E1122" s="11">
        <v>1</v>
      </c>
    </row>
    <row r="1123" spans="2:5" x14ac:dyDescent="0.25">
      <c r="B1123" s="12" t="str">
        <f ca="1">IFERROR(__xludf.DUMMYFUNCTION("""COMPUTED_VALUE"""),"Darnell Martin")</f>
        <v>Darnell Martin</v>
      </c>
      <c r="C1123" s="12">
        <v>7</v>
      </c>
      <c r="D1123" s="12">
        <v>0.72299999999999998</v>
      </c>
      <c r="E1123" s="12">
        <v>1</v>
      </c>
    </row>
    <row r="1124" spans="2:5" x14ac:dyDescent="0.25">
      <c r="B1124" s="11" t="str">
        <f ca="1">IFERROR(__xludf.DUMMYFUNCTION("""COMPUTED_VALUE"""),"Scott Alexander")</f>
        <v>Scott Alexander</v>
      </c>
      <c r="C1124" s="11">
        <v>5.7</v>
      </c>
      <c r="D1124" s="11">
        <v>0.23100000000000001</v>
      </c>
      <c r="E1124" s="11">
        <v>1</v>
      </c>
    </row>
    <row r="1125" spans="2:5" x14ac:dyDescent="0.25">
      <c r="B1125" s="12" t="str">
        <f ca="1">IFERROR(__xludf.DUMMYFUNCTION("""COMPUTED_VALUE"""),"Stuart Gordon")</f>
        <v>Stuart Gordon</v>
      </c>
      <c r="C1125" s="12">
        <v>6.1</v>
      </c>
      <c r="D1125" s="12">
        <v>0.35099999999999998</v>
      </c>
      <c r="E1125" s="12">
        <v>2</v>
      </c>
    </row>
    <row r="1126" spans="2:5" x14ac:dyDescent="0.25">
      <c r="B1126" s="11" t="str">
        <f ca="1">IFERROR(__xludf.DUMMYFUNCTION("""COMPUTED_VALUE"""),"Christopher Guest")</f>
        <v>Christopher Guest</v>
      </c>
      <c r="C1126" s="11">
        <v>7.1333333333333329</v>
      </c>
      <c r="D1126" s="11">
        <v>0.80100000000000005</v>
      </c>
      <c r="E1126" s="11">
        <v>3</v>
      </c>
    </row>
    <row r="1127" spans="2:5" x14ac:dyDescent="0.25">
      <c r="B1127" s="12" t="str">
        <f ca="1">IFERROR(__xludf.DUMMYFUNCTION("""COMPUTED_VALUE"""),"Jane Campion")</f>
        <v>Jane Campion</v>
      </c>
      <c r="C1127" s="12">
        <v>6.6333333333333329</v>
      </c>
      <c r="D1127" s="12">
        <v>0.58499999999999996</v>
      </c>
      <c r="E1127" s="12">
        <v>3</v>
      </c>
    </row>
    <row r="1128" spans="2:5" x14ac:dyDescent="0.25">
      <c r="B1128" s="11" t="str">
        <f ca="1">IFERROR(__xludf.DUMMYFUNCTION("""COMPUTED_VALUE"""),"Fred Schepisi")</f>
        <v>Fred Schepisi</v>
      </c>
      <c r="C1128" s="11">
        <v>7</v>
      </c>
      <c r="D1128" s="11">
        <v>0.72299999999999998</v>
      </c>
      <c r="E1128" s="11">
        <v>1</v>
      </c>
    </row>
    <row r="1129" spans="2:5" x14ac:dyDescent="0.25">
      <c r="B1129" s="12" t="str">
        <f ca="1">IFERROR(__xludf.DUMMYFUNCTION("""COMPUTED_VALUE"""),"Antonia Bird")</f>
        <v>Antonia Bird</v>
      </c>
      <c r="C1129" s="12">
        <v>7.1</v>
      </c>
      <c r="D1129" s="12">
        <v>0.77200000000000002</v>
      </c>
      <c r="E1129" s="12">
        <v>1</v>
      </c>
    </row>
    <row r="1130" spans="2:5" x14ac:dyDescent="0.25">
      <c r="B1130" s="11" t="str">
        <f ca="1">IFERROR(__xludf.DUMMYFUNCTION("""COMPUTED_VALUE"""),"Jon Poll")</f>
        <v>Jon Poll</v>
      </c>
      <c r="C1130" s="11">
        <v>7</v>
      </c>
      <c r="D1130" s="11">
        <v>0.72299999999999998</v>
      </c>
      <c r="E1130" s="11">
        <v>1</v>
      </c>
    </row>
    <row r="1131" spans="2:5" x14ac:dyDescent="0.25">
      <c r="B1131" s="12" t="str">
        <f ca="1">IFERROR(__xludf.DUMMYFUNCTION("""COMPUTED_VALUE"""),"Paolo Sorrentino")</f>
        <v>Paolo Sorrentino</v>
      </c>
      <c r="C1131" s="12">
        <v>7.7</v>
      </c>
      <c r="D1131" s="12">
        <v>0.94</v>
      </c>
      <c r="E1131" s="12">
        <v>1</v>
      </c>
    </row>
    <row r="1132" spans="2:5" x14ac:dyDescent="0.25">
      <c r="B1132" s="11" t="str">
        <f ca="1">IFERROR(__xludf.DUMMYFUNCTION("""COMPUTED_VALUE"""),"Peter Care")</f>
        <v>Peter Care</v>
      </c>
      <c r="C1132" s="11">
        <v>7.1</v>
      </c>
      <c r="D1132" s="11">
        <v>0.77200000000000002</v>
      </c>
      <c r="E1132" s="11">
        <v>1</v>
      </c>
    </row>
    <row r="1133" spans="2:5" x14ac:dyDescent="0.25">
      <c r="B1133" s="12" t="str">
        <f ca="1">IFERROR(__xludf.DUMMYFUNCTION("""COMPUTED_VALUE"""),"Chan-wook Park")</f>
        <v>Chan-wook Park</v>
      </c>
      <c r="C1133" s="12">
        <v>7.6333333333333329</v>
      </c>
      <c r="D1133" s="12">
        <v>0.93100000000000005</v>
      </c>
      <c r="E1133" s="12">
        <v>3</v>
      </c>
    </row>
    <row r="1134" spans="2:5" x14ac:dyDescent="0.25">
      <c r="B1134" s="11" t="str">
        <f ca="1">IFERROR(__xludf.DUMMYFUNCTION("""COMPUTED_VALUE"""),"Ira Sachs")</f>
        <v>Ira Sachs</v>
      </c>
      <c r="C1134" s="11">
        <v>6.3</v>
      </c>
      <c r="D1134" s="11">
        <v>0.42299999999999999</v>
      </c>
      <c r="E1134" s="11">
        <v>1</v>
      </c>
    </row>
    <row r="1135" spans="2:5" x14ac:dyDescent="0.25">
      <c r="B1135" s="12" t="str">
        <f ca="1">IFERROR(__xludf.DUMMYFUNCTION("""COMPUTED_VALUE"""),"Carroll Ballard")</f>
        <v>Carroll Ballard</v>
      </c>
      <c r="C1135" s="12">
        <v>7.3</v>
      </c>
      <c r="D1135" s="12">
        <v>0.84899999999999998</v>
      </c>
      <c r="E1135" s="12">
        <v>1</v>
      </c>
    </row>
    <row r="1136" spans="2:5" x14ac:dyDescent="0.25">
      <c r="B1136" s="11" t="str">
        <f ca="1">IFERROR(__xludf.DUMMYFUNCTION("""COMPUTED_VALUE"""),"Takeshi Kitano")</f>
        <v>Takeshi Kitano</v>
      </c>
      <c r="C1136" s="11">
        <v>7.2</v>
      </c>
      <c r="D1136" s="11">
        <v>0.81200000000000006</v>
      </c>
      <c r="E1136" s="11">
        <v>1</v>
      </c>
    </row>
    <row r="1137" spans="2:5" x14ac:dyDescent="0.25">
      <c r="B1137" s="12" t="str">
        <f ca="1">IFERROR(__xludf.DUMMYFUNCTION("""COMPUTED_VALUE"""),"Marco Kreuzpaintner")</f>
        <v>Marco Kreuzpaintner</v>
      </c>
      <c r="C1137" s="12">
        <v>7.45</v>
      </c>
      <c r="D1137" s="12">
        <v>0.88900000000000001</v>
      </c>
      <c r="E1137" s="12">
        <v>2</v>
      </c>
    </row>
    <row r="1138" spans="2:5" x14ac:dyDescent="0.25">
      <c r="B1138" s="11" t="str">
        <f ca="1">IFERROR(__xludf.DUMMYFUNCTION("""COMPUTED_VALUE"""),"Lajos Koltai")</f>
        <v>Lajos Koltai</v>
      </c>
      <c r="C1138" s="11">
        <v>7.1</v>
      </c>
      <c r="D1138" s="11">
        <v>0.77200000000000002</v>
      </c>
      <c r="E1138" s="11">
        <v>1</v>
      </c>
    </row>
    <row r="1139" spans="2:5" x14ac:dyDescent="0.25">
      <c r="B1139" s="12" t="str">
        <f ca="1">IFERROR(__xludf.DUMMYFUNCTION("""COMPUTED_VALUE"""),"Alan Rudolph")</f>
        <v>Alan Rudolph</v>
      </c>
      <c r="C1139" s="12">
        <v>4.5999999999999996</v>
      </c>
      <c r="D1139" s="12">
        <v>5.8999999999999997E-2</v>
      </c>
      <c r="E1139" s="12">
        <v>1</v>
      </c>
    </row>
    <row r="1140" spans="2:5" x14ac:dyDescent="0.25">
      <c r="B1140" s="11" t="str">
        <f ca="1">IFERROR(__xludf.DUMMYFUNCTION("""COMPUTED_VALUE"""),"Chuan Lu")</f>
        <v>Chuan Lu</v>
      </c>
      <c r="C1140" s="11">
        <v>7.7</v>
      </c>
      <c r="D1140" s="11">
        <v>0.94</v>
      </c>
      <c r="E1140" s="11">
        <v>1</v>
      </c>
    </row>
    <row r="1141" spans="2:5" x14ac:dyDescent="0.25">
      <c r="B1141" s="12" t="str">
        <f ca="1">IFERROR(__xludf.DUMMYFUNCTION("""COMPUTED_VALUE"""),"Timothy Hines")</f>
        <v>Timothy Hines</v>
      </c>
      <c r="C1141" s="12">
        <v>7.5</v>
      </c>
      <c r="D1141" s="12">
        <v>0.89300000000000002</v>
      </c>
      <c r="E1141" s="12">
        <v>1</v>
      </c>
    </row>
    <row r="1142" spans="2:5" x14ac:dyDescent="0.25">
      <c r="B1142" s="11" t="str">
        <f ca="1">IFERROR(__xludf.DUMMYFUNCTION("""COMPUTED_VALUE"""),"Akira Kurosawa")</f>
        <v>Akira Kurosawa</v>
      </c>
      <c r="C1142" s="11">
        <v>8.1</v>
      </c>
      <c r="D1142" s="11">
        <v>0.98099999999999998</v>
      </c>
      <c r="E1142" s="11">
        <v>2</v>
      </c>
    </row>
    <row r="1143" spans="2:5" x14ac:dyDescent="0.25">
      <c r="B1143" s="12" t="str">
        <f ca="1">IFERROR(__xludf.DUMMYFUNCTION("""COMPUTED_VALUE"""),"Dan Mazer")</f>
        <v>Dan Mazer</v>
      </c>
      <c r="C1143" s="12">
        <v>6</v>
      </c>
      <c r="D1143" s="12">
        <v>0.312</v>
      </c>
      <c r="E1143" s="12">
        <v>1</v>
      </c>
    </row>
    <row r="1144" spans="2:5" x14ac:dyDescent="0.25">
      <c r="B1144" s="11" t="str">
        <f ca="1">IFERROR(__xludf.DUMMYFUNCTION("""COMPUTED_VALUE"""),"R.J. Cutler")</f>
        <v>R.J. Cutler</v>
      </c>
      <c r="C1144" s="11">
        <v>6.8</v>
      </c>
      <c r="D1144" s="11">
        <v>0.63800000000000001</v>
      </c>
      <c r="E1144" s="11">
        <v>1</v>
      </c>
    </row>
    <row r="1145" spans="2:5" x14ac:dyDescent="0.25">
      <c r="B1145" s="12" t="str">
        <f ca="1">IFERROR(__xludf.DUMMYFUNCTION("""COMPUTED_VALUE"""),"David S. Ward")</f>
        <v>David S. Ward</v>
      </c>
      <c r="C1145" s="12">
        <v>7.2</v>
      </c>
      <c r="D1145" s="12">
        <v>0.81200000000000006</v>
      </c>
      <c r="E1145" s="12">
        <v>1</v>
      </c>
    </row>
    <row r="1146" spans="2:5" x14ac:dyDescent="0.25">
      <c r="B1146" s="11" t="str">
        <f ca="1">IFERROR(__xludf.DUMMYFUNCTION("""COMPUTED_VALUE"""),"Rob Pritts")</f>
        <v>Rob Pritts</v>
      </c>
      <c r="C1146" s="11">
        <v>4.5999999999999996</v>
      </c>
      <c r="D1146" s="11">
        <v>5.8999999999999997E-2</v>
      </c>
      <c r="E1146" s="11">
        <v>1</v>
      </c>
    </row>
    <row r="1147" spans="2:5" x14ac:dyDescent="0.25">
      <c r="B1147" s="12" t="str">
        <f ca="1">IFERROR(__xludf.DUMMYFUNCTION("""COMPUTED_VALUE"""),"John Crowley")</f>
        <v>John Crowley</v>
      </c>
      <c r="C1147" s="12">
        <v>7.5</v>
      </c>
      <c r="D1147" s="12">
        <v>0.89300000000000002</v>
      </c>
      <c r="E1147" s="12">
        <v>1</v>
      </c>
    </row>
    <row r="1148" spans="2:5" x14ac:dyDescent="0.25">
      <c r="B1148" s="11" t="str">
        <f ca="1">IFERROR(__xludf.DUMMYFUNCTION("""COMPUTED_VALUE"""),"Brendan Malloy")</f>
        <v>Brendan Malloy</v>
      </c>
      <c r="C1148" s="11">
        <v>6.3</v>
      </c>
      <c r="D1148" s="11">
        <v>0.42299999999999999</v>
      </c>
      <c r="E1148" s="11">
        <v>1</v>
      </c>
    </row>
    <row r="1149" spans="2:5" x14ac:dyDescent="0.25">
      <c r="B1149" s="12" t="str">
        <f ca="1">IFERROR(__xludf.DUMMYFUNCTION("""COMPUTED_VALUE"""),"Dustin Hoffman")</f>
        <v>Dustin Hoffman</v>
      </c>
      <c r="C1149" s="12">
        <v>6.8</v>
      </c>
      <c r="D1149" s="12">
        <v>0.63800000000000001</v>
      </c>
      <c r="E1149" s="12">
        <v>1</v>
      </c>
    </row>
    <row r="1150" spans="2:5" x14ac:dyDescent="0.25">
      <c r="B1150" s="11" t="str">
        <f ca="1">IFERROR(__xludf.DUMMYFUNCTION("""COMPUTED_VALUE"""),"Gregory Poirier")</f>
        <v>Gregory Poirier</v>
      </c>
      <c r="C1150" s="11">
        <v>5.3</v>
      </c>
      <c r="D1150" s="11">
        <v>0.13</v>
      </c>
      <c r="E1150" s="11">
        <v>1</v>
      </c>
    </row>
    <row r="1151" spans="2:5" x14ac:dyDescent="0.25">
      <c r="B1151" s="12" t="str">
        <f ca="1">IFERROR(__xludf.DUMMYFUNCTION("""COMPUTED_VALUE"""),"Bill Paxton")</f>
        <v>Bill Paxton</v>
      </c>
      <c r="C1151" s="12">
        <v>7.3</v>
      </c>
      <c r="D1151" s="12">
        <v>0.84899999999999998</v>
      </c>
      <c r="E1151" s="12">
        <v>1</v>
      </c>
    </row>
    <row r="1152" spans="2:5" x14ac:dyDescent="0.25">
      <c r="B1152" s="11" t="str">
        <f ca="1">IFERROR(__xludf.DUMMYFUNCTION("""COMPUTED_VALUE"""),"Simon Curtis")</f>
        <v>Simon Curtis</v>
      </c>
      <c r="C1152" s="11">
        <v>7.15</v>
      </c>
      <c r="D1152" s="11">
        <v>0.80500000000000005</v>
      </c>
      <c r="E1152" s="11">
        <v>2</v>
      </c>
    </row>
    <row r="1153" spans="2:5" x14ac:dyDescent="0.25">
      <c r="B1153" s="12" t="str">
        <f ca="1">IFERROR(__xludf.DUMMYFUNCTION("""COMPUTED_VALUE"""),"Dewey Nicks")</f>
        <v>Dewey Nicks</v>
      </c>
      <c r="C1153" s="12">
        <v>5.3</v>
      </c>
      <c r="D1153" s="12">
        <v>0.13</v>
      </c>
      <c r="E1153" s="12">
        <v>1</v>
      </c>
    </row>
    <row r="1154" spans="2:5" x14ac:dyDescent="0.25">
      <c r="B1154" s="11" t="str">
        <f ca="1">IFERROR(__xludf.DUMMYFUNCTION("""COMPUTED_VALUE"""),"Philip Saville")</f>
        <v>Philip Saville</v>
      </c>
      <c r="C1154" s="11">
        <v>7.7</v>
      </c>
      <c r="D1154" s="11">
        <v>0.94</v>
      </c>
      <c r="E1154" s="11">
        <v>1</v>
      </c>
    </row>
    <row r="1155" spans="2:5" x14ac:dyDescent="0.25">
      <c r="B1155" s="12" t="str">
        <f ca="1">IFERROR(__xludf.DUMMYFUNCTION("""COMPUTED_VALUE"""),"Tim Blake Nelson")</f>
        <v>Tim Blake Nelson</v>
      </c>
      <c r="C1155" s="12">
        <v>6.2</v>
      </c>
      <c r="D1155" s="12">
        <v>0.39100000000000001</v>
      </c>
      <c r="E1155" s="12">
        <v>1</v>
      </c>
    </row>
    <row r="1156" spans="2:5" x14ac:dyDescent="0.25">
      <c r="B1156" s="11" t="str">
        <f ca="1">IFERROR(__xludf.DUMMYFUNCTION("""COMPUTED_VALUE"""),"William A. Graham")</f>
        <v>William A. Graham</v>
      </c>
      <c r="C1156" s="11">
        <v>5.0999999999999996</v>
      </c>
      <c r="D1156" s="11">
        <v>9.7000000000000003E-2</v>
      </c>
      <c r="E1156" s="11">
        <v>1</v>
      </c>
    </row>
    <row r="1157" spans="2:5" x14ac:dyDescent="0.25">
      <c r="B1157" s="12" t="str">
        <f ca="1">IFERROR(__xludf.DUMMYFUNCTION("""COMPUTED_VALUE"""),"Agnieszka Holland")</f>
        <v>Agnieszka Holland</v>
      </c>
      <c r="C1157" s="12">
        <v>6.8</v>
      </c>
      <c r="D1157" s="12">
        <v>0.63800000000000001</v>
      </c>
      <c r="E1157" s="12">
        <v>1</v>
      </c>
    </row>
    <row r="1158" spans="2:5" x14ac:dyDescent="0.25">
      <c r="B1158" s="11" t="str">
        <f ca="1">IFERROR(__xludf.DUMMYFUNCTION("""COMPUTED_VALUE"""),"David Hackl")</f>
        <v>David Hackl</v>
      </c>
      <c r="C1158" s="11">
        <v>5.8</v>
      </c>
      <c r="D1158" s="11">
        <v>0.251</v>
      </c>
      <c r="E1158" s="11">
        <v>1</v>
      </c>
    </row>
    <row r="1159" spans="2:5" x14ac:dyDescent="0.25">
      <c r="B1159" s="12" t="str">
        <f ca="1">IFERROR(__xludf.DUMMYFUNCTION("""COMPUTED_VALUE"""),"Ray Lawrence")</f>
        <v>Ray Lawrence</v>
      </c>
      <c r="C1159" s="12">
        <v>6.4</v>
      </c>
      <c r="D1159" s="12">
        <v>0.46400000000000002</v>
      </c>
      <c r="E1159" s="12">
        <v>1</v>
      </c>
    </row>
    <row r="1160" spans="2:5" x14ac:dyDescent="0.25">
      <c r="B1160" s="11" t="str">
        <f ca="1">IFERROR(__xludf.DUMMYFUNCTION("""COMPUTED_VALUE"""),"Karan Johar")</f>
        <v>Karan Johar</v>
      </c>
      <c r="C1160" s="11">
        <v>7</v>
      </c>
      <c r="D1160" s="11">
        <v>0.72299999999999998</v>
      </c>
      <c r="E1160" s="11">
        <v>2</v>
      </c>
    </row>
    <row r="1161" spans="2:5" x14ac:dyDescent="0.25">
      <c r="B1161" s="12" t="str">
        <f ca="1">IFERROR(__xludf.DUMMYFUNCTION("""COMPUTED_VALUE"""),"Ruairi Robinson")</f>
        <v>Ruairi Robinson</v>
      </c>
      <c r="C1161" s="12">
        <v>5.5</v>
      </c>
      <c r="D1161" s="12">
        <v>0.17699999999999999</v>
      </c>
      <c r="E1161" s="12">
        <v>1</v>
      </c>
    </row>
    <row r="1162" spans="2:5" x14ac:dyDescent="0.25">
      <c r="B1162" s="11" t="str">
        <f ca="1">IFERROR(__xludf.DUMMYFUNCTION("""COMPUTED_VALUE"""),"Jaume Balagueró")</f>
        <v>Jaume Balagueró</v>
      </c>
      <c r="C1162" s="11">
        <v>6</v>
      </c>
      <c r="D1162" s="11">
        <v>0.312</v>
      </c>
      <c r="E1162" s="11">
        <v>2</v>
      </c>
    </row>
    <row r="1163" spans="2:5" x14ac:dyDescent="0.25">
      <c r="B1163" s="12" t="str">
        <f ca="1">IFERROR(__xludf.DUMMYFUNCTION("""COMPUTED_VALUE"""),"Jon Kasdan")</f>
        <v>Jon Kasdan</v>
      </c>
      <c r="C1163" s="12">
        <v>6.5</v>
      </c>
      <c r="D1163" s="12">
        <v>0.504</v>
      </c>
      <c r="E1163" s="12">
        <v>1</v>
      </c>
    </row>
    <row r="1164" spans="2:5" x14ac:dyDescent="0.25">
      <c r="B1164" s="11" t="str">
        <f ca="1">IFERROR(__xludf.DUMMYFUNCTION("""COMPUTED_VALUE"""),"Floyd Mutrux")</f>
        <v>Floyd Mutrux</v>
      </c>
      <c r="C1164" s="11">
        <v>6.4</v>
      </c>
      <c r="D1164" s="11">
        <v>0.46400000000000002</v>
      </c>
      <c r="E1164" s="11">
        <v>1</v>
      </c>
    </row>
    <row r="1165" spans="2:5" x14ac:dyDescent="0.25">
      <c r="B1165" s="12" t="str">
        <f ca="1">IFERROR(__xludf.DUMMYFUNCTION("""COMPUTED_VALUE"""),"Dean Wright")</f>
        <v>Dean Wright</v>
      </c>
      <c r="C1165" s="12">
        <v>6.6</v>
      </c>
      <c r="D1165" s="12">
        <v>0.55300000000000005</v>
      </c>
      <c r="E1165" s="12">
        <v>1</v>
      </c>
    </row>
    <row r="1166" spans="2:5" x14ac:dyDescent="0.25">
      <c r="B1166" s="11" t="str">
        <f ca="1">IFERROR(__xludf.DUMMYFUNCTION("""COMPUTED_VALUE"""),"Darren Lynn Bousman")</f>
        <v>Darren Lynn Bousman</v>
      </c>
      <c r="C1166" s="11">
        <v>6.35</v>
      </c>
      <c r="D1166" s="11">
        <v>0.45600000000000002</v>
      </c>
      <c r="E1166" s="11">
        <v>4</v>
      </c>
    </row>
    <row r="1167" spans="2:5" x14ac:dyDescent="0.25">
      <c r="B1167" s="12" t="str">
        <f ca="1">IFERROR(__xludf.DUMMYFUNCTION("""COMPUTED_VALUE"""),"James DeMonaco")</f>
        <v>James DeMonaco</v>
      </c>
      <c r="C1167" s="12">
        <v>6.1000000000000005</v>
      </c>
      <c r="D1167" s="12">
        <v>0.379</v>
      </c>
      <c r="E1167" s="12">
        <v>3</v>
      </c>
    </row>
    <row r="1168" spans="2:5" x14ac:dyDescent="0.25">
      <c r="B1168" s="11" t="str">
        <f ca="1">IFERROR(__xludf.DUMMYFUNCTION("""COMPUTED_VALUE"""),"Carol Reed")</f>
        <v>Carol Reed</v>
      </c>
      <c r="C1168" s="11">
        <v>7.5</v>
      </c>
      <c r="D1168" s="11">
        <v>0.89300000000000002</v>
      </c>
      <c r="E1168" s="11">
        <v>1</v>
      </c>
    </row>
    <row r="1169" spans="2:5" x14ac:dyDescent="0.25">
      <c r="B1169" s="12" t="str">
        <f ca="1">IFERROR(__xludf.DUMMYFUNCTION("""COMPUTED_VALUE"""),"Chuck Sheetz")</f>
        <v>Chuck Sheetz</v>
      </c>
      <c r="C1169" s="12">
        <v>6.5</v>
      </c>
      <c r="D1169" s="12">
        <v>0.504</v>
      </c>
      <c r="E1169" s="12">
        <v>1</v>
      </c>
    </row>
    <row r="1170" spans="2:5" x14ac:dyDescent="0.25">
      <c r="B1170" s="11" t="str">
        <f ca="1">IFERROR(__xludf.DUMMYFUNCTION("""COMPUTED_VALUE"""),"Marcus Raboy")</f>
        <v>Marcus Raboy</v>
      </c>
      <c r="C1170" s="11">
        <v>5.8</v>
      </c>
      <c r="D1170" s="11">
        <v>0.251</v>
      </c>
      <c r="E1170" s="11">
        <v>1</v>
      </c>
    </row>
    <row r="1171" spans="2:5" x14ac:dyDescent="0.25">
      <c r="B1171" s="12" t="str">
        <f ca="1">IFERROR(__xludf.DUMMYFUNCTION("""COMPUTED_VALUE"""),"Leigh Whannell")</f>
        <v>Leigh Whannell</v>
      </c>
      <c r="C1171" s="12">
        <v>6.1</v>
      </c>
      <c r="D1171" s="12">
        <v>0.35099999999999998</v>
      </c>
      <c r="E1171" s="12">
        <v>1</v>
      </c>
    </row>
    <row r="1172" spans="2:5" x14ac:dyDescent="0.25">
      <c r="B1172" s="11" t="str">
        <f ca="1">IFERROR(__xludf.DUMMYFUNCTION("""COMPUTED_VALUE"""),"Michael Schultz")</f>
        <v>Michael Schultz</v>
      </c>
      <c r="C1172" s="11">
        <v>6.9</v>
      </c>
      <c r="D1172" s="11">
        <v>0.68200000000000005</v>
      </c>
      <c r="E1172" s="11">
        <v>1</v>
      </c>
    </row>
    <row r="1173" spans="2:5" x14ac:dyDescent="0.25">
      <c r="B1173" s="12" t="str">
        <f ca="1">IFERROR(__xludf.DUMMYFUNCTION("""COMPUTED_VALUE"""),"Peter Sollett")</f>
        <v>Peter Sollett</v>
      </c>
      <c r="C1173" s="12">
        <v>6.8</v>
      </c>
      <c r="D1173" s="12">
        <v>0.63800000000000001</v>
      </c>
      <c r="E1173" s="12">
        <v>3</v>
      </c>
    </row>
    <row r="1174" spans="2:5" x14ac:dyDescent="0.25">
      <c r="B1174" s="11" t="str">
        <f ca="1">IFERROR(__xludf.DUMMYFUNCTION("""COMPUTED_VALUE"""),"Bob Dolman")</f>
        <v>Bob Dolman</v>
      </c>
      <c r="C1174" s="11">
        <v>5.6</v>
      </c>
      <c r="D1174" s="11">
        <v>0.19700000000000001</v>
      </c>
      <c r="E1174" s="11">
        <v>1</v>
      </c>
    </row>
    <row r="1175" spans="2:5" x14ac:dyDescent="0.25">
      <c r="B1175" s="12" t="str">
        <f ca="1">IFERROR(__xludf.DUMMYFUNCTION("""COMPUTED_VALUE"""),"Rowdy Herrington")</f>
        <v>Rowdy Herrington</v>
      </c>
      <c r="C1175" s="12">
        <v>6.5</v>
      </c>
      <c r="D1175" s="12">
        <v>0.504</v>
      </c>
      <c r="E1175" s="12">
        <v>1</v>
      </c>
    </row>
    <row r="1176" spans="2:5" x14ac:dyDescent="0.25">
      <c r="B1176" s="11" t="str">
        <f ca="1">IFERROR(__xludf.DUMMYFUNCTION("""COMPUTED_VALUE"""),"Greg Coolidge")</f>
        <v>Greg Coolidge</v>
      </c>
      <c r="C1176" s="11">
        <v>5.5</v>
      </c>
      <c r="D1176" s="11">
        <v>0.17699999999999999</v>
      </c>
      <c r="E1176" s="11">
        <v>1</v>
      </c>
    </row>
    <row r="1177" spans="2:5" x14ac:dyDescent="0.25">
      <c r="B1177" s="12" t="str">
        <f ca="1">IFERROR(__xludf.DUMMYFUNCTION("""COMPUTED_VALUE"""),"Ciarán Foy")</f>
        <v>Ciarán Foy</v>
      </c>
      <c r="C1177" s="12">
        <v>5.2</v>
      </c>
      <c r="D1177" s="12">
        <v>0.113</v>
      </c>
      <c r="E1177" s="12">
        <v>1</v>
      </c>
    </row>
    <row r="1178" spans="2:5" x14ac:dyDescent="0.25">
      <c r="B1178" s="11" t="str">
        <f ca="1">IFERROR(__xludf.DUMMYFUNCTION("""COMPUTED_VALUE"""),"Salim Akil")</f>
        <v>Salim Akil</v>
      </c>
      <c r="C1178" s="11">
        <v>5.7</v>
      </c>
      <c r="D1178" s="11">
        <v>0.23100000000000001</v>
      </c>
      <c r="E1178" s="11">
        <v>2</v>
      </c>
    </row>
    <row r="1179" spans="2:5" x14ac:dyDescent="0.25">
      <c r="B1179" s="12" t="str">
        <f ca="1">IFERROR(__xludf.DUMMYFUNCTION("""COMPUTED_VALUE"""),"Olatunde Osunsanmi")</f>
        <v>Olatunde Osunsanmi</v>
      </c>
      <c r="C1179" s="12">
        <v>5.9</v>
      </c>
      <c r="D1179" s="12">
        <v>0.27100000000000002</v>
      </c>
      <c r="E1179" s="12">
        <v>1</v>
      </c>
    </row>
    <row r="1180" spans="2:5" x14ac:dyDescent="0.25">
      <c r="B1180" s="11" t="str">
        <f ca="1">IFERROR(__xludf.DUMMYFUNCTION("""COMPUTED_VALUE"""),"Leon Ichaso")</f>
        <v>Leon Ichaso</v>
      </c>
      <c r="C1180" s="11">
        <v>5.9</v>
      </c>
      <c r="D1180" s="11">
        <v>0.27100000000000002</v>
      </c>
      <c r="E1180" s="11">
        <v>1</v>
      </c>
    </row>
    <row r="1181" spans="2:5" x14ac:dyDescent="0.25">
      <c r="B1181" s="12" t="str">
        <f ca="1">IFERROR(__xludf.DUMMYFUNCTION("""COMPUTED_VALUE"""),"Patricia Rozema")</f>
        <v>Patricia Rozema</v>
      </c>
      <c r="C1181" s="12">
        <v>6.7</v>
      </c>
      <c r="D1181" s="12">
        <v>0.6</v>
      </c>
      <c r="E1181" s="12">
        <v>1</v>
      </c>
    </row>
    <row r="1182" spans="2:5" x14ac:dyDescent="0.25">
      <c r="B1182" s="11" t="str">
        <f ca="1">IFERROR(__xludf.DUMMYFUNCTION("""COMPUTED_VALUE"""),"Rob Schmidt")</f>
        <v>Rob Schmidt</v>
      </c>
      <c r="C1182" s="11">
        <v>6.1</v>
      </c>
      <c r="D1182" s="11">
        <v>0.35099999999999998</v>
      </c>
      <c r="E1182" s="11">
        <v>1</v>
      </c>
    </row>
    <row r="1183" spans="2:5" x14ac:dyDescent="0.25">
      <c r="B1183" s="12" t="str">
        <f ca="1">IFERROR(__xludf.DUMMYFUNCTION("""COMPUTED_VALUE"""),"Robert Ben Garant")</f>
        <v>Robert Ben Garant</v>
      </c>
      <c r="C1183" s="12">
        <v>5.9</v>
      </c>
      <c r="D1183" s="12">
        <v>0.27100000000000002</v>
      </c>
      <c r="E1183" s="12">
        <v>1</v>
      </c>
    </row>
    <row r="1184" spans="2:5" x14ac:dyDescent="0.25">
      <c r="B1184" s="11" t="str">
        <f ca="1">IFERROR(__xludf.DUMMYFUNCTION("""COMPUTED_VALUE"""),"Morgan Spurlock")</f>
        <v>Morgan Spurlock</v>
      </c>
      <c r="C1184" s="11">
        <v>6</v>
      </c>
      <c r="D1184" s="11">
        <v>0.312</v>
      </c>
      <c r="E1184" s="11">
        <v>3</v>
      </c>
    </row>
    <row r="1185" spans="2:5" x14ac:dyDescent="0.25">
      <c r="B1185" s="12" t="str">
        <f ca="1">IFERROR(__xludf.DUMMYFUNCTION("""COMPUTED_VALUE"""),"Tuck Tucker")</f>
        <v>Tuck Tucker</v>
      </c>
      <c r="C1185" s="12">
        <v>5.9</v>
      </c>
      <c r="D1185" s="12">
        <v>0.27100000000000002</v>
      </c>
      <c r="E1185" s="12">
        <v>1</v>
      </c>
    </row>
    <row r="1186" spans="2:5" x14ac:dyDescent="0.25">
      <c r="B1186" s="11" t="str">
        <f ca="1">IFERROR(__xludf.DUMMYFUNCTION("""COMPUTED_VALUE"""),"Theodore Witcher")</f>
        <v>Theodore Witcher</v>
      </c>
      <c r="C1186" s="11">
        <v>7.4</v>
      </c>
      <c r="D1186" s="11">
        <v>0.875</v>
      </c>
      <c r="E1186" s="11">
        <v>1</v>
      </c>
    </row>
    <row r="1187" spans="2:5" x14ac:dyDescent="0.25">
      <c r="B1187" s="12" t="str">
        <f ca="1">IFERROR(__xludf.DUMMYFUNCTION("""COMPUTED_VALUE"""),"Joel Edgerton")</f>
        <v>Joel Edgerton</v>
      </c>
      <c r="C1187" s="12">
        <v>7.1</v>
      </c>
      <c r="D1187" s="12">
        <v>0.77200000000000002</v>
      </c>
      <c r="E1187" s="12">
        <v>1</v>
      </c>
    </row>
    <row r="1188" spans="2:5" x14ac:dyDescent="0.25">
      <c r="B1188" s="11" t="str">
        <f ca="1">IFERROR(__xludf.DUMMYFUNCTION("""COMPUTED_VALUE"""),"Jim Hanon")</f>
        <v>Jim Hanon</v>
      </c>
      <c r="C1188" s="11">
        <v>7</v>
      </c>
      <c r="D1188" s="11">
        <v>0.72299999999999998</v>
      </c>
      <c r="E1188" s="11">
        <v>1</v>
      </c>
    </row>
    <row r="1189" spans="2:5" x14ac:dyDescent="0.25">
      <c r="B1189" s="12" t="str">
        <f ca="1">IFERROR(__xludf.DUMMYFUNCTION("""COMPUTED_VALUE"""),"Michael Patrick Jann")</f>
        <v>Michael Patrick Jann</v>
      </c>
      <c r="C1189" s="12">
        <v>6.5</v>
      </c>
      <c r="D1189" s="12">
        <v>0.504</v>
      </c>
      <c r="E1189" s="12">
        <v>1</v>
      </c>
    </row>
    <row r="1190" spans="2:5" x14ac:dyDescent="0.25">
      <c r="B1190" s="11" t="str">
        <f ca="1">IFERROR(__xludf.DUMMYFUNCTION("""COMPUTED_VALUE"""),"Jorma Taccone")</f>
        <v>Jorma Taccone</v>
      </c>
      <c r="C1190" s="11">
        <v>5.5</v>
      </c>
      <c r="D1190" s="11">
        <v>0.17699999999999999</v>
      </c>
      <c r="E1190" s="11">
        <v>1</v>
      </c>
    </row>
    <row r="1191" spans="2:5" x14ac:dyDescent="0.25">
      <c r="B1191" s="12" t="str">
        <f ca="1">IFERROR(__xludf.DUMMYFUNCTION("""COMPUTED_VALUE"""),"Jeff Lowell")</f>
        <v>Jeff Lowell</v>
      </c>
      <c r="C1191" s="12">
        <v>5.2</v>
      </c>
      <c r="D1191" s="12">
        <v>0.113</v>
      </c>
      <c r="E1191" s="12">
        <v>1</v>
      </c>
    </row>
    <row r="1192" spans="2:5" x14ac:dyDescent="0.25">
      <c r="B1192" s="11" t="str">
        <f ca="1">IFERROR(__xludf.DUMMYFUNCTION("""COMPUTED_VALUE"""),"Lorene Scafaria")</f>
        <v>Lorene Scafaria</v>
      </c>
      <c r="C1192" s="11">
        <v>6.7</v>
      </c>
      <c r="D1192" s="11">
        <v>0.6</v>
      </c>
      <c r="E1192" s="11">
        <v>1</v>
      </c>
    </row>
    <row r="1193" spans="2:5" x14ac:dyDescent="0.25">
      <c r="B1193" s="12" t="str">
        <f ca="1">IFERROR(__xludf.DUMMYFUNCTION("""COMPUTED_VALUE"""),"Tony Kaye")</f>
        <v>Tony Kaye</v>
      </c>
      <c r="C1193" s="12">
        <v>8.6</v>
      </c>
      <c r="D1193" s="12">
        <v>0.998</v>
      </c>
      <c r="E1193" s="12">
        <v>1</v>
      </c>
    </row>
    <row r="1194" spans="2:5" x14ac:dyDescent="0.25">
      <c r="B1194" s="11" t="str">
        <f ca="1">IFERROR(__xludf.DUMMYFUNCTION("""COMPUTED_VALUE"""),"Marcus Dunstan")</f>
        <v>Marcus Dunstan</v>
      </c>
      <c r="C1194" s="11">
        <v>6.1</v>
      </c>
      <c r="D1194" s="11">
        <v>0.35099999999999998</v>
      </c>
      <c r="E1194" s="11">
        <v>1</v>
      </c>
    </row>
    <row r="1195" spans="2:5" x14ac:dyDescent="0.25">
      <c r="B1195" s="12" t="str">
        <f ca="1">IFERROR(__xludf.DUMMYFUNCTION("""COMPUTED_VALUE"""),"Timothy Björklund")</f>
        <v>Timothy Björklund</v>
      </c>
      <c r="C1195" s="12">
        <v>5.8</v>
      </c>
      <c r="D1195" s="12">
        <v>0.251</v>
      </c>
      <c r="E1195" s="12">
        <v>1</v>
      </c>
    </row>
    <row r="1196" spans="2:5" x14ac:dyDescent="0.25">
      <c r="B1196" s="11" t="str">
        <f ca="1">IFERROR(__xludf.DUMMYFUNCTION("""COMPUTED_VALUE"""),"François Girard")</f>
        <v>François Girard</v>
      </c>
      <c r="C1196" s="11">
        <v>7.7</v>
      </c>
      <c r="D1196" s="11">
        <v>0.94</v>
      </c>
      <c r="E1196" s="11">
        <v>1</v>
      </c>
    </row>
    <row r="1197" spans="2:5" x14ac:dyDescent="0.25">
      <c r="B1197" s="12" t="str">
        <f ca="1">IFERROR(__xludf.DUMMYFUNCTION("""COMPUTED_VALUE"""),"Scott Kalvert")</f>
        <v>Scott Kalvert</v>
      </c>
      <c r="C1197" s="12">
        <v>5.6</v>
      </c>
      <c r="D1197" s="12">
        <v>0.19700000000000001</v>
      </c>
      <c r="E1197" s="12">
        <v>1</v>
      </c>
    </row>
    <row r="1198" spans="2:5" x14ac:dyDescent="0.25">
      <c r="B1198" s="11" t="str">
        <f ca="1">IFERROR(__xludf.DUMMYFUNCTION("""COMPUTED_VALUE"""),"Jason Bateman")</f>
        <v>Jason Bateman</v>
      </c>
      <c r="C1198" s="11">
        <v>6.7</v>
      </c>
      <c r="D1198" s="11">
        <v>0.6</v>
      </c>
      <c r="E1198" s="11">
        <v>1</v>
      </c>
    </row>
    <row r="1199" spans="2:5" x14ac:dyDescent="0.25">
      <c r="B1199" s="12" t="str">
        <f ca="1">IFERROR(__xludf.DUMMYFUNCTION("""COMPUTED_VALUE"""),"Eric Bross")</f>
        <v>Eric Bross</v>
      </c>
      <c r="C1199" s="12">
        <v>4.0999999999999996</v>
      </c>
      <c r="D1199" s="12">
        <v>3.5000000000000003E-2</v>
      </c>
      <c r="E1199" s="12">
        <v>1</v>
      </c>
    </row>
    <row r="1200" spans="2:5" x14ac:dyDescent="0.25">
      <c r="B1200" s="11" t="str">
        <f ca="1">IFERROR(__xludf.DUMMYFUNCTION("""COMPUTED_VALUE"""),"Dan Fogelman")</f>
        <v>Dan Fogelman</v>
      </c>
      <c r="C1200" s="11">
        <v>7.1</v>
      </c>
      <c r="D1200" s="11">
        <v>0.77200000000000002</v>
      </c>
      <c r="E1200" s="11">
        <v>1</v>
      </c>
    </row>
    <row r="1201" spans="2:5" x14ac:dyDescent="0.25">
      <c r="B1201" s="12" t="str">
        <f ca="1">IFERROR(__xludf.DUMMYFUNCTION("""COMPUTED_VALUE"""),"Jay Duplass")</f>
        <v>Jay Duplass</v>
      </c>
      <c r="C1201" s="12">
        <v>6.4666666666666659</v>
      </c>
      <c r="D1201" s="12">
        <v>0.501</v>
      </c>
      <c r="E1201" s="12">
        <v>3</v>
      </c>
    </row>
    <row r="1202" spans="2:5" x14ac:dyDescent="0.25">
      <c r="B1202" s="11" t="str">
        <f ca="1">IFERROR(__xludf.DUMMYFUNCTION("""COMPUTED_VALUE"""),"Luca Guadagnino")</f>
        <v>Luca Guadagnino</v>
      </c>
      <c r="C1202" s="11">
        <v>7</v>
      </c>
      <c r="D1202" s="11">
        <v>0.72299999999999998</v>
      </c>
      <c r="E1202" s="11">
        <v>1</v>
      </c>
    </row>
    <row r="1203" spans="2:5" x14ac:dyDescent="0.25">
      <c r="B1203" s="12" t="str">
        <f ca="1">IFERROR(__xludf.DUMMYFUNCTION("""COMPUTED_VALUE"""),"John Putch")</f>
        <v>John Putch</v>
      </c>
      <c r="C1203" s="12">
        <v>5.5</v>
      </c>
      <c r="D1203" s="12">
        <v>0.17699999999999999</v>
      </c>
      <c r="E1203" s="12">
        <v>1</v>
      </c>
    </row>
    <row r="1204" spans="2:5" x14ac:dyDescent="0.25">
      <c r="B1204" s="11" t="str">
        <f ca="1">IFERROR(__xludf.DUMMYFUNCTION("""COMPUTED_VALUE"""),"Peter Medak")</f>
        <v>Peter Medak</v>
      </c>
      <c r="C1204" s="11">
        <v>6.6</v>
      </c>
      <c r="D1204" s="11">
        <v>0.55300000000000005</v>
      </c>
      <c r="E1204" s="11">
        <v>1</v>
      </c>
    </row>
    <row r="1205" spans="2:5" x14ac:dyDescent="0.25">
      <c r="B1205" s="12" t="str">
        <f ca="1">IFERROR(__xludf.DUMMYFUNCTION("""COMPUTED_VALUE"""),"Terence Davies")</f>
        <v>Terence Davies</v>
      </c>
      <c r="C1205" s="12">
        <v>7.1</v>
      </c>
      <c r="D1205" s="12">
        <v>0.77200000000000002</v>
      </c>
      <c r="E1205" s="12">
        <v>1</v>
      </c>
    </row>
    <row r="1206" spans="2:5" x14ac:dyDescent="0.25">
      <c r="B1206" s="11" t="str">
        <f ca="1">IFERROR(__xludf.DUMMYFUNCTION("""COMPUTED_VALUE"""),"Harley Cokeliss")</f>
        <v>Harley Cokeliss</v>
      </c>
      <c r="C1206" s="11">
        <v>5.6</v>
      </c>
      <c r="D1206" s="11">
        <v>0.19700000000000001</v>
      </c>
      <c r="E1206" s="11">
        <v>1</v>
      </c>
    </row>
    <row r="1207" spans="2:5" x14ac:dyDescent="0.25">
      <c r="B1207" s="12" t="str">
        <f ca="1">IFERROR(__xludf.DUMMYFUNCTION("""COMPUTED_VALUE"""),"Tom Brady")</f>
        <v>Tom Brady</v>
      </c>
      <c r="C1207" s="12">
        <v>3.3</v>
      </c>
      <c r="D1207" s="12">
        <v>0.01</v>
      </c>
      <c r="E1207" s="12">
        <v>1</v>
      </c>
    </row>
    <row r="1208" spans="2:5" x14ac:dyDescent="0.25">
      <c r="B1208" s="11" t="str">
        <f ca="1">IFERROR(__xludf.DUMMYFUNCTION("""COMPUTED_VALUE"""),"Jason Zada")</f>
        <v>Jason Zada</v>
      </c>
      <c r="C1208" s="11">
        <v>4.8</v>
      </c>
      <c r="D1208" s="11">
        <v>7.3999999999999996E-2</v>
      </c>
      <c r="E1208" s="11">
        <v>1</v>
      </c>
    </row>
    <row r="1209" spans="2:5" x14ac:dyDescent="0.25">
      <c r="B1209" s="12" t="str">
        <f ca="1">IFERROR(__xludf.DUMMYFUNCTION("""COMPUTED_VALUE"""),"Franklin J. Schaffner")</f>
        <v>Franklin J. Schaffner</v>
      </c>
      <c r="C1209" s="12">
        <v>5.2</v>
      </c>
      <c r="D1209" s="12">
        <v>0.113</v>
      </c>
      <c r="E1209" s="12">
        <v>1</v>
      </c>
    </row>
    <row r="1210" spans="2:5" x14ac:dyDescent="0.25">
      <c r="B1210" s="11" t="str">
        <f ca="1">IFERROR(__xludf.DUMMYFUNCTION("""COMPUTED_VALUE"""),"Noah Baumbach")</f>
        <v>Noah Baumbach</v>
      </c>
      <c r="C1210" s="11">
        <v>6.85</v>
      </c>
      <c r="D1210" s="11">
        <v>0.66800000000000004</v>
      </c>
      <c r="E1210" s="11">
        <v>2</v>
      </c>
    </row>
    <row r="1211" spans="2:5" x14ac:dyDescent="0.25">
      <c r="B1211" s="12" t="str">
        <f ca="1">IFERROR(__xludf.DUMMYFUNCTION("""COMPUTED_VALUE"""),"Eric Blakeney")</f>
        <v>Eric Blakeney</v>
      </c>
      <c r="C1211" s="12">
        <v>5.7</v>
      </c>
      <c r="D1211" s="12">
        <v>0.23100000000000001</v>
      </c>
      <c r="E1211" s="12">
        <v>1</v>
      </c>
    </row>
    <row r="1212" spans="2:5" x14ac:dyDescent="0.25">
      <c r="B1212" s="11" t="str">
        <f ca="1">IFERROR(__xludf.DUMMYFUNCTION("""COMPUTED_VALUE"""),"Derrick Borte")</f>
        <v>Derrick Borte</v>
      </c>
      <c r="C1212" s="11">
        <v>6.5</v>
      </c>
      <c r="D1212" s="11">
        <v>0.504</v>
      </c>
      <c r="E1212" s="11">
        <v>1</v>
      </c>
    </row>
    <row r="1213" spans="2:5" x14ac:dyDescent="0.25">
      <c r="B1213" s="12" t="str">
        <f ca="1">IFERROR(__xludf.DUMMYFUNCTION("""COMPUTED_VALUE"""),"Richard Kwietniowski")</f>
        <v>Richard Kwietniowski</v>
      </c>
      <c r="C1213" s="12">
        <v>7.2</v>
      </c>
      <c r="D1213" s="12">
        <v>0.81200000000000006</v>
      </c>
      <c r="E1213" s="12">
        <v>1</v>
      </c>
    </row>
    <row r="1214" spans="2:5" x14ac:dyDescent="0.25">
      <c r="B1214" s="11" t="str">
        <f ca="1">IFERROR(__xludf.DUMMYFUNCTION("""COMPUTED_VALUE"""),"Bob Odenkirk")</f>
        <v>Bob Odenkirk</v>
      </c>
      <c r="C1214" s="11">
        <v>5.3</v>
      </c>
      <c r="D1214" s="11">
        <v>0.13</v>
      </c>
      <c r="E1214" s="11">
        <v>1</v>
      </c>
    </row>
    <row r="1215" spans="2:5" x14ac:dyDescent="0.25">
      <c r="B1215" s="12" t="str">
        <f ca="1">IFERROR(__xludf.DUMMYFUNCTION("""COMPUTED_VALUE"""),"Joshua Seftel")</f>
        <v>Joshua Seftel</v>
      </c>
      <c r="C1215" s="12">
        <v>5.7</v>
      </c>
      <c r="D1215" s="12">
        <v>0.23100000000000001</v>
      </c>
      <c r="E1215" s="12">
        <v>1</v>
      </c>
    </row>
    <row r="1216" spans="2:5" x14ac:dyDescent="0.25">
      <c r="B1216" s="11" t="str">
        <f ca="1">IFERROR(__xludf.DUMMYFUNCTION("""COMPUTED_VALUE"""),"Vincent Gallo")</f>
        <v>Vincent Gallo</v>
      </c>
      <c r="C1216" s="11">
        <v>6.25</v>
      </c>
      <c r="D1216" s="11">
        <v>0.41799999999999998</v>
      </c>
      <c r="E1216" s="11">
        <v>2</v>
      </c>
    </row>
    <row r="1217" spans="2:5" x14ac:dyDescent="0.25">
      <c r="B1217" s="12" t="str">
        <f ca="1">IFERROR(__xludf.DUMMYFUNCTION("""COMPUTED_VALUE"""),"Claude Chabrol")</f>
        <v>Claude Chabrol</v>
      </c>
      <c r="C1217" s="12">
        <v>6.6</v>
      </c>
      <c r="D1217" s="12">
        <v>0.55300000000000005</v>
      </c>
      <c r="E1217" s="12">
        <v>1</v>
      </c>
    </row>
    <row r="1218" spans="2:5" x14ac:dyDescent="0.25">
      <c r="B1218" s="11" t="str">
        <f ca="1">IFERROR(__xludf.DUMMYFUNCTION("""COMPUTED_VALUE"""),"Jon Stewart")</f>
        <v>Jon Stewart</v>
      </c>
      <c r="C1218" s="11">
        <v>6.6</v>
      </c>
      <c r="D1218" s="11">
        <v>0.55300000000000005</v>
      </c>
      <c r="E1218" s="11">
        <v>1</v>
      </c>
    </row>
    <row r="1219" spans="2:5" x14ac:dyDescent="0.25">
      <c r="B1219" s="12" t="str">
        <f ca="1">IFERROR(__xludf.DUMMYFUNCTION("""COMPUTED_VALUE"""),"Dan Harris")</f>
        <v>Dan Harris</v>
      </c>
      <c r="C1219" s="12">
        <v>7.3</v>
      </c>
      <c r="D1219" s="12">
        <v>0.84899999999999998</v>
      </c>
      <c r="E1219" s="12">
        <v>1</v>
      </c>
    </row>
    <row r="1220" spans="2:5" x14ac:dyDescent="0.25">
      <c r="B1220" s="11" t="str">
        <f ca="1">IFERROR(__xludf.DUMMYFUNCTION("""COMPUTED_VALUE"""),"Mel Smith")</f>
        <v>Mel Smith</v>
      </c>
      <c r="C1220" s="11">
        <v>6.2</v>
      </c>
      <c r="D1220" s="11">
        <v>0.39100000000000001</v>
      </c>
      <c r="E1220" s="11">
        <v>1</v>
      </c>
    </row>
    <row r="1221" spans="2:5" x14ac:dyDescent="0.25">
      <c r="B1221" s="12" t="str">
        <f ca="1">IFERROR(__xludf.DUMMYFUNCTION("""COMPUTED_VALUE"""),"Christopher Smith")</f>
        <v>Christopher Smith</v>
      </c>
      <c r="C1221" s="12">
        <v>6.6</v>
      </c>
      <c r="D1221" s="12">
        <v>0.55300000000000005</v>
      </c>
      <c r="E1221" s="12">
        <v>1</v>
      </c>
    </row>
    <row r="1222" spans="2:5" x14ac:dyDescent="0.25">
      <c r="B1222" s="11" t="str">
        <f ca="1">IFERROR(__xludf.DUMMYFUNCTION("""COMPUTED_VALUE"""),"Alan Metter")</f>
        <v>Alan Metter</v>
      </c>
      <c r="C1222" s="11">
        <v>3.3</v>
      </c>
      <c r="D1222" s="11">
        <v>0.01</v>
      </c>
      <c r="E1222" s="11">
        <v>1</v>
      </c>
    </row>
    <row r="1223" spans="2:5" x14ac:dyDescent="0.25">
      <c r="B1223" s="12" t="str">
        <f ca="1">IFERROR(__xludf.DUMMYFUNCTION("""COMPUTED_VALUE"""),"Rafa Lara")</f>
        <v>Rafa Lara</v>
      </c>
      <c r="C1223" s="12">
        <v>6.2</v>
      </c>
      <c r="D1223" s="12">
        <v>0.39100000000000001</v>
      </c>
      <c r="E1223" s="12">
        <v>1</v>
      </c>
    </row>
    <row r="1224" spans="2:5" x14ac:dyDescent="0.25">
      <c r="B1224" s="11" t="str">
        <f ca="1">IFERROR(__xludf.DUMMYFUNCTION("""COMPUTED_VALUE"""),"Arthur Hiller")</f>
        <v>Arthur Hiller</v>
      </c>
      <c r="C1224" s="11">
        <v>3.5</v>
      </c>
      <c r="D1224" s="11">
        <v>1.7000000000000001E-2</v>
      </c>
      <c r="E1224" s="11">
        <v>1</v>
      </c>
    </row>
    <row r="1225" spans="2:5" x14ac:dyDescent="0.25">
      <c r="B1225" s="12" t="str">
        <f ca="1">IFERROR(__xludf.DUMMYFUNCTION("""COMPUTED_VALUE"""),"Michael Meredith")</f>
        <v>Michael Meredith</v>
      </c>
      <c r="C1225" s="12">
        <v>5.5</v>
      </c>
      <c r="D1225" s="12">
        <v>0.17699999999999999</v>
      </c>
      <c r="E1225" s="12">
        <v>1</v>
      </c>
    </row>
    <row r="1226" spans="2:5" x14ac:dyDescent="0.25">
      <c r="B1226" s="11" t="str">
        <f ca="1">IFERROR(__xludf.DUMMYFUNCTION("""COMPUTED_VALUE"""),"Julio DePietro")</f>
        <v>Julio DePietro</v>
      </c>
      <c r="C1226" s="11">
        <v>5.9</v>
      </c>
      <c r="D1226" s="11">
        <v>0.27100000000000002</v>
      </c>
      <c r="E1226" s="11">
        <v>1</v>
      </c>
    </row>
    <row r="1227" spans="2:5" x14ac:dyDescent="0.25">
      <c r="B1227" s="12" t="str">
        <f ca="1">IFERROR(__xludf.DUMMYFUNCTION("""COMPUTED_VALUE"""),"Katherine Dieckmann")</f>
        <v>Katherine Dieckmann</v>
      </c>
      <c r="C1227" s="12">
        <v>4.7</v>
      </c>
      <c r="D1227" s="12">
        <v>6.6000000000000003E-2</v>
      </c>
      <c r="E1227" s="12">
        <v>1</v>
      </c>
    </row>
    <row r="1228" spans="2:5" x14ac:dyDescent="0.25">
      <c r="B1228" s="11" t="str">
        <f ca="1">IFERROR(__xludf.DUMMYFUNCTION("""COMPUTED_VALUE"""),"Scott Marshall")</f>
        <v>Scott Marshall</v>
      </c>
      <c r="C1228" s="11">
        <v>3.9</v>
      </c>
      <c r="D1228" s="11">
        <v>2.7E-2</v>
      </c>
      <c r="E1228" s="11">
        <v>1</v>
      </c>
    </row>
    <row r="1229" spans="2:5" x14ac:dyDescent="0.25">
      <c r="B1229" s="12" t="str">
        <f ca="1">IFERROR(__xludf.DUMMYFUNCTION("""COMPUTED_VALUE"""),"Álex de la Iglesia")</f>
        <v>Álex de la Iglesia</v>
      </c>
      <c r="C1229" s="12">
        <v>6.1</v>
      </c>
      <c r="D1229" s="12">
        <v>0.35099999999999998</v>
      </c>
      <c r="E1229" s="12">
        <v>1</v>
      </c>
    </row>
    <row r="1230" spans="2:5" x14ac:dyDescent="0.25">
      <c r="B1230" s="11" t="str">
        <f ca="1">IFERROR(__xludf.DUMMYFUNCTION("""COMPUTED_VALUE"""),"Michael Clancy")</f>
        <v>Michael Clancy</v>
      </c>
      <c r="C1230" s="11">
        <v>6.7</v>
      </c>
      <c r="D1230" s="11">
        <v>0.6</v>
      </c>
      <c r="E1230" s="11">
        <v>1</v>
      </c>
    </row>
    <row r="1231" spans="2:5" x14ac:dyDescent="0.25">
      <c r="B1231" s="12" t="str">
        <f ca="1">IFERROR(__xludf.DUMMYFUNCTION("""COMPUTED_VALUE"""),"Benedikt Erlingsson")</f>
        <v>Benedikt Erlingsson</v>
      </c>
      <c r="C1231" s="12">
        <v>6.9</v>
      </c>
      <c r="D1231" s="12">
        <v>0.68200000000000005</v>
      </c>
      <c r="E1231" s="12">
        <v>1</v>
      </c>
    </row>
    <row r="1232" spans="2:5" x14ac:dyDescent="0.25">
      <c r="B1232" s="11" t="str">
        <f ca="1">IFERROR(__xludf.DUMMYFUNCTION("""COMPUTED_VALUE"""),"Andy Garcia")</f>
        <v>Andy Garcia</v>
      </c>
      <c r="C1232" s="11">
        <v>6.7</v>
      </c>
      <c r="D1232" s="11">
        <v>0.6</v>
      </c>
      <c r="E1232" s="11">
        <v>1</v>
      </c>
    </row>
    <row r="1233" spans="2:5" x14ac:dyDescent="0.25">
      <c r="B1233" s="12" t="str">
        <f ca="1">IFERROR(__xludf.DUMMYFUNCTION("""COMPUTED_VALUE"""),"Gary Sherman")</f>
        <v>Gary Sherman</v>
      </c>
      <c r="C1233" s="12">
        <v>4.5</v>
      </c>
      <c r="D1233" s="12">
        <v>5.5E-2</v>
      </c>
      <c r="E1233" s="12">
        <v>1</v>
      </c>
    </row>
    <row r="1234" spans="2:5" x14ac:dyDescent="0.25">
      <c r="B1234" s="11" t="str">
        <f ca="1">IFERROR(__xludf.DUMMYFUNCTION("""COMPUTED_VALUE"""),"Stanley Kramer")</f>
        <v>Stanley Kramer</v>
      </c>
      <c r="C1234" s="11">
        <v>7.6</v>
      </c>
      <c r="D1234" s="11">
        <v>0.91500000000000004</v>
      </c>
      <c r="E1234" s="11">
        <v>1</v>
      </c>
    </row>
    <row r="1235" spans="2:5" x14ac:dyDescent="0.25">
      <c r="B1235" s="12" t="str">
        <f ca="1">IFERROR(__xludf.DUMMYFUNCTION("""COMPUTED_VALUE"""),"Anurag Basu")</f>
        <v>Anurag Basu</v>
      </c>
      <c r="C1235" s="12">
        <v>6</v>
      </c>
      <c r="D1235" s="12">
        <v>0.312</v>
      </c>
      <c r="E1235" s="12">
        <v>1</v>
      </c>
    </row>
    <row r="1236" spans="2:5" x14ac:dyDescent="0.25">
      <c r="B1236" s="11" t="str">
        <f ca="1">IFERROR(__xludf.DUMMYFUNCTION("""COMPUTED_VALUE"""),"Yash Chopra")</f>
        <v>Yash Chopra</v>
      </c>
      <c r="C1236" s="11">
        <v>7.4</v>
      </c>
      <c r="D1236" s="11">
        <v>0.875</v>
      </c>
      <c r="E1236" s="11">
        <v>2</v>
      </c>
    </row>
    <row r="1237" spans="2:5" x14ac:dyDescent="0.25">
      <c r="B1237" s="12" t="str">
        <f ca="1">IFERROR(__xludf.DUMMYFUNCTION("""COMPUTED_VALUE"""),"Floria Sigismondi")</f>
        <v>Floria Sigismondi</v>
      </c>
      <c r="C1237" s="12">
        <v>6.6</v>
      </c>
      <c r="D1237" s="12">
        <v>0.55300000000000005</v>
      </c>
      <c r="E1237" s="12">
        <v>1</v>
      </c>
    </row>
    <row r="1238" spans="2:5" x14ac:dyDescent="0.25">
      <c r="B1238" s="11" t="str">
        <f ca="1">IFERROR(__xludf.DUMMYFUNCTION("""COMPUTED_VALUE"""),"Terence Young")</f>
        <v>Terence Young</v>
      </c>
      <c r="C1238" s="11">
        <v>7.2666666666666666</v>
      </c>
      <c r="D1238" s="11">
        <v>0.84699999999999998</v>
      </c>
      <c r="E1238" s="11">
        <v>3</v>
      </c>
    </row>
    <row r="1239" spans="2:5" x14ac:dyDescent="0.25">
      <c r="B1239" s="12" t="str">
        <f ca="1">IFERROR(__xludf.DUMMYFUNCTION("""COMPUTED_VALUE"""),"Michael Moore")</f>
        <v>Michael Moore</v>
      </c>
      <c r="C1239" s="12">
        <v>7.75</v>
      </c>
      <c r="D1239" s="12">
        <v>0.95499999999999996</v>
      </c>
      <c r="E1239" s="12">
        <v>4</v>
      </c>
    </row>
    <row r="1240" spans="2:5" x14ac:dyDescent="0.25">
      <c r="B1240" s="11" t="str">
        <f ca="1">IFERROR(__xludf.DUMMYFUNCTION("""COMPUTED_VALUE"""),"Kris Isacsson")</f>
        <v>Kris Isacsson</v>
      </c>
      <c r="C1240" s="11">
        <v>4.9000000000000004</v>
      </c>
      <c r="D1240" s="11">
        <v>8.2000000000000003E-2</v>
      </c>
      <c r="E1240" s="11">
        <v>1</v>
      </c>
    </row>
    <row r="1241" spans="2:5" x14ac:dyDescent="0.25">
      <c r="B1241" s="12" t="str">
        <f ca="1">IFERROR(__xludf.DUMMYFUNCTION("""COMPUTED_VALUE"""),"Ben Younger")</f>
        <v>Ben Younger</v>
      </c>
      <c r="C1241" s="12">
        <v>7</v>
      </c>
      <c r="D1241" s="12">
        <v>0.72299999999999998</v>
      </c>
      <c r="E1241" s="12">
        <v>1</v>
      </c>
    </row>
    <row r="1242" spans="2:5" x14ac:dyDescent="0.25">
      <c r="B1242" s="11" t="str">
        <f ca="1">IFERROR(__xludf.DUMMYFUNCTION("""COMPUTED_VALUE"""),"Hart Bochner")</f>
        <v>Hart Bochner</v>
      </c>
      <c r="C1242" s="11">
        <v>6.5</v>
      </c>
      <c r="D1242" s="11">
        <v>0.504</v>
      </c>
      <c r="E1242" s="11">
        <v>1</v>
      </c>
    </row>
    <row r="1243" spans="2:5" x14ac:dyDescent="0.25">
      <c r="B1243" s="12" t="str">
        <f ca="1">IFERROR(__xludf.DUMMYFUNCTION("""COMPUTED_VALUE"""),"Chatrichalerm Yukol")</f>
        <v>Chatrichalerm Yukol</v>
      </c>
      <c r="C1243" s="12">
        <v>6.6</v>
      </c>
      <c r="D1243" s="12">
        <v>0.55300000000000005</v>
      </c>
      <c r="E1243" s="12">
        <v>1</v>
      </c>
    </row>
    <row r="1244" spans="2:5" x14ac:dyDescent="0.25">
      <c r="B1244" s="11" t="str">
        <f ca="1">IFERROR(__xludf.DUMMYFUNCTION("""COMPUTED_VALUE"""),"Dario Argento")</f>
        <v>Dario Argento</v>
      </c>
      <c r="C1244" s="11">
        <v>6.1</v>
      </c>
      <c r="D1244" s="11">
        <v>0.35099999999999998</v>
      </c>
      <c r="E1244" s="11">
        <v>1</v>
      </c>
    </row>
    <row r="1245" spans="2:5" x14ac:dyDescent="0.25">
      <c r="B1245" s="12" t="str">
        <f ca="1">IFERROR(__xludf.DUMMYFUNCTION("""COMPUTED_VALUE"""),"Marc Forby")</f>
        <v>Marc Forby</v>
      </c>
      <c r="C1245" s="12">
        <v>6.2</v>
      </c>
      <c r="D1245" s="12">
        <v>0.39100000000000001</v>
      </c>
      <c r="E1245" s="12">
        <v>1</v>
      </c>
    </row>
    <row r="1246" spans="2:5" x14ac:dyDescent="0.25">
      <c r="B1246" s="11" t="str">
        <f ca="1">IFERROR(__xludf.DUMMYFUNCTION("""COMPUTED_VALUE"""),"Ole Christian Madsen")</f>
        <v>Ole Christian Madsen</v>
      </c>
      <c r="C1246" s="11">
        <v>7.3</v>
      </c>
      <c r="D1246" s="11">
        <v>0.84899999999999998</v>
      </c>
      <c r="E1246" s="11">
        <v>1</v>
      </c>
    </row>
    <row r="1247" spans="2:5" x14ac:dyDescent="0.25">
      <c r="B1247" s="12" t="str">
        <f ca="1">IFERROR(__xludf.DUMMYFUNCTION("""COMPUTED_VALUE"""),"Meiert Avis")</f>
        <v>Meiert Avis</v>
      </c>
      <c r="C1247" s="12">
        <v>4.2</v>
      </c>
      <c r="D1247" s="12">
        <v>4.2999999999999997E-2</v>
      </c>
      <c r="E1247" s="12">
        <v>1</v>
      </c>
    </row>
    <row r="1248" spans="2:5" x14ac:dyDescent="0.25">
      <c r="B1248" s="11" t="str">
        <f ca="1">IFERROR(__xludf.DUMMYFUNCTION("""COMPUTED_VALUE"""),"Peter Faiman")</f>
        <v>Peter Faiman</v>
      </c>
      <c r="C1248" s="11">
        <v>6.5</v>
      </c>
      <c r="D1248" s="11">
        <v>0.504</v>
      </c>
      <c r="E1248" s="11">
        <v>1</v>
      </c>
    </row>
    <row r="1249" spans="2:5" x14ac:dyDescent="0.25">
      <c r="B1249" s="12" t="str">
        <f ca="1">IFERROR(__xludf.DUMMYFUNCTION("""COMPUTED_VALUE"""),"Joby Harold")</f>
        <v>Joby Harold</v>
      </c>
      <c r="C1249" s="12">
        <v>6.5</v>
      </c>
      <c r="D1249" s="12">
        <v>0.504</v>
      </c>
      <c r="E1249" s="12">
        <v>1</v>
      </c>
    </row>
    <row r="1250" spans="2:5" x14ac:dyDescent="0.25">
      <c r="B1250" s="11" t="str">
        <f ca="1">IFERROR(__xludf.DUMMYFUNCTION("""COMPUTED_VALUE"""),"Ekachai Uekrongtham")</f>
        <v>Ekachai Uekrongtham</v>
      </c>
      <c r="C1250" s="11">
        <v>5.7</v>
      </c>
      <c r="D1250" s="11">
        <v>0.23100000000000001</v>
      </c>
      <c r="E1250" s="11">
        <v>1</v>
      </c>
    </row>
    <row r="1251" spans="2:5" x14ac:dyDescent="0.25">
      <c r="B1251" s="12" t="str">
        <f ca="1">IFERROR(__xludf.DUMMYFUNCTION("""COMPUTED_VALUE"""),"Mark Rydell")</f>
        <v>Mark Rydell</v>
      </c>
      <c r="C1251" s="12">
        <v>6.9</v>
      </c>
      <c r="D1251" s="12">
        <v>0.68200000000000005</v>
      </c>
      <c r="E1251" s="12">
        <v>1</v>
      </c>
    </row>
    <row r="1252" spans="2:5" x14ac:dyDescent="0.25">
      <c r="B1252" s="11" t="str">
        <f ca="1">IFERROR(__xludf.DUMMYFUNCTION("""COMPUTED_VALUE"""),"David E. Talbert")</f>
        <v>David E. Talbert</v>
      </c>
      <c r="C1252" s="11">
        <v>5</v>
      </c>
      <c r="D1252" s="11">
        <v>8.6999999999999994E-2</v>
      </c>
      <c r="E1252" s="11">
        <v>1</v>
      </c>
    </row>
    <row r="1253" spans="2:5" x14ac:dyDescent="0.25">
      <c r="B1253" s="12" t="str">
        <f ca="1">IFERROR(__xludf.DUMMYFUNCTION("""COMPUTED_VALUE"""),"Ari Sandel")</f>
        <v>Ari Sandel</v>
      </c>
      <c r="C1253" s="12">
        <v>6.5</v>
      </c>
      <c r="D1253" s="12">
        <v>0.504</v>
      </c>
      <c r="E1253" s="12">
        <v>1</v>
      </c>
    </row>
    <row r="1254" spans="2:5" x14ac:dyDescent="0.25">
      <c r="B1254" s="11" t="str">
        <f ca="1">IFERROR(__xludf.DUMMYFUNCTION("""COMPUTED_VALUE"""),"Vondie Curtis-Hall")</f>
        <v>Vondie Curtis-Hall</v>
      </c>
      <c r="C1254" s="11">
        <v>2.1</v>
      </c>
      <c r="D1254" s="11">
        <v>0</v>
      </c>
      <c r="E1254" s="11">
        <v>1</v>
      </c>
    </row>
    <row r="1255" spans="2:5" x14ac:dyDescent="0.25">
      <c r="B1255" s="12" t="str">
        <f ca="1">IFERROR(__xludf.DUMMYFUNCTION("""COMPUTED_VALUE"""),"John Sayles")</f>
        <v>John Sayles</v>
      </c>
      <c r="C1255" s="12">
        <v>6.8500000000000005</v>
      </c>
      <c r="D1255" s="12">
        <v>0.67600000000000005</v>
      </c>
      <c r="E1255" s="12">
        <v>4</v>
      </c>
    </row>
    <row r="1256" spans="2:5" x14ac:dyDescent="0.25">
      <c r="B1256" s="11" t="str">
        <f ca="1">IFERROR(__xludf.DUMMYFUNCTION("""COMPUTED_VALUE"""),"Dan Gilroy")</f>
        <v>Dan Gilroy</v>
      </c>
      <c r="C1256" s="11">
        <v>7.9</v>
      </c>
      <c r="D1256" s="11">
        <v>0.97</v>
      </c>
      <c r="E1256" s="11">
        <v>1</v>
      </c>
    </row>
    <row r="1257" spans="2:5" x14ac:dyDescent="0.25">
      <c r="B1257" s="12" t="str">
        <f ca="1">IFERROR(__xludf.DUMMYFUNCTION("""COMPUTED_VALUE"""),"Jonathan Dayton")</f>
        <v>Jonathan Dayton</v>
      </c>
      <c r="C1257" s="12">
        <v>7.9</v>
      </c>
      <c r="D1257" s="12">
        <v>0.97</v>
      </c>
      <c r="E1257" s="12">
        <v>1</v>
      </c>
    </row>
    <row r="1258" spans="2:5" x14ac:dyDescent="0.25">
      <c r="B1258" s="11" t="str">
        <f ca="1">IFERROR(__xludf.DUMMYFUNCTION("""COMPUTED_VALUE"""),"Chris Stokes")</f>
        <v>Chris Stokes</v>
      </c>
      <c r="C1258" s="11">
        <v>3.5</v>
      </c>
      <c r="D1258" s="11">
        <v>1.7000000000000001E-2</v>
      </c>
      <c r="E1258" s="11">
        <v>1</v>
      </c>
    </row>
    <row r="1259" spans="2:5" x14ac:dyDescent="0.25">
      <c r="B1259" s="12" t="str">
        <f ca="1">IFERROR(__xludf.DUMMYFUNCTION("""COMPUTED_VALUE"""),"Don Siegel")</f>
        <v>Don Siegel</v>
      </c>
      <c r="C1259" s="12">
        <v>7.6</v>
      </c>
      <c r="D1259" s="12">
        <v>0.91500000000000004</v>
      </c>
      <c r="E1259" s="12">
        <v>1</v>
      </c>
    </row>
    <row r="1260" spans="2:5" x14ac:dyDescent="0.25">
      <c r="B1260" s="11" t="str">
        <f ca="1">IFERROR(__xludf.DUMMYFUNCTION("""COMPUTED_VALUE"""),"Martin Lawrence")</f>
        <v>Martin Lawrence</v>
      </c>
      <c r="C1260" s="11">
        <v>5.6</v>
      </c>
      <c r="D1260" s="11">
        <v>0.19700000000000001</v>
      </c>
      <c r="E1260" s="11">
        <v>1</v>
      </c>
    </row>
    <row r="1261" spans="2:5" x14ac:dyDescent="0.25">
      <c r="B1261" s="12" t="str">
        <f ca="1">IFERROR(__xludf.DUMMYFUNCTION("""COMPUTED_VALUE"""),"Masayuki Ochiai")</f>
        <v>Masayuki Ochiai</v>
      </c>
      <c r="C1261" s="12">
        <v>5.2</v>
      </c>
      <c r="D1261" s="12">
        <v>0.113</v>
      </c>
      <c r="E1261" s="12">
        <v>1</v>
      </c>
    </row>
    <row r="1262" spans="2:5" x14ac:dyDescent="0.25">
      <c r="B1262" s="11" t="str">
        <f ca="1">IFERROR(__xludf.DUMMYFUNCTION("""COMPUTED_VALUE"""),"Tom Gormican")</f>
        <v>Tom Gormican</v>
      </c>
      <c r="C1262" s="11">
        <v>6.1</v>
      </c>
      <c r="D1262" s="11">
        <v>0.35099999999999998</v>
      </c>
      <c r="E1262" s="11">
        <v>1</v>
      </c>
    </row>
    <row r="1263" spans="2:5" x14ac:dyDescent="0.25">
      <c r="B1263" s="12" t="str">
        <f ca="1">IFERROR(__xludf.DUMMYFUNCTION("""COMPUTED_VALUE"""),"Peter R. Hunt")</f>
        <v>Peter R. Hunt</v>
      </c>
      <c r="C1263" s="12">
        <v>6.8</v>
      </c>
      <c r="D1263" s="12">
        <v>0.63800000000000001</v>
      </c>
      <c r="E1263" s="12">
        <v>1</v>
      </c>
    </row>
    <row r="1264" spans="2:5" x14ac:dyDescent="0.25">
      <c r="B1264" s="11" t="str">
        <f ca="1">IFERROR(__xludf.DUMMYFUNCTION("""COMPUTED_VALUE"""),"Jonas Elmer")</f>
        <v>Jonas Elmer</v>
      </c>
      <c r="C1264" s="11">
        <v>5.6</v>
      </c>
      <c r="D1264" s="11">
        <v>0.19700000000000001</v>
      </c>
      <c r="E1264" s="11">
        <v>1</v>
      </c>
    </row>
    <row r="1265" spans="2:5" x14ac:dyDescent="0.25">
      <c r="B1265" s="12" t="str">
        <f ca="1">IFERROR(__xludf.DUMMYFUNCTION("""COMPUTED_VALUE"""),"Mary Harron")</f>
        <v>Mary Harron</v>
      </c>
      <c r="C1265" s="12">
        <v>7.6</v>
      </c>
      <c r="D1265" s="12">
        <v>0.91500000000000004</v>
      </c>
      <c r="E1265" s="12">
        <v>1</v>
      </c>
    </row>
    <row r="1266" spans="2:5" x14ac:dyDescent="0.25">
      <c r="B1266" s="11" t="str">
        <f ca="1">IFERROR(__xludf.DUMMYFUNCTION("""COMPUTED_VALUE"""),"Troy Duffy")</f>
        <v>Troy Duffy</v>
      </c>
      <c r="C1266" s="11">
        <v>6.3</v>
      </c>
      <c r="D1266" s="11">
        <v>0.42299999999999999</v>
      </c>
      <c r="E1266" s="11">
        <v>1</v>
      </c>
    </row>
    <row r="1267" spans="2:5" x14ac:dyDescent="0.25">
      <c r="B1267" s="12" t="str">
        <f ca="1">IFERROR(__xludf.DUMMYFUNCTION("""COMPUTED_VALUE"""),"Nicole Holofcener")</f>
        <v>Nicole Holofcener</v>
      </c>
      <c r="C1267" s="12">
        <v>6.6750000000000007</v>
      </c>
      <c r="D1267" s="12">
        <v>0.59699999999999998</v>
      </c>
      <c r="E1267" s="12">
        <v>4</v>
      </c>
    </row>
    <row r="1268" spans="2:5" x14ac:dyDescent="0.25">
      <c r="B1268" s="11" t="str">
        <f ca="1">IFERROR(__xludf.DUMMYFUNCTION("""COMPUTED_VALUE"""),"Fina Torres")</f>
        <v>Fina Torres</v>
      </c>
      <c r="C1268" s="11">
        <v>5.3</v>
      </c>
      <c r="D1268" s="11">
        <v>0.13</v>
      </c>
      <c r="E1268" s="11">
        <v>1</v>
      </c>
    </row>
    <row r="1269" spans="2:5" x14ac:dyDescent="0.25">
      <c r="B1269" s="12" t="str">
        <f ca="1">IFERROR(__xludf.DUMMYFUNCTION("""COMPUTED_VALUE"""),"Duke Johnson")</f>
        <v>Duke Johnson</v>
      </c>
      <c r="C1269" s="12">
        <v>7.3</v>
      </c>
      <c r="D1269" s="12">
        <v>0.84899999999999998</v>
      </c>
      <c r="E1269" s="12">
        <v>1</v>
      </c>
    </row>
    <row r="1270" spans="2:5" x14ac:dyDescent="0.25">
      <c r="B1270" s="11" t="str">
        <f ca="1">IFERROR(__xludf.DUMMYFUNCTION("""COMPUTED_VALUE"""),"François Ozon")</f>
        <v>François Ozon</v>
      </c>
      <c r="C1270" s="11">
        <v>7.1</v>
      </c>
      <c r="D1270" s="11">
        <v>0.77200000000000002</v>
      </c>
      <c r="E1270" s="11">
        <v>1</v>
      </c>
    </row>
    <row r="1271" spans="2:5" x14ac:dyDescent="0.25">
      <c r="B1271" s="12" t="str">
        <f ca="1">IFERROR(__xludf.DUMMYFUNCTION("""COMPUTED_VALUE"""),"Anna Boden")</f>
        <v>Anna Boden</v>
      </c>
      <c r="C1271" s="12">
        <v>7.2</v>
      </c>
      <c r="D1271" s="12">
        <v>0.81200000000000006</v>
      </c>
      <c r="E1271" s="12">
        <v>1</v>
      </c>
    </row>
    <row r="1272" spans="2:5" x14ac:dyDescent="0.25">
      <c r="B1272" s="11" t="str">
        <f ca="1">IFERROR(__xludf.DUMMYFUNCTION("""COMPUTED_VALUE"""),"Steve James")</f>
        <v>Steve James</v>
      </c>
      <c r="C1272" s="11">
        <v>7.5500000000000007</v>
      </c>
      <c r="D1272" s="11">
        <v>0.91200000000000003</v>
      </c>
      <c r="E1272" s="11">
        <v>2</v>
      </c>
    </row>
    <row r="1273" spans="2:5" x14ac:dyDescent="0.25">
      <c r="B1273" s="12" t="str">
        <f ca="1">IFERROR(__xludf.DUMMYFUNCTION("""COMPUTED_VALUE"""),"Tomm Moore")</f>
        <v>Tomm Moore</v>
      </c>
      <c r="C1273" s="12">
        <v>7.7</v>
      </c>
      <c r="D1273" s="12">
        <v>0.94</v>
      </c>
      <c r="E1273" s="12">
        <v>1</v>
      </c>
    </row>
    <row r="1274" spans="2:5" x14ac:dyDescent="0.25">
      <c r="B1274" s="11" t="str">
        <f ca="1">IFERROR(__xludf.DUMMYFUNCTION("""COMPUTED_VALUE"""),"John Carney")</f>
        <v>John Carney</v>
      </c>
      <c r="C1274" s="11">
        <v>7.65</v>
      </c>
      <c r="D1274" s="11">
        <v>0.93300000000000005</v>
      </c>
      <c r="E1274" s="11">
        <v>2</v>
      </c>
    </row>
    <row r="1275" spans="2:5" x14ac:dyDescent="0.25">
      <c r="B1275" s="12" t="str">
        <f ca="1">IFERROR(__xludf.DUMMYFUNCTION("""COMPUTED_VALUE"""),"David Jacobson")</f>
        <v>David Jacobson</v>
      </c>
      <c r="C1275" s="12">
        <v>6.5</v>
      </c>
      <c r="D1275" s="12">
        <v>0.504</v>
      </c>
      <c r="E1275" s="12">
        <v>1</v>
      </c>
    </row>
    <row r="1276" spans="2:5" x14ac:dyDescent="0.25">
      <c r="B1276" s="11" t="str">
        <f ca="1">IFERROR(__xludf.DUMMYFUNCTION("""COMPUTED_VALUE"""),"Michael Corrente")</f>
        <v>Michael Corrente</v>
      </c>
      <c r="C1276" s="11">
        <v>6.4</v>
      </c>
      <c r="D1276" s="11">
        <v>0.46400000000000002</v>
      </c>
      <c r="E1276" s="11">
        <v>2</v>
      </c>
    </row>
    <row r="1277" spans="2:5" x14ac:dyDescent="0.25">
      <c r="B1277" s="12" t="str">
        <f ca="1">IFERROR(__xludf.DUMMYFUNCTION("""COMPUTED_VALUE"""),"Keith Gordon")</f>
        <v>Keith Gordon</v>
      </c>
      <c r="C1277" s="12">
        <v>5.6</v>
      </c>
      <c r="D1277" s="12">
        <v>0.19700000000000001</v>
      </c>
      <c r="E1277" s="12">
        <v>1</v>
      </c>
    </row>
    <row r="1278" spans="2:5" x14ac:dyDescent="0.25">
      <c r="B1278" s="11" t="str">
        <f ca="1">IFERROR(__xludf.DUMMYFUNCTION("""COMPUTED_VALUE"""),"Andrew Currie")</f>
        <v>Andrew Currie</v>
      </c>
      <c r="C1278" s="11">
        <v>6.8</v>
      </c>
      <c r="D1278" s="11">
        <v>0.63800000000000001</v>
      </c>
      <c r="E1278" s="11">
        <v>1</v>
      </c>
    </row>
    <row r="1279" spans="2:5" x14ac:dyDescent="0.25">
      <c r="B1279" s="12" t="str">
        <f ca="1">IFERROR(__xludf.DUMMYFUNCTION("""COMPUTED_VALUE"""),"Andrew Wilson")</f>
        <v>Andrew Wilson</v>
      </c>
      <c r="C1279" s="12">
        <v>5.5</v>
      </c>
      <c r="D1279" s="12">
        <v>0.17699999999999999</v>
      </c>
      <c r="E1279" s="12">
        <v>1</v>
      </c>
    </row>
    <row r="1280" spans="2:5" x14ac:dyDescent="0.25">
      <c r="B1280" s="11" t="str">
        <f ca="1">IFERROR(__xludf.DUMMYFUNCTION("""COMPUTED_VALUE"""),"Marc Schölermann")</f>
        <v>Marc Schölermann</v>
      </c>
      <c r="C1280" s="11">
        <v>6</v>
      </c>
      <c r="D1280" s="11">
        <v>0.312</v>
      </c>
      <c r="E1280" s="11">
        <v>1</v>
      </c>
    </row>
    <row r="1281" spans="2:5" x14ac:dyDescent="0.25">
      <c r="B1281" s="12" t="str">
        <f ca="1">IFERROR(__xludf.DUMMYFUNCTION("""COMPUTED_VALUE"""),"Robert Moresco")</f>
        <v>Robert Moresco</v>
      </c>
      <c r="C1281" s="12">
        <v>6.4</v>
      </c>
      <c r="D1281" s="12">
        <v>0.46400000000000002</v>
      </c>
      <c r="E1281" s="12">
        <v>1</v>
      </c>
    </row>
    <row r="1282" spans="2:5" x14ac:dyDescent="0.25">
      <c r="B1282" s="11" t="str">
        <f ca="1">IFERROR(__xludf.DUMMYFUNCTION("""COMPUTED_VALUE"""),"Thomas Vinterberg")</f>
        <v>Thomas Vinterberg</v>
      </c>
      <c r="C1282" s="11">
        <v>7.666666666666667</v>
      </c>
      <c r="D1282" s="11">
        <v>0.93799999999999994</v>
      </c>
      <c r="E1282" s="11">
        <v>3</v>
      </c>
    </row>
    <row r="1283" spans="2:5" x14ac:dyDescent="0.25">
      <c r="B1283" s="12" t="str">
        <f ca="1">IFERROR(__xludf.DUMMYFUNCTION("""COMPUTED_VALUE"""),"Claudia Llosa")</f>
        <v>Claudia Llosa</v>
      </c>
      <c r="C1283" s="12">
        <v>5.3</v>
      </c>
      <c r="D1283" s="12">
        <v>0.13</v>
      </c>
      <c r="E1283" s="12">
        <v>1</v>
      </c>
    </row>
    <row r="1284" spans="2:5" x14ac:dyDescent="0.25">
      <c r="B1284" s="11" t="str">
        <f ca="1">IFERROR(__xludf.DUMMYFUNCTION("""COMPUTED_VALUE"""),"Ol Parker")</f>
        <v>Ol Parker</v>
      </c>
      <c r="C1284" s="11">
        <v>6.9</v>
      </c>
      <c r="D1284" s="11">
        <v>0.68200000000000005</v>
      </c>
      <c r="E1284" s="11">
        <v>1</v>
      </c>
    </row>
    <row r="1285" spans="2:5" x14ac:dyDescent="0.25">
      <c r="B1285" s="12" t="str">
        <f ca="1">IFERROR(__xludf.DUMMYFUNCTION("""COMPUTED_VALUE"""),"David Webb Peoples")</f>
        <v>David Webb Peoples</v>
      </c>
      <c r="C1285" s="12">
        <v>6.5</v>
      </c>
      <c r="D1285" s="12">
        <v>0.504</v>
      </c>
      <c r="E1285" s="12">
        <v>1</v>
      </c>
    </row>
    <row r="1286" spans="2:5" x14ac:dyDescent="0.25">
      <c r="B1286" s="11" t="str">
        <f ca="1">IFERROR(__xludf.DUMMYFUNCTION("""COMPUTED_VALUE"""),"Stanley Tong")</f>
        <v>Stanley Tong</v>
      </c>
      <c r="C1286" s="11">
        <v>6.7</v>
      </c>
      <c r="D1286" s="11">
        <v>0.6</v>
      </c>
      <c r="E1286" s="11">
        <v>1</v>
      </c>
    </row>
    <row r="1287" spans="2:5" x14ac:dyDescent="0.25">
      <c r="B1287" s="12" t="str">
        <f ca="1">IFERROR(__xludf.DUMMYFUNCTION("""COMPUTED_VALUE"""),"Eli Roth")</f>
        <v>Eli Roth</v>
      </c>
      <c r="C1287" s="12">
        <v>5.5666666666666673</v>
      </c>
      <c r="D1287" s="12">
        <v>0.19600000000000001</v>
      </c>
      <c r="E1287" s="12">
        <v>3</v>
      </c>
    </row>
    <row r="1288" spans="2:5" x14ac:dyDescent="0.25">
      <c r="B1288" s="11" t="str">
        <f ca="1">IFERROR(__xludf.DUMMYFUNCTION("""COMPUTED_VALUE"""),"Tony Richardson")</f>
        <v>Tony Richardson</v>
      </c>
      <c r="C1288" s="11">
        <v>6</v>
      </c>
      <c r="D1288" s="11">
        <v>0.312</v>
      </c>
      <c r="E1288" s="11">
        <v>1</v>
      </c>
    </row>
    <row r="1289" spans="2:5" x14ac:dyDescent="0.25">
      <c r="B1289" s="12" t="str">
        <f ca="1">IFERROR(__xludf.DUMMYFUNCTION("""COMPUTED_VALUE"""),"Paul Gross")</f>
        <v>Paul Gross</v>
      </c>
      <c r="C1289" s="12">
        <v>6</v>
      </c>
      <c r="D1289" s="12">
        <v>0.312</v>
      </c>
      <c r="E1289" s="12">
        <v>1</v>
      </c>
    </row>
    <row r="1290" spans="2:5" x14ac:dyDescent="0.25">
      <c r="B1290" s="11" t="str">
        <f ca="1">IFERROR(__xludf.DUMMYFUNCTION("""COMPUTED_VALUE"""),"Charles Robert Carner")</f>
        <v>Charles Robert Carner</v>
      </c>
      <c r="C1290" s="11">
        <v>3.1</v>
      </c>
      <c r="D1290" s="11">
        <v>8.0000000000000002E-3</v>
      </c>
      <c r="E1290" s="11">
        <v>1</v>
      </c>
    </row>
    <row r="1291" spans="2:5" x14ac:dyDescent="0.25">
      <c r="B1291" s="12" t="str">
        <f ca="1">IFERROR(__xludf.DUMMYFUNCTION("""COMPUTED_VALUE"""),"Russell Holt")</f>
        <v>Russell Holt</v>
      </c>
      <c r="C1291" s="12">
        <v>6.9</v>
      </c>
      <c r="D1291" s="12">
        <v>0.68200000000000005</v>
      </c>
      <c r="E1291" s="12">
        <v>1</v>
      </c>
    </row>
    <row r="1292" spans="2:5" x14ac:dyDescent="0.25">
      <c r="B1292" s="11" t="str">
        <f ca="1">IFERROR(__xludf.DUMMYFUNCTION("""COMPUTED_VALUE"""),"Claude Miller")</f>
        <v>Claude Miller</v>
      </c>
      <c r="C1292" s="11">
        <v>6.9</v>
      </c>
      <c r="D1292" s="11">
        <v>0.68200000000000005</v>
      </c>
      <c r="E1292" s="11">
        <v>1</v>
      </c>
    </row>
    <row r="1293" spans="2:5" x14ac:dyDescent="0.25">
      <c r="B1293" s="12" t="str">
        <f ca="1">IFERROR(__xludf.DUMMYFUNCTION("""COMPUTED_VALUE"""),"Rodrigo García")</f>
        <v>Rodrigo García</v>
      </c>
      <c r="C1293" s="12">
        <v>6.95</v>
      </c>
      <c r="D1293" s="12">
        <v>0.71599999999999997</v>
      </c>
      <c r="E1293" s="12">
        <v>2</v>
      </c>
    </row>
    <row r="1294" spans="2:5" x14ac:dyDescent="0.25">
      <c r="B1294" s="11" t="str">
        <f ca="1">IFERROR(__xludf.DUMMYFUNCTION("""COMPUTED_VALUE"""),"Siddharth Anand")</f>
        <v>Siddharth Anand</v>
      </c>
      <c r="C1294" s="11">
        <v>5.4</v>
      </c>
      <c r="D1294" s="11">
        <v>0.155</v>
      </c>
      <c r="E1294" s="11">
        <v>1</v>
      </c>
    </row>
    <row r="1295" spans="2:5" x14ac:dyDescent="0.25">
      <c r="B1295" s="12" t="str">
        <f ca="1">IFERROR(__xludf.DUMMYFUNCTION("""COMPUTED_VALUE"""),"Vincent Paronnaud")</f>
        <v>Vincent Paronnaud</v>
      </c>
      <c r="C1295" s="12">
        <v>8</v>
      </c>
      <c r="D1295" s="12">
        <v>0.97799999999999998</v>
      </c>
      <c r="E1295" s="12">
        <v>1</v>
      </c>
    </row>
    <row r="1296" spans="2:5" x14ac:dyDescent="0.25">
      <c r="B1296" s="11" t="str">
        <f ca="1">IFERROR(__xludf.DUMMYFUNCTION("""COMPUTED_VALUE"""),"Daniel Barber")</f>
        <v>Daniel Barber</v>
      </c>
      <c r="C1296" s="11">
        <v>7.2</v>
      </c>
      <c r="D1296" s="11">
        <v>0.81200000000000006</v>
      </c>
      <c r="E1296" s="11">
        <v>1</v>
      </c>
    </row>
    <row r="1297" spans="2:5" x14ac:dyDescent="0.25">
      <c r="B1297" s="12" t="str">
        <f ca="1">IFERROR(__xludf.DUMMYFUNCTION("""COMPUTED_VALUE"""),"Robert Marcarelli")</f>
        <v>Robert Marcarelli</v>
      </c>
      <c r="C1297" s="12">
        <v>3.5</v>
      </c>
      <c r="D1297" s="12">
        <v>1.7000000000000001E-2</v>
      </c>
      <c r="E1297" s="12">
        <v>1</v>
      </c>
    </row>
    <row r="1298" spans="2:5" x14ac:dyDescent="0.25">
      <c r="B1298" s="11" t="str">
        <f ca="1">IFERROR(__xludf.DUMMYFUNCTION("""COMPUTED_VALUE"""),"Guy Hamilton")</f>
        <v>Guy Hamilton</v>
      </c>
      <c r="C1298" s="11">
        <v>7.0250000000000004</v>
      </c>
      <c r="D1298" s="11">
        <v>0.76200000000000001</v>
      </c>
      <c r="E1298" s="11">
        <v>4</v>
      </c>
    </row>
    <row r="1299" spans="2:5" x14ac:dyDescent="0.25">
      <c r="B1299" s="12" t="str">
        <f ca="1">IFERROR(__xludf.DUMMYFUNCTION("""COMPUTED_VALUE"""),"Michael Anderson")</f>
        <v>Michael Anderson</v>
      </c>
      <c r="C1299" s="12">
        <v>6.8</v>
      </c>
      <c r="D1299" s="12">
        <v>0.63800000000000001</v>
      </c>
      <c r="E1299" s="12">
        <v>1</v>
      </c>
    </row>
    <row r="1300" spans="2:5" x14ac:dyDescent="0.25">
      <c r="B1300" s="11" t="str">
        <f ca="1">IFERROR(__xludf.DUMMYFUNCTION("""COMPUTED_VALUE"""),"Matt Bettinelli-Olpin")</f>
        <v>Matt Bettinelli-Olpin</v>
      </c>
      <c r="C1300" s="11">
        <v>4</v>
      </c>
      <c r="D1300" s="11">
        <v>3.1E-2</v>
      </c>
      <c r="E1300" s="11">
        <v>1</v>
      </c>
    </row>
    <row r="1301" spans="2:5" x14ac:dyDescent="0.25">
      <c r="B1301" s="12" t="str">
        <f ca="1">IFERROR(__xludf.DUMMYFUNCTION("""COMPUTED_VALUE"""),"Aaron Schneider")</f>
        <v>Aaron Schneider</v>
      </c>
      <c r="C1301" s="12">
        <v>7.1</v>
      </c>
      <c r="D1301" s="12">
        <v>0.77200000000000002</v>
      </c>
      <c r="E1301" s="12">
        <v>1</v>
      </c>
    </row>
    <row r="1302" spans="2:5" x14ac:dyDescent="0.25">
      <c r="B1302" s="11" t="str">
        <f ca="1">IFERROR(__xludf.DUMMYFUNCTION("""COMPUTED_VALUE"""),"Tom Ford")</f>
        <v>Tom Ford</v>
      </c>
      <c r="C1302" s="11">
        <v>7.6</v>
      </c>
      <c r="D1302" s="11">
        <v>0.91500000000000004</v>
      </c>
      <c r="E1302" s="11">
        <v>1</v>
      </c>
    </row>
    <row r="1303" spans="2:5" x14ac:dyDescent="0.25">
      <c r="B1303" s="12" t="str">
        <f ca="1">IFERROR(__xludf.DUMMYFUNCTION("""COMPUTED_VALUE"""),"Gurinder Chadha")</f>
        <v>Gurinder Chadha</v>
      </c>
      <c r="C1303" s="12">
        <v>6.45</v>
      </c>
      <c r="D1303" s="12">
        <v>0.496</v>
      </c>
      <c r="E1303" s="12">
        <v>2</v>
      </c>
    </row>
    <row r="1304" spans="2:5" x14ac:dyDescent="0.25">
      <c r="B1304" s="11" t="str">
        <f ca="1">IFERROR(__xludf.DUMMYFUNCTION("""COMPUTED_VALUE"""),"Tony Maylam")</f>
        <v>Tony Maylam</v>
      </c>
      <c r="C1304" s="11">
        <v>6.2</v>
      </c>
      <c r="D1304" s="11">
        <v>0.39100000000000001</v>
      </c>
      <c r="E1304" s="11">
        <v>1</v>
      </c>
    </row>
    <row r="1305" spans="2:5" x14ac:dyDescent="0.25">
      <c r="B1305" s="12" t="str">
        <f ca="1">IFERROR(__xludf.DUMMYFUNCTION("""COMPUTED_VALUE"""),"Mitch Davis")</f>
        <v>Mitch Davis</v>
      </c>
      <c r="C1305" s="12">
        <v>6.5</v>
      </c>
      <c r="D1305" s="12">
        <v>0.504</v>
      </c>
      <c r="E1305" s="12">
        <v>1</v>
      </c>
    </row>
    <row r="1306" spans="2:5" x14ac:dyDescent="0.25">
      <c r="B1306" s="11" t="str">
        <f ca="1">IFERROR(__xludf.DUMMYFUNCTION("""COMPUTED_VALUE"""),"Kevin Brodie")</f>
        <v>Kevin Brodie</v>
      </c>
      <c r="C1306" s="11">
        <v>6.3</v>
      </c>
      <c r="D1306" s="11">
        <v>0.42299999999999999</v>
      </c>
      <c r="E1306" s="11">
        <v>1</v>
      </c>
    </row>
    <row r="1307" spans="2:5" x14ac:dyDescent="0.25">
      <c r="B1307" s="12" t="str">
        <f ca="1">IFERROR(__xludf.DUMMYFUNCTION("""COMPUTED_VALUE"""),"Paul Schrader")</f>
        <v>Paul Schrader</v>
      </c>
      <c r="C1307" s="12">
        <v>5.7666666666666657</v>
      </c>
      <c r="D1307" s="12">
        <v>0.249</v>
      </c>
      <c r="E1307" s="12">
        <v>3</v>
      </c>
    </row>
    <row r="1308" spans="2:5" x14ac:dyDescent="0.25">
      <c r="B1308" s="11" t="str">
        <f ca="1">IFERROR(__xludf.DUMMYFUNCTION("""COMPUTED_VALUE"""),"Lynne Ramsay")</f>
        <v>Lynne Ramsay</v>
      </c>
      <c r="C1308" s="11">
        <v>7.5</v>
      </c>
      <c r="D1308" s="11">
        <v>0.89300000000000002</v>
      </c>
      <c r="E1308" s="11">
        <v>1</v>
      </c>
    </row>
    <row r="1309" spans="2:5" x14ac:dyDescent="0.25">
      <c r="B1309" s="12" t="str">
        <f ca="1">IFERROR(__xludf.DUMMYFUNCTION("""COMPUTED_VALUE"""),"Tim Chambers")</f>
        <v>Tim Chambers</v>
      </c>
      <c r="C1309" s="12">
        <v>6.5</v>
      </c>
      <c r="D1309" s="12">
        <v>0.504</v>
      </c>
      <c r="E1309" s="12">
        <v>1</v>
      </c>
    </row>
    <row r="1310" spans="2:5" x14ac:dyDescent="0.25">
      <c r="B1310" s="11" t="str">
        <f ca="1">IFERROR(__xludf.DUMMYFUNCTION("""COMPUTED_VALUE"""),"Dick Richards")</f>
        <v>Dick Richards</v>
      </c>
      <c r="C1310" s="11">
        <v>6.3</v>
      </c>
      <c r="D1310" s="11">
        <v>0.42299999999999999</v>
      </c>
      <c r="E1310" s="11">
        <v>1</v>
      </c>
    </row>
    <row r="1311" spans="2:5" x14ac:dyDescent="0.25">
      <c r="B1311" s="12" t="str">
        <f ca="1">IFERROR(__xludf.DUMMYFUNCTION("""COMPUTED_VALUE"""),"Alex Zamm")</f>
        <v>Alex Zamm</v>
      </c>
      <c r="C1311" s="12">
        <v>2.2999999999999998</v>
      </c>
      <c r="D1311" s="12">
        <v>1E-3</v>
      </c>
      <c r="E1311" s="12">
        <v>1</v>
      </c>
    </row>
    <row r="1312" spans="2:5" x14ac:dyDescent="0.25">
      <c r="B1312" s="11" t="str">
        <f ca="1">IFERROR(__xludf.DUMMYFUNCTION("""COMPUTED_VALUE"""),"Spencer Susser")</f>
        <v>Spencer Susser</v>
      </c>
      <c r="C1312" s="11">
        <v>7.1</v>
      </c>
      <c r="D1312" s="11">
        <v>0.77200000000000002</v>
      </c>
      <c r="E1312" s="11">
        <v>1</v>
      </c>
    </row>
    <row r="1313" spans="2:5" x14ac:dyDescent="0.25">
      <c r="B1313" s="12" t="str">
        <f ca="1">IFERROR(__xludf.DUMMYFUNCTION("""COMPUTED_VALUE"""),"Thaddeus O'Sullivan")</f>
        <v>Thaddeus O'Sullivan</v>
      </c>
      <c r="C1313" s="12">
        <v>6.7</v>
      </c>
      <c r="D1313" s="12">
        <v>0.6</v>
      </c>
      <c r="E1313" s="12">
        <v>1</v>
      </c>
    </row>
    <row r="1314" spans="2:5" x14ac:dyDescent="0.25">
      <c r="B1314" s="11" t="str">
        <f ca="1">IFERROR(__xludf.DUMMYFUNCTION("""COMPUTED_VALUE"""),"Shari Springer Berman")</f>
        <v>Shari Springer Berman</v>
      </c>
      <c r="C1314" s="11">
        <v>5.9</v>
      </c>
      <c r="D1314" s="11">
        <v>0.27100000000000002</v>
      </c>
      <c r="E1314" s="11">
        <v>1</v>
      </c>
    </row>
    <row r="1315" spans="2:5" x14ac:dyDescent="0.25">
      <c r="B1315" s="12" t="str">
        <f ca="1">IFERROR(__xludf.DUMMYFUNCTION("""COMPUTED_VALUE"""),"Stephen Milburn Anderson")</f>
        <v>Stephen Milburn Anderson</v>
      </c>
      <c r="C1315" s="12">
        <v>6</v>
      </c>
      <c r="D1315" s="12">
        <v>0.312</v>
      </c>
      <c r="E1315" s="12">
        <v>1</v>
      </c>
    </row>
    <row r="1316" spans="2:5" x14ac:dyDescent="0.25">
      <c r="B1316" s="11" t="str">
        <f ca="1">IFERROR(__xludf.DUMMYFUNCTION("""COMPUTED_VALUE"""),"Richard E. Grant")</f>
        <v>Richard E. Grant</v>
      </c>
      <c r="C1316" s="11">
        <v>6.9</v>
      </c>
      <c r="D1316" s="11">
        <v>0.68200000000000005</v>
      </c>
      <c r="E1316" s="11">
        <v>1</v>
      </c>
    </row>
    <row r="1317" spans="2:5" x14ac:dyDescent="0.25">
      <c r="B1317" s="12" t="str">
        <f ca="1">IFERROR(__xludf.DUMMYFUNCTION("""COMPUTED_VALUE"""),"Max Färberböck")</f>
        <v>Max Färberböck</v>
      </c>
      <c r="C1317" s="12">
        <v>7.3</v>
      </c>
      <c r="D1317" s="12">
        <v>0.84899999999999998</v>
      </c>
      <c r="E1317" s="12">
        <v>1</v>
      </c>
    </row>
    <row r="1318" spans="2:5" x14ac:dyDescent="0.25">
      <c r="B1318" s="11" t="str">
        <f ca="1">IFERROR(__xludf.DUMMYFUNCTION("""COMPUTED_VALUE"""),"Arie Posin")</f>
        <v>Arie Posin</v>
      </c>
      <c r="C1318" s="11">
        <v>7</v>
      </c>
      <c r="D1318" s="11">
        <v>0.72299999999999998</v>
      </c>
      <c r="E1318" s="11">
        <v>1</v>
      </c>
    </row>
    <row r="1319" spans="2:5" x14ac:dyDescent="0.25">
      <c r="B1319" s="12" t="str">
        <f ca="1">IFERROR(__xludf.DUMMYFUNCTION("""COMPUTED_VALUE"""),"Damian Nieman")</f>
        <v>Damian Nieman</v>
      </c>
      <c r="C1319" s="12">
        <v>6.4</v>
      </c>
      <c r="D1319" s="12">
        <v>0.46400000000000002</v>
      </c>
      <c r="E1319" s="12">
        <v>1</v>
      </c>
    </row>
    <row r="1320" spans="2:5" x14ac:dyDescent="0.25">
      <c r="B1320" s="11" t="str">
        <f ca="1">IFERROR(__xludf.DUMMYFUNCTION("""COMPUTED_VALUE"""),"Mark Tonderai")</f>
        <v>Mark Tonderai</v>
      </c>
      <c r="C1320" s="11">
        <v>5.6</v>
      </c>
      <c r="D1320" s="11">
        <v>0.19700000000000001</v>
      </c>
      <c r="E1320" s="11">
        <v>1</v>
      </c>
    </row>
    <row r="1321" spans="2:5" x14ac:dyDescent="0.25">
      <c r="B1321" s="12" t="str">
        <f ca="1">IFERROR(__xludf.DUMMYFUNCTION("""COMPUTED_VALUE"""),"Rachel Perkins")</f>
        <v>Rachel Perkins</v>
      </c>
      <c r="C1321" s="12">
        <v>6.3</v>
      </c>
      <c r="D1321" s="12">
        <v>0.42299999999999999</v>
      </c>
      <c r="E1321" s="12">
        <v>1</v>
      </c>
    </row>
    <row r="1322" spans="2:5" x14ac:dyDescent="0.25">
      <c r="B1322" s="11" t="str">
        <f ca="1">IFERROR(__xludf.DUMMYFUNCTION("""COMPUTED_VALUE"""),"Luis Valdez")</f>
        <v>Luis Valdez</v>
      </c>
      <c r="C1322" s="11">
        <v>6.8</v>
      </c>
      <c r="D1322" s="11">
        <v>0.63800000000000001</v>
      </c>
      <c r="E1322" s="11">
        <v>1</v>
      </c>
    </row>
    <row r="1323" spans="2:5" x14ac:dyDescent="0.25">
      <c r="B1323" s="12" t="str">
        <f ca="1">IFERROR(__xludf.DUMMYFUNCTION("""COMPUTED_VALUE"""),"Louis Morneau")</f>
        <v>Louis Morneau</v>
      </c>
      <c r="C1323" s="12">
        <v>3.6</v>
      </c>
      <c r="D1323" s="12">
        <v>0.02</v>
      </c>
      <c r="E1323" s="12">
        <v>1</v>
      </c>
    </row>
    <row r="1324" spans="2:5" x14ac:dyDescent="0.25">
      <c r="B1324" s="11" t="str">
        <f ca="1">IFERROR(__xludf.DUMMYFUNCTION("""COMPUTED_VALUE"""),"Caroline Link")</f>
        <v>Caroline Link</v>
      </c>
      <c r="C1324" s="11">
        <v>7.7</v>
      </c>
      <c r="D1324" s="11">
        <v>0.94</v>
      </c>
      <c r="E1324" s="11">
        <v>1</v>
      </c>
    </row>
    <row r="1325" spans="2:5" x14ac:dyDescent="0.25">
      <c r="B1325" s="12" t="str">
        <f ca="1">IFERROR(__xludf.DUMMYFUNCTION("""COMPUTED_VALUE"""),"Sterling Van Wagenen")</f>
        <v>Sterling Van Wagenen</v>
      </c>
      <c r="C1325" s="12">
        <v>6.6</v>
      </c>
      <c r="D1325" s="12">
        <v>0.55300000000000005</v>
      </c>
      <c r="E1325" s="12">
        <v>1</v>
      </c>
    </row>
    <row r="1326" spans="2:5" x14ac:dyDescent="0.25">
      <c r="B1326" s="11" t="str">
        <f ca="1">IFERROR(__xludf.DUMMYFUNCTION("""COMPUTED_VALUE"""),"Zal Batmanglij")</f>
        <v>Zal Batmanglij</v>
      </c>
      <c r="C1326" s="11">
        <v>6.9</v>
      </c>
      <c r="D1326" s="11">
        <v>0.68200000000000005</v>
      </c>
      <c r="E1326" s="11">
        <v>1</v>
      </c>
    </row>
    <row r="1327" spans="2:5" x14ac:dyDescent="0.25">
      <c r="B1327" s="12" t="str">
        <f ca="1">IFERROR(__xludf.DUMMYFUNCTION("""COMPUTED_VALUE"""),"Hans Petter Moland")</f>
        <v>Hans Petter Moland</v>
      </c>
      <c r="C1327" s="12">
        <v>7.3</v>
      </c>
      <c r="D1327" s="12">
        <v>0.84899999999999998</v>
      </c>
      <c r="E1327" s="12">
        <v>1</v>
      </c>
    </row>
    <row r="1328" spans="2:5" x14ac:dyDescent="0.25">
      <c r="B1328" s="11" t="str">
        <f ca="1">IFERROR(__xludf.DUMMYFUNCTION("""COMPUTED_VALUE"""),"Oren Moverman")</f>
        <v>Oren Moverman</v>
      </c>
      <c r="C1328" s="11">
        <v>7.2</v>
      </c>
      <c r="D1328" s="11">
        <v>0.81200000000000006</v>
      </c>
      <c r="E1328" s="11">
        <v>1</v>
      </c>
    </row>
    <row r="1329" spans="2:5" x14ac:dyDescent="0.25">
      <c r="B1329" s="12" t="str">
        <f ca="1">IFERROR(__xludf.DUMMYFUNCTION("""COMPUTED_VALUE"""),"Wolfgang Becker")</f>
        <v>Wolfgang Becker</v>
      </c>
      <c r="C1329" s="12">
        <v>7.7</v>
      </c>
      <c r="D1329" s="12">
        <v>0.94</v>
      </c>
      <c r="E1329" s="12">
        <v>1</v>
      </c>
    </row>
    <row r="1330" spans="2:5" x14ac:dyDescent="0.25">
      <c r="B1330" s="11" t="str">
        <f ca="1">IFERROR(__xludf.DUMMYFUNCTION("""COMPUTED_VALUE"""),"George Roy Hill")</f>
        <v>George Roy Hill</v>
      </c>
      <c r="C1330" s="11">
        <v>8.1999999999999993</v>
      </c>
      <c r="D1330" s="11">
        <v>0.98599999999999999</v>
      </c>
      <c r="E1330" s="11">
        <v>2</v>
      </c>
    </row>
    <row r="1331" spans="2:5" x14ac:dyDescent="0.25">
      <c r="B1331" s="12" t="str">
        <f ca="1">IFERROR(__xludf.DUMMYFUNCTION("""COMPUTED_VALUE"""),"Robert Stevenson")</f>
        <v>Robert Stevenson</v>
      </c>
      <c r="C1331" s="12">
        <v>7.8</v>
      </c>
      <c r="D1331" s="12">
        <v>0.95799999999999996</v>
      </c>
      <c r="E1331" s="12">
        <v>1</v>
      </c>
    </row>
    <row r="1332" spans="2:5" x14ac:dyDescent="0.25">
      <c r="B1332" s="11" t="str">
        <f ca="1">IFERROR(__xludf.DUMMYFUNCTION("""COMPUTED_VALUE"""),"Jerome Robbins")</f>
        <v>Jerome Robbins</v>
      </c>
      <c r="C1332" s="11">
        <v>7.6</v>
      </c>
      <c r="D1332" s="11">
        <v>0.91500000000000004</v>
      </c>
      <c r="E1332" s="11">
        <v>1</v>
      </c>
    </row>
    <row r="1333" spans="2:5" x14ac:dyDescent="0.25">
      <c r="B1333" s="12" t="str">
        <f ca="1">IFERROR(__xludf.DUMMYFUNCTION("""COMPUTED_VALUE"""),"Gary Hardwick")</f>
        <v>Gary Hardwick</v>
      </c>
      <c r="C1333" s="12">
        <v>6.3</v>
      </c>
      <c r="D1333" s="12">
        <v>0.42299999999999999</v>
      </c>
      <c r="E1333" s="12">
        <v>1</v>
      </c>
    </row>
    <row r="1334" spans="2:5" x14ac:dyDescent="0.25">
      <c r="B1334" s="11" t="str">
        <f ca="1">IFERROR(__xludf.DUMMYFUNCTION("""COMPUTED_VALUE"""),"King Vidor")</f>
        <v>King Vidor</v>
      </c>
      <c r="C1334" s="11">
        <v>6.9</v>
      </c>
      <c r="D1334" s="11">
        <v>0.68200000000000005</v>
      </c>
      <c r="E1334" s="11">
        <v>1</v>
      </c>
    </row>
    <row r="1335" spans="2:5" x14ac:dyDescent="0.25">
      <c r="B1335" s="12" t="str">
        <f ca="1">IFERROR(__xludf.DUMMYFUNCTION("""COMPUTED_VALUE"""),"Fred Savage")</f>
        <v>Fred Savage</v>
      </c>
      <c r="C1335" s="12">
        <v>2.9</v>
      </c>
      <c r="D1335" s="12">
        <v>6.0000000000000001E-3</v>
      </c>
      <c r="E1335" s="12">
        <v>1</v>
      </c>
    </row>
    <row r="1336" spans="2:5" x14ac:dyDescent="0.25">
      <c r="B1336" s="11" t="str">
        <f ca="1">IFERROR(__xludf.DUMMYFUNCTION("""COMPUTED_VALUE"""),"Rusty Cundieff")</f>
        <v>Rusty Cundieff</v>
      </c>
      <c r="C1336" s="11">
        <v>6.1</v>
      </c>
      <c r="D1336" s="11">
        <v>0.35099999999999998</v>
      </c>
      <c r="E1336" s="11">
        <v>1</v>
      </c>
    </row>
    <row r="1337" spans="2:5" x14ac:dyDescent="0.25">
      <c r="B1337" s="12" t="str">
        <f ca="1">IFERROR(__xludf.DUMMYFUNCTION("""COMPUTED_VALUE"""),"Kevin Macdonald")</f>
        <v>Kevin Macdonald</v>
      </c>
      <c r="C1337" s="12">
        <v>7.7</v>
      </c>
      <c r="D1337" s="12">
        <v>0.94</v>
      </c>
      <c r="E1337" s="12">
        <v>1</v>
      </c>
    </row>
    <row r="1338" spans="2:5" x14ac:dyDescent="0.25">
      <c r="B1338" s="11" t="str">
        <f ca="1">IFERROR(__xludf.DUMMYFUNCTION("""COMPUTED_VALUE"""),"Dominique Othenin-Girard")</f>
        <v>Dominique Othenin-Girard</v>
      </c>
      <c r="C1338" s="11">
        <v>5.2</v>
      </c>
      <c r="D1338" s="11">
        <v>0.113</v>
      </c>
      <c r="E1338" s="11">
        <v>1</v>
      </c>
    </row>
    <row r="1339" spans="2:5" x14ac:dyDescent="0.25">
      <c r="B1339" s="12" t="str">
        <f ca="1">IFERROR(__xludf.DUMMYFUNCTION("""COMPUTED_VALUE"""),"Jean-Jacques Mantello")</f>
        <v>Jean-Jacques Mantello</v>
      </c>
      <c r="C1339" s="12">
        <v>6.5</v>
      </c>
      <c r="D1339" s="12">
        <v>0.504</v>
      </c>
      <c r="E1339" s="12">
        <v>1</v>
      </c>
    </row>
    <row r="1340" spans="2:5" x14ac:dyDescent="0.25">
      <c r="B1340" s="11" t="str">
        <f ca="1">IFERROR(__xludf.DUMMYFUNCTION("""COMPUTED_VALUE"""),"Ed Harris")</f>
        <v>Ed Harris</v>
      </c>
      <c r="C1340" s="11">
        <v>7</v>
      </c>
      <c r="D1340" s="11">
        <v>0.72299999999999998</v>
      </c>
      <c r="E1340" s="11">
        <v>1</v>
      </c>
    </row>
    <row r="1341" spans="2:5" x14ac:dyDescent="0.25">
      <c r="B1341" s="12" t="str">
        <f ca="1">IFERROR(__xludf.DUMMYFUNCTION("""COMPUTED_VALUE"""),"Risa Bramon Garcia")</f>
        <v>Risa Bramon Garcia</v>
      </c>
      <c r="C1341" s="12">
        <v>5.9</v>
      </c>
      <c r="D1341" s="12">
        <v>0.27100000000000002</v>
      </c>
      <c r="E1341" s="12">
        <v>1</v>
      </c>
    </row>
    <row r="1342" spans="2:5" x14ac:dyDescent="0.25">
      <c r="B1342" s="11" t="str">
        <f ca="1">IFERROR(__xludf.DUMMYFUNCTION("""COMPUTED_VALUE"""),"Brian Klugman")</f>
        <v>Brian Klugman</v>
      </c>
      <c r="C1342" s="11">
        <v>7.1</v>
      </c>
      <c r="D1342" s="11">
        <v>0.77200000000000002</v>
      </c>
      <c r="E1342" s="11">
        <v>1</v>
      </c>
    </row>
    <row r="1343" spans="2:5" x14ac:dyDescent="0.25">
      <c r="B1343" s="12" t="str">
        <f ca="1">IFERROR(__xludf.DUMMYFUNCTION("""COMPUTED_VALUE"""),"Matt Piedmont")</f>
        <v>Matt Piedmont</v>
      </c>
      <c r="C1343" s="12">
        <v>5.5</v>
      </c>
      <c r="D1343" s="12">
        <v>0.17699999999999999</v>
      </c>
      <c r="E1343" s="12">
        <v>1</v>
      </c>
    </row>
    <row r="1344" spans="2:5" x14ac:dyDescent="0.25">
      <c r="B1344" s="11" t="str">
        <f ca="1">IFERROR(__xludf.DUMMYFUNCTION("""COMPUTED_VALUE"""),"Raymond De Felitta")</f>
        <v>Raymond De Felitta</v>
      </c>
      <c r="C1344" s="11">
        <v>7.4</v>
      </c>
      <c r="D1344" s="11">
        <v>0.875</v>
      </c>
      <c r="E1344" s="11">
        <v>1</v>
      </c>
    </row>
    <row r="1345" spans="2:5" x14ac:dyDescent="0.25">
      <c r="B1345" s="12" t="str">
        <f ca="1">IFERROR(__xludf.DUMMYFUNCTION("""COMPUTED_VALUE"""),"John Michael McDonagh")</f>
        <v>John Michael McDonagh</v>
      </c>
      <c r="C1345" s="12">
        <v>7.3</v>
      </c>
      <c r="D1345" s="12">
        <v>0.84899999999999998</v>
      </c>
      <c r="E1345" s="12">
        <v>1</v>
      </c>
    </row>
    <row r="1346" spans="2:5" x14ac:dyDescent="0.25">
      <c r="B1346" s="11" t="str">
        <f ca="1">IFERROR(__xludf.DUMMYFUNCTION("""COMPUTED_VALUE"""),"Deb Hagan")</f>
        <v>Deb Hagan</v>
      </c>
      <c r="C1346" s="11">
        <v>4.5999999999999996</v>
      </c>
      <c r="D1346" s="11">
        <v>5.8999999999999997E-2</v>
      </c>
      <c r="E1346" s="11">
        <v>1</v>
      </c>
    </row>
    <row r="1347" spans="2:5" x14ac:dyDescent="0.25">
      <c r="B1347" s="12" t="str">
        <f ca="1">IFERROR(__xludf.DUMMYFUNCTION("""COMPUTED_VALUE"""),"Zach Cregger")</f>
        <v>Zach Cregger</v>
      </c>
      <c r="C1347" s="12">
        <v>5.0999999999999996</v>
      </c>
      <c r="D1347" s="12">
        <v>9.7000000000000003E-2</v>
      </c>
      <c r="E1347" s="12">
        <v>1</v>
      </c>
    </row>
    <row r="1348" spans="2:5" x14ac:dyDescent="0.25">
      <c r="B1348" s="11" t="str">
        <f ca="1">IFERROR(__xludf.DUMMYFUNCTION("""COMPUTED_VALUE"""),"Zach Braff")</f>
        <v>Zach Braff</v>
      </c>
      <c r="C1348" s="11">
        <v>7.15</v>
      </c>
      <c r="D1348" s="11">
        <v>0.80500000000000005</v>
      </c>
      <c r="E1348" s="11">
        <v>2</v>
      </c>
    </row>
    <row r="1349" spans="2:5" x14ac:dyDescent="0.25">
      <c r="B1349" s="12" t="str">
        <f ca="1">IFERROR(__xludf.DUMMYFUNCTION("""COMPUTED_VALUE"""),"Mark Tarlov")</f>
        <v>Mark Tarlov</v>
      </c>
      <c r="C1349" s="12">
        <v>5.3</v>
      </c>
      <c r="D1349" s="12">
        <v>0.13</v>
      </c>
      <c r="E1349" s="12">
        <v>1</v>
      </c>
    </row>
    <row r="1350" spans="2:5" x14ac:dyDescent="0.25">
      <c r="B1350" s="11" t="str">
        <f ca="1">IFERROR(__xludf.DUMMYFUNCTION("""COMPUTED_VALUE"""),"John Cameron Mitchell")</f>
        <v>John Cameron Mitchell</v>
      </c>
      <c r="C1350" s="11">
        <v>7.1000000000000005</v>
      </c>
      <c r="D1350" s="11">
        <v>0.79600000000000004</v>
      </c>
      <c r="E1350" s="11">
        <v>3</v>
      </c>
    </row>
    <row r="1351" spans="2:5" x14ac:dyDescent="0.25">
      <c r="B1351" s="12" t="str">
        <f ca="1">IFERROR(__xludf.DUMMYFUNCTION("""COMPUTED_VALUE"""),"Billy Ray")</f>
        <v>Billy Ray</v>
      </c>
      <c r="C1351" s="12">
        <v>7.2</v>
      </c>
      <c r="D1351" s="12">
        <v>0.81200000000000006</v>
      </c>
      <c r="E1351" s="12">
        <v>1</v>
      </c>
    </row>
    <row r="1352" spans="2:5" x14ac:dyDescent="0.25">
      <c r="B1352" s="11" t="str">
        <f ca="1">IFERROR(__xludf.DUMMYFUNCTION("""COMPUTED_VALUE"""),"David Atkins")</f>
        <v>David Atkins</v>
      </c>
      <c r="C1352" s="11">
        <v>5.8</v>
      </c>
      <c r="D1352" s="11">
        <v>0.251</v>
      </c>
      <c r="E1352" s="11">
        <v>1</v>
      </c>
    </row>
    <row r="1353" spans="2:5" x14ac:dyDescent="0.25">
      <c r="B1353" s="12" t="str">
        <f ca="1">IFERROR(__xludf.DUMMYFUNCTION("""COMPUTED_VALUE"""),"Sylvio Tabet")</f>
        <v>Sylvio Tabet</v>
      </c>
      <c r="C1353" s="12">
        <v>3.8</v>
      </c>
      <c r="D1353" s="12">
        <v>2.4E-2</v>
      </c>
      <c r="E1353" s="12">
        <v>1</v>
      </c>
    </row>
    <row r="1354" spans="2:5" x14ac:dyDescent="0.25">
      <c r="B1354" s="11" t="str">
        <f ca="1">IFERROR(__xludf.DUMMYFUNCTION("""COMPUTED_VALUE"""),"Rick Bieber")</f>
        <v>Rick Bieber</v>
      </c>
      <c r="C1354" s="11">
        <v>5.7</v>
      </c>
      <c r="D1354" s="11">
        <v>0.23100000000000001</v>
      </c>
      <c r="E1354" s="11">
        <v>1</v>
      </c>
    </row>
    <row r="1355" spans="2:5" x14ac:dyDescent="0.25">
      <c r="B1355" s="12" t="str">
        <f ca="1">IFERROR(__xludf.DUMMYFUNCTION("""COMPUTED_VALUE"""),"Joey Lauren Adams")</f>
        <v>Joey Lauren Adams</v>
      </c>
      <c r="C1355" s="12">
        <v>6.2</v>
      </c>
      <c r="D1355" s="12">
        <v>0.39100000000000001</v>
      </c>
      <c r="E1355" s="12">
        <v>1</v>
      </c>
    </row>
    <row r="1356" spans="2:5" x14ac:dyDescent="0.25">
      <c r="B1356" s="11" t="str">
        <f ca="1">IFERROR(__xludf.DUMMYFUNCTION("""COMPUTED_VALUE"""),"S.R. Bindler")</f>
        <v>S.R. Bindler</v>
      </c>
      <c r="C1356" s="11">
        <v>4.7</v>
      </c>
      <c r="D1356" s="11">
        <v>6.6000000000000003E-2</v>
      </c>
      <c r="E1356" s="11">
        <v>1</v>
      </c>
    </row>
    <row r="1357" spans="2:5" x14ac:dyDescent="0.25">
      <c r="B1357" s="12" t="str">
        <f ca="1">IFERROR(__xludf.DUMMYFUNCTION("""COMPUTED_VALUE"""),"Cédric Klapisch")</f>
        <v>Cédric Klapisch</v>
      </c>
      <c r="C1357" s="12">
        <v>7.1</v>
      </c>
      <c r="D1357" s="12">
        <v>0.77200000000000002</v>
      </c>
      <c r="E1357" s="12">
        <v>2</v>
      </c>
    </row>
    <row r="1358" spans="2:5" x14ac:dyDescent="0.25">
      <c r="B1358" s="11" t="str">
        <f ca="1">IFERROR(__xludf.DUMMYFUNCTION("""COMPUTED_VALUE"""),"Kate Barker-Froyland")</f>
        <v>Kate Barker-Froyland</v>
      </c>
      <c r="C1358" s="11">
        <v>5.8</v>
      </c>
      <c r="D1358" s="11">
        <v>0.251</v>
      </c>
      <c r="E1358" s="11">
        <v>1</v>
      </c>
    </row>
    <row r="1359" spans="2:5" x14ac:dyDescent="0.25">
      <c r="B1359" s="12" t="str">
        <f ca="1">IFERROR(__xludf.DUMMYFUNCTION("""COMPUTED_VALUE"""),"Martin Koolhoven")</f>
        <v>Martin Koolhoven</v>
      </c>
      <c r="C1359" s="12">
        <v>7.1</v>
      </c>
      <c r="D1359" s="12">
        <v>0.77200000000000002</v>
      </c>
      <c r="E1359" s="12">
        <v>1</v>
      </c>
    </row>
    <row r="1360" spans="2:5" x14ac:dyDescent="0.25">
      <c r="B1360" s="11" t="str">
        <f ca="1">IFERROR(__xludf.DUMMYFUNCTION("""COMPUTED_VALUE"""),"Prachya Pinkaew")</f>
        <v>Prachya Pinkaew</v>
      </c>
      <c r="C1360" s="11">
        <v>7.1</v>
      </c>
      <c r="D1360" s="11">
        <v>0.77200000000000002</v>
      </c>
      <c r="E1360" s="11">
        <v>1</v>
      </c>
    </row>
    <row r="1361" spans="2:5" x14ac:dyDescent="0.25">
      <c r="B1361" s="12" t="str">
        <f ca="1">IFERROR(__xludf.DUMMYFUNCTION("""COMPUTED_VALUE"""),"Darren Grant")</f>
        <v>Darren Grant</v>
      </c>
      <c r="C1361" s="12">
        <v>5.6</v>
      </c>
      <c r="D1361" s="12">
        <v>0.19700000000000001</v>
      </c>
      <c r="E1361" s="12">
        <v>1</v>
      </c>
    </row>
    <row r="1362" spans="2:5" x14ac:dyDescent="0.25">
      <c r="B1362" s="11" t="str">
        <f ca="1">IFERROR(__xludf.DUMMYFUNCTION("""COMPUTED_VALUE"""),"Joseph Gordon-Levitt")</f>
        <v>Joseph Gordon-Levitt</v>
      </c>
      <c r="C1362" s="11">
        <v>6.6</v>
      </c>
      <c r="D1362" s="11">
        <v>0.55300000000000005</v>
      </c>
      <c r="E1362" s="11">
        <v>1</v>
      </c>
    </row>
    <row r="1363" spans="2:5" x14ac:dyDescent="0.25">
      <c r="B1363" s="12" t="str">
        <f ca="1">IFERROR(__xludf.DUMMYFUNCTION("""COMPUTED_VALUE"""),"Christophe Barratier")</f>
        <v>Christophe Barratier</v>
      </c>
      <c r="C1363" s="12">
        <v>7.9</v>
      </c>
      <c r="D1363" s="12">
        <v>0.97</v>
      </c>
      <c r="E1363" s="12">
        <v>1</v>
      </c>
    </row>
    <row r="1364" spans="2:5" x14ac:dyDescent="0.25">
      <c r="B1364" s="11" t="str">
        <f ca="1">IFERROR(__xludf.DUMMYFUNCTION("""COMPUTED_VALUE"""),"Émile Gaudreault")</f>
        <v>Émile Gaudreault</v>
      </c>
      <c r="C1364" s="11">
        <v>6.7</v>
      </c>
      <c r="D1364" s="11">
        <v>0.6</v>
      </c>
      <c r="E1364" s="11">
        <v>1</v>
      </c>
    </row>
    <row r="1365" spans="2:5" x14ac:dyDescent="0.25">
      <c r="B1365" s="12" t="str">
        <f ca="1">IFERROR(__xludf.DUMMYFUNCTION("""COMPUTED_VALUE"""),"James Cox")</f>
        <v>James Cox</v>
      </c>
      <c r="C1365" s="12">
        <v>6.6</v>
      </c>
      <c r="D1365" s="12">
        <v>0.55300000000000005</v>
      </c>
      <c r="E1365" s="12">
        <v>1</v>
      </c>
    </row>
    <row r="1366" spans="2:5" x14ac:dyDescent="0.25">
      <c r="B1366" s="11" t="str">
        <f ca="1">IFERROR(__xludf.DUMMYFUNCTION("""COMPUTED_VALUE"""),"James Toback")</f>
        <v>James Toback</v>
      </c>
      <c r="C1366" s="11">
        <v>5.25</v>
      </c>
      <c r="D1366" s="11">
        <v>0.125</v>
      </c>
      <c r="E1366" s="11">
        <v>2</v>
      </c>
    </row>
    <row r="1367" spans="2:5" x14ac:dyDescent="0.25">
      <c r="B1367" s="12" t="str">
        <f ca="1">IFERROR(__xludf.DUMMYFUNCTION("""COMPUTED_VALUE"""),"Aki Kaurismäki")</f>
        <v>Aki Kaurismäki</v>
      </c>
      <c r="C1367" s="12">
        <v>7.2</v>
      </c>
      <c r="D1367" s="12">
        <v>0.81200000000000006</v>
      </c>
      <c r="E1367" s="12">
        <v>1</v>
      </c>
    </row>
    <row r="1368" spans="2:5" x14ac:dyDescent="0.25">
      <c r="B1368" s="11" t="str">
        <f ca="1">IFERROR(__xludf.DUMMYFUNCTION("""COMPUTED_VALUE"""),"Hitoshi Matsumoto")</f>
        <v>Hitoshi Matsumoto</v>
      </c>
      <c r="C1368" s="11">
        <v>6.1</v>
      </c>
      <c r="D1368" s="11">
        <v>0.35099999999999998</v>
      </c>
      <c r="E1368" s="11">
        <v>1</v>
      </c>
    </row>
    <row r="1369" spans="2:5" x14ac:dyDescent="0.25">
      <c r="B1369" s="12" t="str">
        <f ca="1">IFERROR(__xludf.DUMMYFUNCTION("""COMPUTED_VALUE"""),"George Ratliff")</f>
        <v>George Ratliff</v>
      </c>
      <c r="C1369" s="12">
        <v>5.3</v>
      </c>
      <c r="D1369" s="12">
        <v>0.13</v>
      </c>
      <c r="E1369" s="12">
        <v>1</v>
      </c>
    </row>
    <row r="1370" spans="2:5" x14ac:dyDescent="0.25">
      <c r="B1370" s="11" t="str">
        <f ca="1">IFERROR(__xludf.DUMMYFUNCTION("""COMPUTED_VALUE"""),"Michael McGowan")</f>
        <v>Michael McGowan</v>
      </c>
      <c r="C1370" s="11">
        <v>7.6</v>
      </c>
      <c r="D1370" s="11">
        <v>0.91500000000000004</v>
      </c>
      <c r="E1370" s="11">
        <v>1</v>
      </c>
    </row>
    <row r="1371" spans="2:5" x14ac:dyDescent="0.25">
      <c r="B1371" s="12" t="str">
        <f ca="1">IFERROR(__xludf.DUMMYFUNCTION("""COMPUTED_VALUE"""),"Dan Trachtenberg")</f>
        <v>Dan Trachtenberg</v>
      </c>
      <c r="C1371" s="12">
        <v>7.3</v>
      </c>
      <c r="D1371" s="12">
        <v>0.84899999999999998</v>
      </c>
      <c r="E1371" s="12">
        <v>1</v>
      </c>
    </row>
    <row r="1372" spans="2:5" x14ac:dyDescent="0.25">
      <c r="B1372" s="11" t="str">
        <f ca="1">IFERROR(__xludf.DUMMYFUNCTION("""COMPUTED_VALUE"""),"David F. Sandberg")</f>
        <v>David F. Sandberg</v>
      </c>
      <c r="C1372" s="11">
        <v>6.9</v>
      </c>
      <c r="D1372" s="11">
        <v>0.68200000000000005</v>
      </c>
      <c r="E1372" s="11">
        <v>1</v>
      </c>
    </row>
    <row r="1373" spans="2:5" x14ac:dyDescent="0.25">
      <c r="B1373" s="12" t="str">
        <f ca="1">IFERROR(__xludf.DUMMYFUNCTION("""COMPUTED_VALUE"""),"Stiles White")</f>
        <v>Stiles White</v>
      </c>
      <c r="C1373" s="12">
        <v>4.4000000000000004</v>
      </c>
      <c r="D1373" s="12">
        <v>0.05</v>
      </c>
      <c r="E1373" s="12">
        <v>1</v>
      </c>
    </row>
    <row r="1374" spans="2:5" x14ac:dyDescent="0.25">
      <c r="B1374" s="11" t="str">
        <f ca="1">IFERROR(__xludf.DUMMYFUNCTION("""COMPUTED_VALUE"""),"Eugenio Derbez")</f>
        <v>Eugenio Derbez</v>
      </c>
      <c r="C1374" s="11">
        <v>7.6</v>
      </c>
      <c r="D1374" s="11">
        <v>0.91500000000000004</v>
      </c>
      <c r="E1374" s="11">
        <v>1</v>
      </c>
    </row>
    <row r="1375" spans="2:5" x14ac:dyDescent="0.25">
      <c r="B1375" s="12" t="str">
        <f ca="1">IFERROR(__xludf.DUMMYFUNCTION("""COMPUTED_VALUE"""),"Henry Koster")</f>
        <v>Henry Koster</v>
      </c>
      <c r="C1375" s="12">
        <v>6.8</v>
      </c>
      <c r="D1375" s="12">
        <v>0.63800000000000001</v>
      </c>
      <c r="E1375" s="12">
        <v>1</v>
      </c>
    </row>
    <row r="1376" spans="2:5" x14ac:dyDescent="0.25">
      <c r="B1376" s="11" t="str">
        <f ca="1">IFERROR(__xludf.DUMMYFUNCTION("""COMPUTED_VALUE"""),"Patty Jenkins")</f>
        <v>Patty Jenkins</v>
      </c>
      <c r="C1376" s="11">
        <v>7.3</v>
      </c>
      <c r="D1376" s="11">
        <v>0.84899999999999998</v>
      </c>
      <c r="E1376" s="11">
        <v>1</v>
      </c>
    </row>
    <row r="1377" spans="2:5" x14ac:dyDescent="0.25">
      <c r="B1377" s="12" t="str">
        <f ca="1">IFERROR(__xludf.DUMMYFUNCTION("""COMPUTED_VALUE"""),"Christopher Landon")</f>
        <v>Christopher Landon</v>
      </c>
      <c r="C1377" s="12">
        <v>5</v>
      </c>
      <c r="D1377" s="12">
        <v>8.6999999999999994E-2</v>
      </c>
      <c r="E1377" s="12">
        <v>1</v>
      </c>
    </row>
    <row r="1378" spans="2:5" x14ac:dyDescent="0.25">
      <c r="B1378" s="11" t="str">
        <f ca="1">IFERROR(__xludf.DUMMYFUNCTION("""COMPUTED_VALUE"""),"David Gelb")</f>
        <v>David Gelb</v>
      </c>
      <c r="C1378" s="11">
        <v>5.2</v>
      </c>
      <c r="D1378" s="11">
        <v>0.113</v>
      </c>
      <c r="E1378" s="11">
        <v>1</v>
      </c>
    </row>
    <row r="1379" spans="2:5" x14ac:dyDescent="0.25">
      <c r="B1379" s="12" t="str">
        <f ca="1">IFERROR(__xludf.DUMMYFUNCTION("""COMPUTED_VALUE"""),"Mike Flanagan")</f>
        <v>Mike Flanagan</v>
      </c>
      <c r="C1379" s="12">
        <v>6.5</v>
      </c>
      <c r="D1379" s="12">
        <v>0.504</v>
      </c>
      <c r="E1379" s="12">
        <v>1</v>
      </c>
    </row>
    <row r="1380" spans="2:5" x14ac:dyDescent="0.25">
      <c r="B1380" s="11" t="str">
        <f ca="1">IFERROR(__xludf.DUMMYFUNCTION("""COMPUTED_VALUE"""),"Nat Faxon")</f>
        <v>Nat Faxon</v>
      </c>
      <c r="C1380" s="11">
        <v>7.4</v>
      </c>
      <c r="D1380" s="11">
        <v>0.875</v>
      </c>
      <c r="E1380" s="11">
        <v>1</v>
      </c>
    </row>
    <row r="1381" spans="2:5" x14ac:dyDescent="0.25">
      <c r="B1381" s="12" t="str">
        <f ca="1">IFERROR(__xludf.DUMMYFUNCTION("""COMPUTED_VALUE"""),"George Jackson")</f>
        <v>George Jackson</v>
      </c>
      <c r="C1381" s="12">
        <v>5.0999999999999996</v>
      </c>
      <c r="D1381" s="12">
        <v>9.7000000000000003E-2</v>
      </c>
      <c r="E1381" s="12">
        <v>1</v>
      </c>
    </row>
    <row r="1382" spans="2:5" x14ac:dyDescent="0.25">
      <c r="B1382" s="11" t="str">
        <f ca="1">IFERROR(__xludf.DUMMYFUNCTION("""COMPUTED_VALUE"""),"Maurice Joyce")</f>
        <v>Maurice Joyce</v>
      </c>
      <c r="C1382" s="11">
        <v>5</v>
      </c>
      <c r="D1382" s="11">
        <v>8.6999999999999994E-2</v>
      </c>
      <c r="E1382" s="11">
        <v>1</v>
      </c>
    </row>
    <row r="1383" spans="2:5" x14ac:dyDescent="0.25">
      <c r="B1383" s="12" t="str">
        <f ca="1">IFERROR(__xludf.DUMMYFUNCTION("""COMPUTED_VALUE"""),"Robert Duvall")</f>
        <v>Robert Duvall</v>
      </c>
      <c r="C1383" s="12">
        <v>7.2</v>
      </c>
      <c r="D1383" s="12">
        <v>0.81200000000000006</v>
      </c>
      <c r="E1383" s="12">
        <v>1</v>
      </c>
    </row>
    <row r="1384" spans="2:5" x14ac:dyDescent="0.25">
      <c r="B1384" s="11" t="str">
        <f ca="1">IFERROR(__xludf.DUMMYFUNCTION("""COMPUTED_VALUE"""),"Jesse Peretz")</f>
        <v>Jesse Peretz</v>
      </c>
      <c r="C1384" s="11">
        <v>5.95</v>
      </c>
      <c r="D1384" s="11">
        <v>0.30399999999999999</v>
      </c>
      <c r="E1384" s="11">
        <v>2</v>
      </c>
    </row>
    <row r="1385" spans="2:5" x14ac:dyDescent="0.25">
      <c r="B1385" s="12" t="str">
        <f ca="1">IFERROR(__xludf.DUMMYFUNCTION("""COMPUTED_VALUE"""),"Ice Cube")</f>
        <v>Ice Cube</v>
      </c>
      <c r="C1385" s="12">
        <v>5.6</v>
      </c>
      <c r="D1385" s="12">
        <v>0.19700000000000001</v>
      </c>
      <c r="E1385" s="12">
        <v>1</v>
      </c>
    </row>
    <row r="1386" spans="2:5" x14ac:dyDescent="0.25">
      <c r="B1386" s="11" t="str">
        <f ca="1">IFERROR(__xludf.DUMMYFUNCTION("""COMPUTED_VALUE"""),"Richard Glatzer")</f>
        <v>Richard Glatzer</v>
      </c>
      <c r="C1386" s="11">
        <v>7.3</v>
      </c>
      <c r="D1386" s="11">
        <v>0.84899999999999998</v>
      </c>
      <c r="E1386" s="11">
        <v>2</v>
      </c>
    </row>
    <row r="1387" spans="2:5" x14ac:dyDescent="0.25">
      <c r="B1387" s="12" t="str">
        <f ca="1">IFERROR(__xludf.DUMMYFUNCTION("""COMPUTED_VALUE"""),"Rob Hedden")</f>
        <v>Rob Hedden</v>
      </c>
      <c r="C1387" s="12">
        <v>4.5</v>
      </c>
      <c r="D1387" s="12">
        <v>5.5E-2</v>
      </c>
      <c r="E1387" s="12">
        <v>1</v>
      </c>
    </row>
    <row r="1388" spans="2:5" x14ac:dyDescent="0.25">
      <c r="B1388" s="11" t="str">
        <f ca="1">IFERROR(__xludf.DUMMYFUNCTION("""COMPUTED_VALUE"""),"Harmony Korine")</f>
        <v>Harmony Korine</v>
      </c>
      <c r="C1388" s="11">
        <v>5.3</v>
      </c>
      <c r="D1388" s="11">
        <v>0.13</v>
      </c>
      <c r="E1388" s="11">
        <v>1</v>
      </c>
    </row>
    <row r="1389" spans="2:5" x14ac:dyDescent="0.25">
      <c r="B1389" s="12" t="str">
        <f ca="1">IFERROR(__xludf.DUMMYFUNCTION("""COMPUTED_VALUE"""),"Joe Chappelle")</f>
        <v>Joe Chappelle</v>
      </c>
      <c r="C1389" s="12">
        <v>4.9000000000000004</v>
      </c>
      <c r="D1389" s="12">
        <v>8.2000000000000003E-2</v>
      </c>
      <c r="E1389" s="12">
        <v>1</v>
      </c>
    </row>
    <row r="1390" spans="2:5" x14ac:dyDescent="0.25">
      <c r="B1390" s="11" t="str">
        <f ca="1">IFERROR(__xludf.DUMMYFUNCTION("""COMPUTED_VALUE"""),"Mickey Liddell")</f>
        <v>Mickey Liddell</v>
      </c>
      <c r="C1390" s="11">
        <v>3.8</v>
      </c>
      <c r="D1390" s="11">
        <v>2.4E-2</v>
      </c>
      <c r="E1390" s="11">
        <v>1</v>
      </c>
    </row>
    <row r="1391" spans="2:5" x14ac:dyDescent="0.25">
      <c r="B1391" s="12" t="str">
        <f ca="1">IFERROR(__xludf.DUMMYFUNCTION("""COMPUTED_VALUE"""),"Fred Walton")</f>
        <v>Fred Walton</v>
      </c>
      <c r="C1391" s="12">
        <v>6.2</v>
      </c>
      <c r="D1391" s="12">
        <v>0.39100000000000001</v>
      </c>
      <c r="E1391" s="12">
        <v>1</v>
      </c>
    </row>
    <row r="1392" spans="2:5" x14ac:dyDescent="0.25">
      <c r="B1392" s="11" t="str">
        <f ca="1">IFERROR(__xludf.DUMMYFUNCTION("""COMPUTED_VALUE"""),"Steve Carver")</f>
        <v>Steve Carver</v>
      </c>
      <c r="C1392" s="11">
        <v>6.3</v>
      </c>
      <c r="D1392" s="11">
        <v>0.42299999999999999</v>
      </c>
      <c r="E1392" s="11">
        <v>1</v>
      </c>
    </row>
    <row r="1393" spans="2:5" x14ac:dyDescent="0.25">
      <c r="B1393" s="12" t="str">
        <f ca="1">IFERROR(__xludf.DUMMYFUNCTION("""COMPUTED_VALUE"""),"Gonzalo López-Gallego")</f>
        <v>Gonzalo López-Gallego</v>
      </c>
      <c r="C1393" s="12">
        <v>5.2</v>
      </c>
      <c r="D1393" s="12">
        <v>0.113</v>
      </c>
      <c r="E1393" s="12">
        <v>1</v>
      </c>
    </row>
    <row r="1394" spans="2:5" x14ac:dyDescent="0.25">
      <c r="B1394" s="11" t="str">
        <f ca="1">IFERROR(__xludf.DUMMYFUNCTION("""COMPUTED_VALUE"""),"Christine Jeffs")</f>
        <v>Christine Jeffs</v>
      </c>
      <c r="C1394" s="11">
        <v>6.9</v>
      </c>
      <c r="D1394" s="11">
        <v>0.68200000000000005</v>
      </c>
      <c r="E1394" s="11">
        <v>1</v>
      </c>
    </row>
    <row r="1395" spans="2:5" x14ac:dyDescent="0.25">
      <c r="B1395" s="12" t="str">
        <f ca="1">IFERROR(__xludf.DUMMYFUNCTION("""COMPUTED_VALUE"""),"Michael Tiddes")</f>
        <v>Michael Tiddes</v>
      </c>
      <c r="C1395" s="12">
        <v>4.4333333333333327</v>
      </c>
      <c r="D1395" s="12">
        <v>5.3999999999999999E-2</v>
      </c>
      <c r="E1395" s="12">
        <v>3</v>
      </c>
    </row>
    <row r="1396" spans="2:5" x14ac:dyDescent="0.25">
      <c r="B1396" s="11" t="str">
        <f ca="1">IFERROR(__xludf.DUMMYFUNCTION("""COMPUTED_VALUE"""),"Bill Duke")</f>
        <v>Bill Duke</v>
      </c>
      <c r="C1396" s="11">
        <v>6.1</v>
      </c>
      <c r="D1396" s="11">
        <v>0.35099999999999998</v>
      </c>
      <c r="E1396" s="11">
        <v>1</v>
      </c>
    </row>
    <row r="1397" spans="2:5" x14ac:dyDescent="0.25">
      <c r="B1397" s="12" t="str">
        <f ca="1">IFERROR(__xludf.DUMMYFUNCTION("""COMPUTED_VALUE"""),"Mamoru Hosoda")</f>
        <v>Mamoru Hosoda</v>
      </c>
      <c r="C1397" s="12">
        <v>5.9</v>
      </c>
      <c r="D1397" s="12">
        <v>0.27100000000000002</v>
      </c>
      <c r="E1397" s="12">
        <v>1</v>
      </c>
    </row>
    <row r="1398" spans="2:5" x14ac:dyDescent="0.25">
      <c r="B1398" s="11" t="str">
        <f ca="1">IFERROR(__xludf.DUMMYFUNCTION("""COMPUTED_VALUE"""),"Brian Dannelly")</f>
        <v>Brian Dannelly</v>
      </c>
      <c r="C1398" s="11">
        <v>6.9</v>
      </c>
      <c r="D1398" s="11">
        <v>0.68200000000000005</v>
      </c>
      <c r="E1398" s="11">
        <v>1</v>
      </c>
    </row>
    <row r="1399" spans="2:5" x14ac:dyDescent="0.25">
      <c r="B1399" s="12" t="str">
        <f ca="1">IFERROR(__xludf.DUMMYFUNCTION("""COMPUTED_VALUE"""),"Denys Arcand")</f>
        <v>Denys Arcand</v>
      </c>
      <c r="C1399" s="12">
        <v>7.7</v>
      </c>
      <c r="D1399" s="12">
        <v>0.94</v>
      </c>
      <c r="E1399" s="12">
        <v>1</v>
      </c>
    </row>
    <row r="1400" spans="2:5" x14ac:dyDescent="0.25">
      <c r="B1400" s="11" t="str">
        <f ca="1">IFERROR(__xludf.DUMMYFUNCTION("""COMPUTED_VALUE"""),"J.S. Cardone")</f>
        <v>J.S. Cardone</v>
      </c>
      <c r="C1400" s="11">
        <v>5.3</v>
      </c>
      <c r="D1400" s="11">
        <v>0.13</v>
      </c>
      <c r="E1400" s="11">
        <v>1</v>
      </c>
    </row>
    <row r="1401" spans="2:5" x14ac:dyDescent="0.25">
      <c r="B1401" s="12" t="str">
        <f ca="1">IFERROR(__xludf.DUMMYFUNCTION("""COMPUTED_VALUE"""),"Jay Levey")</f>
        <v>Jay Levey</v>
      </c>
      <c r="C1401" s="12">
        <v>7</v>
      </c>
      <c r="D1401" s="12">
        <v>0.72299999999999998</v>
      </c>
      <c r="E1401" s="12">
        <v>1</v>
      </c>
    </row>
    <row r="1402" spans="2:5" x14ac:dyDescent="0.25">
      <c r="B1402" s="11" t="str">
        <f ca="1">IFERROR(__xludf.DUMMYFUNCTION("""COMPUTED_VALUE"""),"Tamara Jenkins")</f>
        <v>Tamara Jenkins</v>
      </c>
      <c r="C1402" s="11">
        <v>6.6</v>
      </c>
      <c r="D1402" s="11">
        <v>0.55300000000000005</v>
      </c>
      <c r="E1402" s="11">
        <v>1</v>
      </c>
    </row>
    <row r="1403" spans="2:5" x14ac:dyDescent="0.25">
      <c r="B1403" s="12" t="str">
        <f ca="1">IFERROR(__xludf.DUMMYFUNCTION("""COMPUTED_VALUE"""),"Ronan Chapalain")</f>
        <v>Ronan Chapalain</v>
      </c>
      <c r="C1403" s="12">
        <v>6.9</v>
      </c>
      <c r="D1403" s="12">
        <v>0.68200000000000005</v>
      </c>
      <c r="E1403" s="12">
        <v>1</v>
      </c>
    </row>
    <row r="1404" spans="2:5" x14ac:dyDescent="0.25">
      <c r="B1404" s="11" t="str">
        <f ca="1">IFERROR(__xludf.DUMMYFUNCTION("""COMPUTED_VALUE"""),"Xavier Beauvois")</f>
        <v>Xavier Beauvois</v>
      </c>
      <c r="C1404" s="11">
        <v>7.2</v>
      </c>
      <c r="D1404" s="11">
        <v>0.81200000000000006</v>
      </c>
      <c r="E1404" s="11">
        <v>1</v>
      </c>
    </row>
    <row r="1405" spans="2:5" x14ac:dyDescent="0.25">
      <c r="B1405" s="12" t="str">
        <f ca="1">IFERROR(__xludf.DUMMYFUNCTION("""COMPUTED_VALUE"""),"Randall Miller")</f>
        <v>Randall Miller</v>
      </c>
      <c r="C1405" s="12">
        <v>6.9499999999999993</v>
      </c>
      <c r="D1405" s="12">
        <v>0.71499999999999997</v>
      </c>
      <c r="E1405" s="12">
        <v>2</v>
      </c>
    </row>
    <row r="1406" spans="2:5" x14ac:dyDescent="0.25">
      <c r="B1406" s="11" t="str">
        <f ca="1">IFERROR(__xludf.DUMMYFUNCTION("""COMPUTED_VALUE"""),"Dan Rush")</f>
        <v>Dan Rush</v>
      </c>
      <c r="C1406" s="11">
        <v>6.4</v>
      </c>
      <c r="D1406" s="11">
        <v>0.46400000000000002</v>
      </c>
      <c r="E1406" s="11">
        <v>1</v>
      </c>
    </row>
    <row r="1407" spans="2:5" x14ac:dyDescent="0.25">
      <c r="B1407" s="12" t="str">
        <f ca="1">IFERROR(__xludf.DUMMYFUNCTION("""COMPUTED_VALUE"""),"Michael Cuesta")</f>
        <v>Michael Cuesta</v>
      </c>
      <c r="C1407" s="12">
        <v>7.1</v>
      </c>
      <c r="D1407" s="12">
        <v>0.77200000000000002</v>
      </c>
      <c r="E1407" s="12">
        <v>2</v>
      </c>
    </row>
    <row r="1408" spans="2:5" x14ac:dyDescent="0.25">
      <c r="B1408" s="11" t="str">
        <f ca="1">IFERROR(__xludf.DUMMYFUNCTION("""COMPUTED_VALUE"""),"Fenton Bailey")</f>
        <v>Fenton Bailey</v>
      </c>
      <c r="C1408" s="11">
        <v>6.55</v>
      </c>
      <c r="D1408" s="11">
        <v>0.54200000000000004</v>
      </c>
      <c r="E1408" s="11">
        <v>2</v>
      </c>
    </row>
    <row r="1409" spans="2:5" x14ac:dyDescent="0.25">
      <c r="B1409" s="12" t="str">
        <f ca="1">IFERROR(__xludf.DUMMYFUNCTION("""COMPUTED_VALUE"""),"Jeremy Saulnier")</f>
        <v>Jeremy Saulnier</v>
      </c>
      <c r="C1409" s="12">
        <v>7.1</v>
      </c>
      <c r="D1409" s="12">
        <v>0.77200000000000002</v>
      </c>
      <c r="E1409" s="12">
        <v>2</v>
      </c>
    </row>
    <row r="1410" spans="2:5" x14ac:dyDescent="0.25">
      <c r="B1410" s="11" t="str">
        <f ca="1">IFERROR(__xludf.DUMMYFUNCTION("""COMPUTED_VALUE"""),"James Manera")</f>
        <v>James Manera</v>
      </c>
      <c r="C1410" s="11">
        <v>4.4000000000000004</v>
      </c>
      <c r="D1410" s="11">
        <v>0.05</v>
      </c>
      <c r="E1410" s="11">
        <v>1</v>
      </c>
    </row>
    <row r="1411" spans="2:5" x14ac:dyDescent="0.25">
      <c r="B1411" s="12" t="str">
        <f ca="1">IFERROR(__xludf.DUMMYFUNCTION("""COMPUTED_VALUE"""),"Nicholas Fackler")</f>
        <v>Nicholas Fackler</v>
      </c>
      <c r="C1411" s="12">
        <v>7.3</v>
      </c>
      <c r="D1411" s="12">
        <v>0.84899999999999998</v>
      </c>
      <c r="E1411" s="12">
        <v>1</v>
      </c>
    </row>
    <row r="1412" spans="2:5" x14ac:dyDescent="0.25">
      <c r="B1412" s="11" t="str">
        <f ca="1">IFERROR(__xludf.DUMMYFUNCTION("""COMPUTED_VALUE"""),"Morgan J. Freeman")</f>
        <v>Morgan J. Freeman</v>
      </c>
      <c r="C1412" s="11">
        <v>6.35</v>
      </c>
      <c r="D1412" s="11">
        <v>0.45600000000000002</v>
      </c>
      <c r="E1412" s="11">
        <v>2</v>
      </c>
    </row>
    <row r="1413" spans="2:5" x14ac:dyDescent="0.25">
      <c r="B1413" s="12" t="str">
        <f ca="1">IFERROR(__xludf.DUMMYFUNCTION("""COMPUTED_VALUE"""),"Klaus Menzel")</f>
        <v>Klaus Menzel</v>
      </c>
      <c r="C1413" s="12">
        <v>3.3</v>
      </c>
      <c r="D1413" s="12">
        <v>0.01</v>
      </c>
      <c r="E1413" s="12">
        <v>1</v>
      </c>
    </row>
    <row r="1414" spans="2:5" x14ac:dyDescent="0.25">
      <c r="B1414" s="11" t="str">
        <f ca="1">IFERROR(__xludf.DUMMYFUNCTION("""COMPUTED_VALUE"""),"William H. Macy")</f>
        <v>William H. Macy</v>
      </c>
      <c r="C1414" s="11">
        <v>7.5</v>
      </c>
      <c r="D1414" s="11">
        <v>0.89300000000000002</v>
      </c>
      <c r="E1414" s="11">
        <v>1</v>
      </c>
    </row>
    <row r="1415" spans="2:5" x14ac:dyDescent="0.25">
      <c r="B1415" s="12" t="str">
        <f ca="1">IFERROR(__xludf.DUMMYFUNCTION("""COMPUTED_VALUE"""),"Jirí Menzel")</f>
        <v>Jirí Menzel</v>
      </c>
      <c r="C1415" s="12">
        <v>7.4</v>
      </c>
      <c r="D1415" s="12">
        <v>0.875</v>
      </c>
      <c r="E1415" s="12">
        <v>1</v>
      </c>
    </row>
    <row r="1416" spans="2:5" x14ac:dyDescent="0.25">
      <c r="B1416" s="11" t="str">
        <f ca="1">IFERROR(__xludf.DUMMYFUNCTION("""COMPUTED_VALUE"""),"Fatih Akin")</f>
        <v>Fatih Akin</v>
      </c>
      <c r="C1416" s="11">
        <v>7.3</v>
      </c>
      <c r="D1416" s="11">
        <v>0.84899999999999998</v>
      </c>
      <c r="E1416" s="11">
        <v>1</v>
      </c>
    </row>
    <row r="1417" spans="2:5" x14ac:dyDescent="0.25">
      <c r="B1417" s="12" t="str">
        <f ca="1">IFERROR(__xludf.DUMMYFUNCTION("""COMPUTED_VALUE"""),"Frank LaLoggia")</f>
        <v>Frank LaLoggia</v>
      </c>
      <c r="C1417" s="12">
        <v>6.7</v>
      </c>
      <c r="D1417" s="12">
        <v>0.6</v>
      </c>
      <c r="E1417" s="12">
        <v>1</v>
      </c>
    </row>
    <row r="1418" spans="2:5" x14ac:dyDescent="0.25">
      <c r="B1418" s="11" t="str">
        <f ca="1">IFERROR(__xludf.DUMMYFUNCTION("""COMPUTED_VALUE"""),"Michel Leclerc")</f>
        <v>Michel Leclerc</v>
      </c>
      <c r="C1418" s="11">
        <v>7.2</v>
      </c>
      <c r="D1418" s="11">
        <v>0.81200000000000006</v>
      </c>
      <c r="E1418" s="11">
        <v>1</v>
      </c>
    </row>
    <row r="1419" spans="2:5" x14ac:dyDescent="0.25">
      <c r="B1419" s="12" t="str">
        <f ca="1">IFERROR(__xludf.DUMMYFUNCTION("""COMPUTED_VALUE"""),"Tom Kalin")</f>
        <v>Tom Kalin</v>
      </c>
      <c r="C1419" s="12">
        <v>5.9</v>
      </c>
      <c r="D1419" s="12">
        <v>0.27100000000000002</v>
      </c>
      <c r="E1419" s="12">
        <v>1</v>
      </c>
    </row>
    <row r="1420" spans="2:5" x14ac:dyDescent="0.25">
      <c r="B1420" s="11" t="str">
        <f ca="1">IFERROR(__xludf.DUMMYFUNCTION("""COMPUTED_VALUE"""),"Carlos Saura")</f>
        <v>Carlos Saura</v>
      </c>
      <c r="C1420" s="11">
        <v>7.2</v>
      </c>
      <c r="D1420" s="11">
        <v>0.81200000000000006</v>
      </c>
      <c r="E1420" s="11">
        <v>1</v>
      </c>
    </row>
    <row r="1421" spans="2:5" x14ac:dyDescent="0.25">
      <c r="B1421" s="12" t="str">
        <f ca="1">IFERROR(__xludf.DUMMYFUNCTION("""COMPUTED_VALUE"""),"Andrew Erwin")</f>
        <v>Andrew Erwin</v>
      </c>
      <c r="C1421" s="12">
        <v>5.4</v>
      </c>
      <c r="D1421" s="12">
        <v>0.155</v>
      </c>
      <c r="E1421" s="12">
        <v>1</v>
      </c>
    </row>
    <row r="1422" spans="2:5" x14ac:dyDescent="0.25">
      <c r="B1422" s="11" t="str">
        <f ca="1">IFERROR(__xludf.DUMMYFUNCTION("""COMPUTED_VALUE"""),"Mike van Diem")</f>
        <v>Mike van Diem</v>
      </c>
      <c r="C1422" s="11">
        <v>7.8</v>
      </c>
      <c r="D1422" s="11">
        <v>0.95799999999999996</v>
      </c>
      <c r="E1422" s="11">
        <v>1</v>
      </c>
    </row>
    <row r="1423" spans="2:5" x14ac:dyDescent="0.25">
      <c r="B1423" s="12" t="str">
        <f ca="1">IFERROR(__xludf.DUMMYFUNCTION("""COMPUTED_VALUE"""),"Jonas Åkerlund")</f>
        <v>Jonas Åkerlund</v>
      </c>
      <c r="C1423" s="12">
        <v>6.8</v>
      </c>
      <c r="D1423" s="12">
        <v>0.63800000000000001</v>
      </c>
      <c r="E1423" s="12">
        <v>1</v>
      </c>
    </row>
    <row r="1424" spans="2:5" x14ac:dyDescent="0.25">
      <c r="B1424" s="11" t="str">
        <f ca="1">IFERROR(__xludf.DUMMYFUNCTION("""COMPUTED_VALUE"""),"Barry Skolnick")</f>
        <v>Barry Skolnick</v>
      </c>
      <c r="C1424" s="11">
        <v>6.5</v>
      </c>
      <c r="D1424" s="11">
        <v>0.504</v>
      </c>
      <c r="E1424" s="11">
        <v>1</v>
      </c>
    </row>
    <row r="1425" spans="2:5" x14ac:dyDescent="0.25">
      <c r="B1425" s="12" t="str">
        <f ca="1">IFERROR(__xludf.DUMMYFUNCTION("""COMPUTED_VALUE"""),"Johnnie To")</f>
        <v>Johnnie To</v>
      </c>
      <c r="C1425" s="12">
        <v>7.3</v>
      </c>
      <c r="D1425" s="12">
        <v>0.84899999999999998</v>
      </c>
      <c r="E1425" s="12">
        <v>1</v>
      </c>
    </row>
    <row r="1426" spans="2:5" x14ac:dyDescent="0.25">
      <c r="B1426" s="11" t="str">
        <f ca="1">IFERROR(__xludf.DUMMYFUNCTION("""COMPUTED_VALUE"""),"Agnieszka Wojtowicz-Vosloo")</f>
        <v>Agnieszka Wojtowicz-Vosloo</v>
      </c>
      <c r="C1426" s="11">
        <v>5.9</v>
      </c>
      <c r="D1426" s="11">
        <v>0.27100000000000002</v>
      </c>
      <c r="E1426" s="11">
        <v>1</v>
      </c>
    </row>
    <row r="1427" spans="2:5" x14ac:dyDescent="0.25">
      <c r="B1427" s="12" t="str">
        <f ca="1">IFERROR(__xludf.DUMMYFUNCTION("""COMPUTED_VALUE"""),"Ernie Barbarash")</f>
        <v>Ernie Barbarash</v>
      </c>
      <c r="C1427" s="12">
        <v>5.8</v>
      </c>
      <c r="D1427" s="12">
        <v>0.251</v>
      </c>
      <c r="E1427" s="12">
        <v>1</v>
      </c>
    </row>
    <row r="1428" spans="2:5" x14ac:dyDescent="0.25">
      <c r="B1428" s="11" t="str">
        <f ca="1">IFERROR(__xludf.DUMMYFUNCTION("""COMPUTED_VALUE"""),"Nick Love")</f>
        <v>Nick Love</v>
      </c>
      <c r="C1428" s="11">
        <v>6.1</v>
      </c>
      <c r="D1428" s="11">
        <v>0.35099999999999998</v>
      </c>
      <c r="E1428" s="11">
        <v>1</v>
      </c>
    </row>
    <row r="1429" spans="2:5" x14ac:dyDescent="0.25">
      <c r="B1429" s="12" t="str">
        <f ca="1">IFERROR(__xludf.DUMMYFUNCTION("""COMPUTED_VALUE"""),"R. Balki")</f>
        <v>R. Balki</v>
      </c>
      <c r="C1429" s="12">
        <v>7.2</v>
      </c>
      <c r="D1429" s="12">
        <v>0.81200000000000006</v>
      </c>
      <c r="E1429" s="12">
        <v>1</v>
      </c>
    </row>
    <row r="1430" spans="2:5" x14ac:dyDescent="0.25">
      <c r="B1430" s="11" t="str">
        <f ca="1">IFERROR(__xludf.DUMMYFUNCTION("""COMPUTED_VALUE"""),"Cecil B. DeMille")</f>
        <v>Cecil B. DeMille</v>
      </c>
      <c r="C1430" s="11">
        <v>6.7</v>
      </c>
      <c r="D1430" s="11">
        <v>0.6</v>
      </c>
      <c r="E1430" s="11">
        <v>1</v>
      </c>
    </row>
    <row r="1431" spans="2:5" x14ac:dyDescent="0.25">
      <c r="B1431" s="12" t="str">
        <f ca="1">IFERROR(__xludf.DUMMYFUNCTION("""COMPUTED_VALUE"""),"Henry Hobson")</f>
        <v>Henry Hobson</v>
      </c>
      <c r="C1431" s="12">
        <v>5.6</v>
      </c>
      <c r="D1431" s="12">
        <v>0.19700000000000001</v>
      </c>
      <c r="E1431" s="12">
        <v>1</v>
      </c>
    </row>
    <row r="1432" spans="2:5" x14ac:dyDescent="0.25">
      <c r="B1432" s="11" t="str">
        <f ca="1">IFERROR(__xludf.DUMMYFUNCTION("""COMPUTED_VALUE"""),"Mike Figgis")</f>
        <v>Mike Figgis</v>
      </c>
      <c r="C1432" s="11">
        <v>6.5</v>
      </c>
      <c r="D1432" s="11">
        <v>0.504</v>
      </c>
      <c r="E1432" s="11">
        <v>2</v>
      </c>
    </row>
    <row r="1433" spans="2:5" x14ac:dyDescent="0.25">
      <c r="B1433" s="12" t="str">
        <f ca="1">IFERROR(__xludf.DUMMYFUNCTION("""COMPUTED_VALUE"""),"Lisa Cholodenko")</f>
        <v>Lisa Cholodenko</v>
      </c>
      <c r="C1433" s="12">
        <v>7.1</v>
      </c>
      <c r="D1433" s="12">
        <v>0.77200000000000002</v>
      </c>
      <c r="E1433" s="12">
        <v>1</v>
      </c>
    </row>
    <row r="1434" spans="2:5" x14ac:dyDescent="0.25">
      <c r="B1434" s="11" t="str">
        <f ca="1">IFERROR(__xludf.DUMMYFUNCTION("""COMPUTED_VALUE"""),"Ed Gass-Donnelly")</f>
        <v>Ed Gass-Donnelly</v>
      </c>
      <c r="C1434" s="11">
        <v>4</v>
      </c>
      <c r="D1434" s="11">
        <v>3.1E-2</v>
      </c>
      <c r="E1434" s="11">
        <v>1</v>
      </c>
    </row>
    <row r="1435" spans="2:5" x14ac:dyDescent="0.25">
      <c r="B1435" s="12" t="str">
        <f ca="1">IFERROR(__xludf.DUMMYFUNCTION("""COMPUTED_VALUE"""),"DJ Pooh")</f>
        <v>DJ Pooh</v>
      </c>
      <c r="C1435" s="12">
        <v>4.3</v>
      </c>
      <c r="D1435" s="12">
        <v>4.4999999999999998E-2</v>
      </c>
      <c r="E1435" s="12">
        <v>2</v>
      </c>
    </row>
    <row r="1436" spans="2:5" x14ac:dyDescent="0.25">
      <c r="B1436" s="11" t="str">
        <f ca="1">IFERROR(__xludf.DUMMYFUNCTION("""COMPUTED_VALUE"""),"Patrick Stettner")</f>
        <v>Patrick Stettner</v>
      </c>
      <c r="C1436" s="11">
        <v>5.9</v>
      </c>
      <c r="D1436" s="11">
        <v>0.27100000000000002</v>
      </c>
      <c r="E1436" s="11">
        <v>1</v>
      </c>
    </row>
    <row r="1437" spans="2:5" x14ac:dyDescent="0.25">
      <c r="B1437" s="12" t="str">
        <f ca="1">IFERROR(__xludf.DUMMYFUNCTION("""COMPUTED_VALUE"""),"Roger Avary")</f>
        <v>Roger Avary</v>
      </c>
      <c r="C1437" s="12">
        <v>6.6</v>
      </c>
      <c r="D1437" s="12">
        <v>0.55300000000000005</v>
      </c>
      <c r="E1437" s="12">
        <v>2</v>
      </c>
    </row>
    <row r="1438" spans="2:5" x14ac:dyDescent="0.25">
      <c r="B1438" s="11" t="str">
        <f ca="1">IFERROR(__xludf.DUMMYFUNCTION("""COMPUTED_VALUE"""),"Allison Anders")</f>
        <v>Allison Anders</v>
      </c>
      <c r="C1438" s="11">
        <v>6.4</v>
      </c>
      <c r="D1438" s="11">
        <v>0.46400000000000002</v>
      </c>
      <c r="E1438" s="11">
        <v>2</v>
      </c>
    </row>
    <row r="1439" spans="2:5" x14ac:dyDescent="0.25">
      <c r="B1439" s="12" t="str">
        <f ca="1">IFERROR(__xludf.DUMMYFUNCTION("""COMPUTED_VALUE"""),"Rick de Oliveira")</f>
        <v>Rick de Oliveira</v>
      </c>
      <c r="C1439" s="12">
        <v>2.7</v>
      </c>
      <c r="D1439" s="12">
        <v>2E-3</v>
      </c>
      <c r="E1439" s="12">
        <v>1</v>
      </c>
    </row>
    <row r="1440" spans="2:5" x14ac:dyDescent="0.25">
      <c r="B1440" s="11" t="str">
        <f ca="1">IFERROR(__xludf.DUMMYFUNCTION("""COMPUTED_VALUE"""),"Jeff Franklin")</f>
        <v>Jeff Franklin</v>
      </c>
      <c r="C1440" s="11">
        <v>5.8</v>
      </c>
      <c r="D1440" s="11">
        <v>0.251</v>
      </c>
      <c r="E1440" s="11">
        <v>1</v>
      </c>
    </row>
    <row r="1441" spans="2:5" x14ac:dyDescent="0.25">
      <c r="B1441" s="12" t="str">
        <f ca="1">IFERROR(__xludf.DUMMYFUNCTION("""COMPUTED_VALUE"""),"Mike Mills")</f>
        <v>Mike Mills</v>
      </c>
      <c r="C1441" s="12">
        <v>6.9</v>
      </c>
      <c r="D1441" s="12">
        <v>0.68200000000000005</v>
      </c>
      <c r="E1441" s="12">
        <v>2</v>
      </c>
    </row>
    <row r="1442" spans="2:5" x14ac:dyDescent="0.25">
      <c r="B1442" s="11" t="str">
        <f ca="1">IFERROR(__xludf.DUMMYFUNCTION("""COMPUTED_VALUE"""),"Dave McKean")</f>
        <v>Dave McKean</v>
      </c>
      <c r="C1442" s="11">
        <v>6.9</v>
      </c>
      <c r="D1442" s="11">
        <v>0.68200000000000005</v>
      </c>
      <c r="E1442" s="11">
        <v>1</v>
      </c>
    </row>
    <row r="1443" spans="2:5" x14ac:dyDescent="0.25">
      <c r="B1443" s="12" t="str">
        <f ca="1">IFERROR(__xludf.DUMMYFUNCTION("""COMPUTED_VALUE"""),"Ron Fricke")</f>
        <v>Ron Fricke</v>
      </c>
      <c r="C1443" s="12">
        <v>8.5</v>
      </c>
      <c r="D1443" s="12">
        <v>0.996</v>
      </c>
      <c r="E1443" s="12">
        <v>1</v>
      </c>
    </row>
    <row r="1444" spans="2:5" x14ac:dyDescent="0.25">
      <c r="B1444" s="11" t="str">
        <f ca="1">IFERROR(__xludf.DUMMYFUNCTION("""COMPUTED_VALUE"""),"Ruggero Deodato")</f>
        <v>Ruggero Deodato</v>
      </c>
      <c r="C1444" s="11">
        <v>4.8</v>
      </c>
      <c r="D1444" s="11">
        <v>7.3999999999999996E-2</v>
      </c>
      <c r="E1444" s="11">
        <v>1</v>
      </c>
    </row>
    <row r="1445" spans="2:5" x14ac:dyDescent="0.25">
      <c r="B1445" s="12" t="str">
        <f ca="1">IFERROR(__xludf.DUMMYFUNCTION("""COMPUTED_VALUE"""),"Mars Callahan")</f>
        <v>Mars Callahan</v>
      </c>
      <c r="C1445" s="12">
        <v>7</v>
      </c>
      <c r="D1445" s="12">
        <v>0.72299999999999998</v>
      </c>
      <c r="E1445" s="12">
        <v>1</v>
      </c>
    </row>
    <row r="1446" spans="2:5" x14ac:dyDescent="0.25">
      <c r="B1446" s="11" t="str">
        <f ca="1">IFERROR(__xludf.DUMMYFUNCTION("""COMPUTED_VALUE"""),"Stefan Schwartz")</f>
        <v>Stefan Schwartz</v>
      </c>
      <c r="C1446" s="11">
        <v>6.6</v>
      </c>
      <c r="D1446" s="11">
        <v>0.55300000000000005</v>
      </c>
      <c r="E1446" s="11">
        <v>1</v>
      </c>
    </row>
    <row r="1447" spans="2:5" x14ac:dyDescent="0.25">
      <c r="B1447" s="12" t="str">
        <f ca="1">IFERROR(__xludf.DUMMYFUNCTION("""COMPUTED_VALUE"""),"Robert Lee King")</f>
        <v>Robert Lee King</v>
      </c>
      <c r="C1447" s="12">
        <v>6.3</v>
      </c>
      <c r="D1447" s="12">
        <v>0.42299999999999999</v>
      </c>
      <c r="E1447" s="12">
        <v>1</v>
      </c>
    </row>
    <row r="1448" spans="2:5" x14ac:dyDescent="0.25">
      <c r="B1448" s="11" t="str">
        <f ca="1">IFERROR(__xludf.DUMMYFUNCTION("""COMPUTED_VALUE"""),"Jorge Ramírez Suárez")</f>
        <v>Jorge Ramírez Suárez</v>
      </c>
      <c r="C1448" s="11">
        <v>7.7</v>
      </c>
      <c r="D1448" s="11">
        <v>0.94</v>
      </c>
      <c r="E1448" s="11">
        <v>1</v>
      </c>
    </row>
    <row r="1449" spans="2:5" x14ac:dyDescent="0.25">
      <c r="B1449" s="12" t="str">
        <f ca="1">IFERROR(__xludf.DUMMYFUNCTION("""COMPUTED_VALUE"""),"David Schwimmer")</f>
        <v>David Schwimmer</v>
      </c>
      <c r="C1449" s="12">
        <v>7</v>
      </c>
      <c r="D1449" s="12">
        <v>0.72299999999999998</v>
      </c>
      <c r="E1449" s="12">
        <v>1</v>
      </c>
    </row>
    <row r="1450" spans="2:5" x14ac:dyDescent="0.25">
      <c r="B1450" s="11" t="str">
        <f ca="1">IFERROR(__xludf.DUMMYFUNCTION("""COMPUTED_VALUE"""),"Fernando León de Aranoa")</f>
        <v>Fernando León de Aranoa</v>
      </c>
      <c r="C1450" s="11">
        <v>7.7</v>
      </c>
      <c r="D1450" s="11">
        <v>0.94</v>
      </c>
      <c r="E1450" s="11">
        <v>1</v>
      </c>
    </row>
    <row r="1451" spans="2:5" x14ac:dyDescent="0.25">
      <c r="B1451" s="12" t="str">
        <f ca="1">IFERROR(__xludf.DUMMYFUNCTION("""COMPUTED_VALUE"""),"Jim Mickle")</f>
        <v>Jim Mickle</v>
      </c>
      <c r="C1451" s="12">
        <v>6.5</v>
      </c>
      <c r="D1451" s="12">
        <v>0.504</v>
      </c>
      <c r="E1451" s="12">
        <v>1</v>
      </c>
    </row>
    <row r="1452" spans="2:5" x14ac:dyDescent="0.25">
      <c r="B1452" s="11" t="str">
        <f ca="1">IFERROR(__xludf.DUMMYFUNCTION("""COMPUTED_VALUE"""),"Karim Aïnouz")</f>
        <v>Karim Aïnouz</v>
      </c>
      <c r="C1452" s="11">
        <v>6.1</v>
      </c>
      <c r="D1452" s="11">
        <v>0.35099999999999998</v>
      </c>
      <c r="E1452" s="11">
        <v>1</v>
      </c>
    </row>
    <row r="1453" spans="2:5" x14ac:dyDescent="0.25">
      <c r="B1453" s="12" t="str">
        <f ca="1">IFERROR(__xludf.DUMMYFUNCTION("""COMPUTED_VALUE"""),"Ruba Nadda")</f>
        <v>Ruba Nadda</v>
      </c>
      <c r="C1453" s="12">
        <v>5.2</v>
      </c>
      <c r="D1453" s="12">
        <v>0.113</v>
      </c>
      <c r="E1453" s="12">
        <v>1</v>
      </c>
    </row>
    <row r="1454" spans="2:5" x14ac:dyDescent="0.25">
      <c r="B1454" s="11" t="str">
        <f ca="1">IFERROR(__xludf.DUMMYFUNCTION("""COMPUTED_VALUE"""),"Victor Fleming")</f>
        <v>Victor Fleming</v>
      </c>
      <c r="C1454" s="11">
        <v>8.1499999999999986</v>
      </c>
      <c r="D1454" s="11">
        <v>0.98599999999999999</v>
      </c>
      <c r="E1454" s="11">
        <v>2</v>
      </c>
    </row>
    <row r="1455" spans="2:5" x14ac:dyDescent="0.25">
      <c r="B1455" s="12" t="str">
        <f ca="1">IFERROR(__xludf.DUMMYFUNCTION("""COMPUTED_VALUE"""),"Richard Raymond")</f>
        <v>Richard Raymond</v>
      </c>
      <c r="C1455" s="12">
        <v>6</v>
      </c>
      <c r="D1455" s="12">
        <v>0.312</v>
      </c>
      <c r="E1455" s="12">
        <v>1</v>
      </c>
    </row>
    <row r="1456" spans="2:5" x14ac:dyDescent="0.25">
      <c r="B1456" s="11" t="str">
        <f ca="1">IFERROR(__xludf.DUMMYFUNCTION("""COMPUTED_VALUE"""),"Sam Peckinpah")</f>
        <v>Sam Peckinpah</v>
      </c>
      <c r="C1456" s="11">
        <v>6.8</v>
      </c>
      <c r="D1456" s="11">
        <v>0.63800000000000001</v>
      </c>
      <c r="E1456" s="11">
        <v>1</v>
      </c>
    </row>
    <row r="1457" spans="2:5" x14ac:dyDescent="0.25">
      <c r="B1457" s="12" t="str">
        <f ca="1">IFERROR(__xludf.DUMMYFUNCTION("""COMPUTED_VALUE"""),"George Sidney")</f>
        <v>George Sidney</v>
      </c>
      <c r="C1457" s="12">
        <v>7</v>
      </c>
      <c r="D1457" s="12">
        <v>0.72299999999999998</v>
      </c>
      <c r="E1457" s="12">
        <v>1</v>
      </c>
    </row>
    <row r="1458" spans="2:5" x14ac:dyDescent="0.25">
      <c r="B1458" s="11" t="str">
        <f ca="1">IFERROR(__xludf.DUMMYFUNCTION("""COMPUTED_VALUE"""),"Peter Stebbings")</f>
        <v>Peter Stebbings</v>
      </c>
      <c r="C1458" s="11">
        <v>6.8</v>
      </c>
      <c r="D1458" s="11">
        <v>0.63800000000000001</v>
      </c>
      <c r="E1458" s="11">
        <v>1</v>
      </c>
    </row>
    <row r="1459" spans="2:5" x14ac:dyDescent="0.25">
      <c r="B1459" s="12" t="str">
        <f ca="1">IFERROR(__xludf.DUMMYFUNCTION("""COMPUTED_VALUE"""),"Vincente Minnelli")</f>
        <v>Vincente Minnelli</v>
      </c>
      <c r="C1459" s="12">
        <v>7.1</v>
      </c>
      <c r="D1459" s="12">
        <v>0.77200000000000002</v>
      </c>
      <c r="E1459" s="12">
        <v>1</v>
      </c>
    </row>
    <row r="1460" spans="2:5" x14ac:dyDescent="0.25">
      <c r="B1460" s="11" t="str">
        <f ca="1">IFERROR(__xludf.DUMMYFUNCTION("""COMPUTED_VALUE"""),"Dagur Kári")</f>
        <v>Dagur Kári</v>
      </c>
      <c r="C1460" s="11">
        <v>6.9</v>
      </c>
      <c r="D1460" s="11">
        <v>0.68200000000000005</v>
      </c>
      <c r="E1460" s="11">
        <v>1</v>
      </c>
    </row>
    <row r="1461" spans="2:5" x14ac:dyDescent="0.25">
      <c r="B1461" s="12" t="str">
        <f ca="1">IFERROR(__xludf.DUMMYFUNCTION("""COMPUTED_VALUE"""),"Jim Abrahams")</f>
        <v>Jim Abrahams</v>
      </c>
      <c r="C1461" s="12">
        <v>7.8</v>
      </c>
      <c r="D1461" s="12">
        <v>0.95799999999999996</v>
      </c>
      <c r="E1461" s="12">
        <v>1</v>
      </c>
    </row>
    <row r="1462" spans="2:5" x14ac:dyDescent="0.25">
      <c r="B1462" s="11" t="str">
        <f ca="1">IFERROR(__xludf.DUMMYFUNCTION("""COMPUTED_VALUE"""),"Michael Gornick")</f>
        <v>Michael Gornick</v>
      </c>
      <c r="C1462" s="11">
        <v>6</v>
      </c>
      <c r="D1462" s="11">
        <v>0.312</v>
      </c>
      <c r="E1462" s="11">
        <v>1</v>
      </c>
    </row>
    <row r="1463" spans="2:5" x14ac:dyDescent="0.25">
      <c r="B1463" s="12" t="str">
        <f ca="1">IFERROR(__xludf.DUMMYFUNCTION("""COMPUTED_VALUE"""),"Robert Eggers")</f>
        <v>Robert Eggers</v>
      </c>
      <c r="C1463" s="12">
        <v>6.8</v>
      </c>
      <c r="D1463" s="12">
        <v>0.63800000000000001</v>
      </c>
      <c r="E1463" s="12">
        <v>1</v>
      </c>
    </row>
    <row r="1464" spans="2:5" x14ac:dyDescent="0.25">
      <c r="B1464" s="11" t="str">
        <f ca="1">IFERROR(__xludf.DUMMYFUNCTION("""COMPUTED_VALUE"""),"Michael Martin")</f>
        <v>Michael Martin</v>
      </c>
      <c r="C1464" s="11">
        <v>3.9</v>
      </c>
      <c r="D1464" s="11">
        <v>2.7E-2</v>
      </c>
      <c r="E1464" s="11">
        <v>1</v>
      </c>
    </row>
    <row r="1465" spans="2:5" x14ac:dyDescent="0.25">
      <c r="B1465" s="12" t="str">
        <f ca="1">IFERROR(__xludf.DUMMYFUNCTION("""COMPUTED_VALUE"""),"Edward Burns")</f>
        <v>Edward Burns</v>
      </c>
      <c r="C1465" s="12">
        <v>6.3666666666666671</v>
      </c>
      <c r="D1465" s="12">
        <v>0.45900000000000002</v>
      </c>
      <c r="E1465" s="12">
        <v>3</v>
      </c>
    </row>
    <row r="1466" spans="2:5" x14ac:dyDescent="0.25">
      <c r="B1466" s="11" t="str">
        <f ca="1">IFERROR(__xludf.DUMMYFUNCTION("""COMPUTED_VALUE"""),"Juan José Campanella")</f>
        <v>Juan José Campanella</v>
      </c>
      <c r="C1466" s="11">
        <v>8.1999999999999993</v>
      </c>
      <c r="D1466" s="11">
        <v>0.98599999999999999</v>
      </c>
      <c r="E1466" s="11">
        <v>1</v>
      </c>
    </row>
    <row r="1467" spans="2:5" x14ac:dyDescent="0.25">
      <c r="B1467" s="12" t="str">
        <f ca="1">IFERROR(__xludf.DUMMYFUNCTION("""COMPUTED_VALUE"""),"Louis C.K.")</f>
        <v>Louis C.K.</v>
      </c>
      <c r="C1467" s="12">
        <v>5.2</v>
      </c>
      <c r="D1467" s="12">
        <v>0.113</v>
      </c>
      <c r="E1467" s="12">
        <v>1</v>
      </c>
    </row>
    <row r="1468" spans="2:5" x14ac:dyDescent="0.25">
      <c r="B1468" s="11" t="str">
        <f ca="1">IFERROR(__xludf.DUMMYFUNCTION("""COMPUTED_VALUE"""),"Salvador Carrasco")</f>
        <v>Salvador Carrasco</v>
      </c>
      <c r="C1468" s="11">
        <v>6.8</v>
      </c>
      <c r="D1468" s="11">
        <v>0.63800000000000001</v>
      </c>
      <c r="E1468" s="11">
        <v>1</v>
      </c>
    </row>
    <row r="1469" spans="2:5" x14ac:dyDescent="0.25">
      <c r="B1469" s="12" t="str">
        <f ca="1">IFERROR(__xludf.DUMMYFUNCTION("""COMPUTED_VALUE"""),"André Øvredal")</f>
        <v>André Øvredal</v>
      </c>
      <c r="C1469" s="12">
        <v>7</v>
      </c>
      <c r="D1469" s="12">
        <v>0.72299999999999998</v>
      </c>
      <c r="E1469" s="12">
        <v>1</v>
      </c>
    </row>
    <row r="1470" spans="2:5" x14ac:dyDescent="0.25">
      <c r="B1470" s="11" t="str">
        <f ca="1">IFERROR(__xludf.DUMMYFUNCTION("""COMPUTED_VALUE"""),"Robert Cary")</f>
        <v>Robert Cary</v>
      </c>
      <c r="C1470" s="11">
        <v>6.5</v>
      </c>
      <c r="D1470" s="11">
        <v>0.504</v>
      </c>
      <c r="E1470" s="11">
        <v>1</v>
      </c>
    </row>
    <row r="1471" spans="2:5" x14ac:dyDescent="0.25">
      <c r="B1471" s="12" t="str">
        <f ca="1">IFERROR(__xludf.DUMMYFUNCTION("""COMPUTED_VALUE"""),"Adam Rapp")</f>
        <v>Adam Rapp</v>
      </c>
      <c r="C1471" s="12">
        <v>6.4</v>
      </c>
      <c r="D1471" s="12">
        <v>0.46400000000000002</v>
      </c>
      <c r="E1471" s="12">
        <v>1</v>
      </c>
    </row>
    <row r="1472" spans="2:5" x14ac:dyDescent="0.25">
      <c r="B1472" s="11" t="str">
        <f ca="1">IFERROR(__xludf.DUMMYFUNCTION("""COMPUTED_VALUE"""),"Warren P. Sonoda")</f>
        <v>Warren P. Sonoda</v>
      </c>
      <c r="C1472" s="11">
        <v>4.7</v>
      </c>
      <c r="D1472" s="11">
        <v>6.6000000000000003E-2</v>
      </c>
      <c r="E1472" s="11">
        <v>1</v>
      </c>
    </row>
    <row r="1473" spans="2:5" x14ac:dyDescent="0.25">
      <c r="B1473" s="12" t="str">
        <f ca="1">IFERROR(__xludf.DUMMYFUNCTION("""COMPUTED_VALUE"""),"Charles Ferguson")</f>
        <v>Charles Ferguson</v>
      </c>
      <c r="C1473" s="12">
        <v>7.65</v>
      </c>
      <c r="D1473" s="12">
        <v>0.93300000000000005</v>
      </c>
      <c r="E1473" s="12">
        <v>2</v>
      </c>
    </row>
    <row r="1474" spans="2:5" x14ac:dyDescent="0.25">
      <c r="B1474" s="11" t="str">
        <f ca="1">IFERROR(__xludf.DUMMYFUNCTION("""COMPUTED_VALUE"""),"Luc Jacquet")</f>
        <v>Luc Jacquet</v>
      </c>
      <c r="C1474" s="11">
        <v>7.6</v>
      </c>
      <c r="D1474" s="11">
        <v>0.91500000000000004</v>
      </c>
      <c r="E1474" s="11">
        <v>1</v>
      </c>
    </row>
    <row r="1475" spans="2:5" x14ac:dyDescent="0.25">
      <c r="B1475" s="12" t="str">
        <f ca="1">IFERROR(__xludf.DUMMYFUNCTION("""COMPUTED_VALUE"""),"Clark Gregg")</f>
        <v>Clark Gregg</v>
      </c>
      <c r="C1475" s="12">
        <v>6.5</v>
      </c>
      <c r="D1475" s="12">
        <v>0.504</v>
      </c>
      <c r="E1475" s="12">
        <v>1</v>
      </c>
    </row>
    <row r="1476" spans="2:5" x14ac:dyDescent="0.25">
      <c r="B1476" s="11" t="str">
        <f ca="1">IFERROR(__xludf.DUMMYFUNCTION("""COMPUTED_VALUE"""),"Damien Chazelle")</f>
        <v>Damien Chazelle</v>
      </c>
      <c r="C1476" s="11">
        <v>8.5</v>
      </c>
      <c r="D1476" s="11">
        <v>0.996</v>
      </c>
      <c r="E1476" s="11">
        <v>1</v>
      </c>
    </row>
    <row r="1477" spans="2:5" x14ac:dyDescent="0.25">
      <c r="B1477" s="12" t="str">
        <f ca="1">IFERROR(__xludf.DUMMYFUNCTION("""COMPUTED_VALUE"""),"Justin Kerrigan")</f>
        <v>Justin Kerrigan</v>
      </c>
      <c r="C1477" s="12">
        <v>7.1</v>
      </c>
      <c r="D1477" s="12">
        <v>0.77200000000000002</v>
      </c>
      <c r="E1477" s="12">
        <v>1</v>
      </c>
    </row>
    <row r="1478" spans="2:5" x14ac:dyDescent="0.25">
      <c r="B1478" s="11" t="str">
        <f ca="1">IFERROR(__xludf.DUMMYFUNCTION("""COMPUTED_VALUE"""),"Eric Styles")</f>
        <v>Eric Styles</v>
      </c>
      <c r="C1478" s="11">
        <v>6.4</v>
      </c>
      <c r="D1478" s="11">
        <v>0.46400000000000002</v>
      </c>
      <c r="E1478" s="11">
        <v>1</v>
      </c>
    </row>
    <row r="1479" spans="2:5" x14ac:dyDescent="0.25">
      <c r="B1479" s="12" t="str">
        <f ca="1">IFERROR(__xludf.DUMMYFUNCTION("""COMPUTED_VALUE"""),"Joshua Marston")</f>
        <v>Joshua Marston</v>
      </c>
      <c r="C1479" s="12">
        <v>7.5</v>
      </c>
      <c r="D1479" s="12">
        <v>0.89300000000000002</v>
      </c>
      <c r="E1479" s="12">
        <v>1</v>
      </c>
    </row>
    <row r="1480" spans="2:5" x14ac:dyDescent="0.25">
      <c r="B1480" s="11" t="str">
        <f ca="1">IFERROR(__xludf.DUMMYFUNCTION("""COMPUTED_VALUE"""),"Tod Williams")</f>
        <v>Tod Williams</v>
      </c>
      <c r="C1480" s="11">
        <v>5.7</v>
      </c>
      <c r="D1480" s="11">
        <v>0.23100000000000001</v>
      </c>
      <c r="E1480" s="11">
        <v>1</v>
      </c>
    </row>
    <row r="1481" spans="2:5" x14ac:dyDescent="0.25">
      <c r="B1481" s="12" t="str">
        <f ca="1">IFERROR(__xludf.DUMMYFUNCTION("""COMPUTED_VALUE"""),"Jack Sholder")</f>
        <v>Jack Sholder</v>
      </c>
      <c r="C1481" s="12">
        <v>5.4</v>
      </c>
      <c r="D1481" s="12">
        <v>0.155</v>
      </c>
      <c r="E1481" s="12">
        <v>1</v>
      </c>
    </row>
    <row r="1482" spans="2:5" x14ac:dyDescent="0.25">
      <c r="B1482" s="11" t="str">
        <f ca="1">IFERROR(__xludf.DUMMYFUNCTION("""COMPUTED_VALUE"""),"Tom McLoughlin")</f>
        <v>Tom McLoughlin</v>
      </c>
      <c r="C1482" s="11">
        <v>5.9</v>
      </c>
      <c r="D1482" s="11">
        <v>0.27100000000000002</v>
      </c>
      <c r="E1482" s="11">
        <v>1</v>
      </c>
    </row>
    <row r="1483" spans="2:5" x14ac:dyDescent="0.25">
      <c r="B1483" s="12" t="str">
        <f ca="1">IFERROR(__xludf.DUMMYFUNCTION("""COMPUTED_VALUE"""),"Adam Marcus")</f>
        <v>Adam Marcus</v>
      </c>
      <c r="C1483" s="12">
        <v>4.3</v>
      </c>
      <c r="D1483" s="12">
        <v>4.4999999999999998E-2</v>
      </c>
      <c r="E1483" s="12">
        <v>1</v>
      </c>
    </row>
    <row r="1484" spans="2:5" x14ac:dyDescent="0.25">
      <c r="B1484" s="11" t="str">
        <f ca="1">IFERROR(__xludf.DUMMYFUNCTION("""COMPUTED_VALUE"""),"Benny Boom")</f>
        <v>Benny Boom</v>
      </c>
      <c r="C1484" s="11">
        <v>5.9</v>
      </c>
      <c r="D1484" s="11">
        <v>0.27100000000000002</v>
      </c>
      <c r="E1484" s="11">
        <v>1</v>
      </c>
    </row>
    <row r="1485" spans="2:5" x14ac:dyDescent="0.25">
      <c r="B1485" s="12" t="str">
        <f ca="1">IFERROR(__xludf.DUMMYFUNCTION("""COMPUTED_VALUE"""),"Nnegest Likké")</f>
        <v>Nnegest Likké</v>
      </c>
      <c r="C1485" s="12">
        <v>3</v>
      </c>
      <c r="D1485" s="12">
        <v>6.0000000000000001E-3</v>
      </c>
      <c r="E1485" s="12">
        <v>1</v>
      </c>
    </row>
    <row r="1486" spans="2:5" x14ac:dyDescent="0.25">
      <c r="B1486" s="11" t="str">
        <f ca="1">IFERROR(__xludf.DUMMYFUNCTION("""COMPUTED_VALUE"""),"Christopher Leitch")</f>
        <v>Christopher Leitch</v>
      </c>
      <c r="C1486" s="11">
        <v>3.2</v>
      </c>
      <c r="D1486" s="11">
        <v>0.01</v>
      </c>
      <c r="E1486" s="11">
        <v>1</v>
      </c>
    </row>
    <row r="1487" spans="2:5" x14ac:dyDescent="0.25">
      <c r="B1487" s="12" t="str">
        <f ca="1">IFERROR(__xludf.DUMMYFUNCTION("""COMPUTED_VALUE"""),"Don Coscarelli")</f>
        <v>Don Coscarelli</v>
      </c>
      <c r="C1487" s="12">
        <v>6.5</v>
      </c>
      <c r="D1487" s="12">
        <v>0.504</v>
      </c>
      <c r="E1487" s="12">
        <v>1</v>
      </c>
    </row>
    <row r="1488" spans="2:5" x14ac:dyDescent="0.25">
      <c r="B1488" s="11" t="str">
        <f ca="1">IFERROR(__xludf.DUMMYFUNCTION("""COMPUTED_VALUE"""),"Patricia Cardoso")</f>
        <v>Patricia Cardoso</v>
      </c>
      <c r="C1488" s="11">
        <v>7</v>
      </c>
      <c r="D1488" s="11">
        <v>0.72299999999999998</v>
      </c>
      <c r="E1488" s="11">
        <v>1</v>
      </c>
    </row>
    <row r="1489" spans="2:5" x14ac:dyDescent="0.25">
      <c r="B1489" s="12" t="str">
        <f ca="1">IFERROR(__xludf.DUMMYFUNCTION("""COMPUTED_VALUE"""),"Damien O'Donnell")</f>
        <v>Damien O'Donnell</v>
      </c>
      <c r="C1489" s="12">
        <v>6.9</v>
      </c>
      <c r="D1489" s="12">
        <v>0.68200000000000005</v>
      </c>
      <c r="E1489" s="12">
        <v>1</v>
      </c>
    </row>
    <row r="1490" spans="2:5" x14ac:dyDescent="0.25">
      <c r="B1490" s="11" t="str">
        <f ca="1">IFERROR(__xludf.DUMMYFUNCTION("""COMPUTED_VALUE"""),"Peter M. Cohen")</f>
        <v>Peter M. Cohen</v>
      </c>
      <c r="C1490" s="11">
        <v>4.4000000000000004</v>
      </c>
      <c r="D1490" s="11">
        <v>0.05</v>
      </c>
      <c r="E1490" s="11">
        <v>1</v>
      </c>
    </row>
    <row r="1491" spans="2:5" x14ac:dyDescent="0.25">
      <c r="B1491" s="12" t="str">
        <f ca="1">IFERROR(__xludf.DUMMYFUNCTION("""COMPUTED_VALUE"""),"Anthony Hickox")</f>
        <v>Anthony Hickox</v>
      </c>
      <c r="C1491" s="12">
        <v>5.3</v>
      </c>
      <c r="D1491" s="12">
        <v>0.13</v>
      </c>
      <c r="E1491" s="12">
        <v>1</v>
      </c>
    </row>
    <row r="1492" spans="2:5" x14ac:dyDescent="0.25">
      <c r="B1492" s="11" t="str">
        <f ca="1">IFERROR(__xludf.DUMMYFUNCTION("""COMPUTED_VALUE"""),"Tom Schulman")</f>
        <v>Tom Schulman</v>
      </c>
      <c r="C1492" s="11">
        <v>5.3</v>
      </c>
      <c r="D1492" s="11">
        <v>0.13</v>
      </c>
      <c r="E1492" s="11">
        <v>1</v>
      </c>
    </row>
    <row r="1493" spans="2:5" x14ac:dyDescent="0.25">
      <c r="B1493" s="12" t="str">
        <f ca="1">IFERROR(__xludf.DUMMYFUNCTION("""COMPUTED_VALUE"""),"Jill Sprecher")</f>
        <v>Jill Sprecher</v>
      </c>
      <c r="C1493" s="12">
        <v>7.1</v>
      </c>
      <c r="D1493" s="12">
        <v>0.77200000000000002</v>
      </c>
      <c r="E1493" s="12">
        <v>1</v>
      </c>
    </row>
    <row r="1494" spans="2:5" x14ac:dyDescent="0.25">
      <c r="B1494" s="11" t="str">
        <f ca="1">IFERROR(__xludf.DUMMYFUNCTION("""COMPUTED_VALUE"""),"Darren Stein")</f>
        <v>Darren Stein</v>
      </c>
      <c r="C1494" s="11">
        <v>5.4</v>
      </c>
      <c r="D1494" s="11">
        <v>0.155</v>
      </c>
      <c r="E1494" s="11">
        <v>1</v>
      </c>
    </row>
    <row r="1495" spans="2:5" x14ac:dyDescent="0.25">
      <c r="B1495" s="12" t="str">
        <f ca="1">IFERROR(__xludf.DUMMYFUNCTION("""COMPUTED_VALUE"""),"Julian Schnabel")</f>
        <v>Julian Schnabel</v>
      </c>
      <c r="C1495" s="12">
        <v>6.9</v>
      </c>
      <c r="D1495" s="12">
        <v>0.68200000000000005</v>
      </c>
      <c r="E1495" s="12">
        <v>1</v>
      </c>
    </row>
    <row r="1496" spans="2:5" x14ac:dyDescent="0.25">
      <c r="B1496" s="11" t="str">
        <f ca="1">IFERROR(__xludf.DUMMYFUNCTION("""COMPUTED_VALUE"""),"Todd Solondz")</f>
        <v>Todd Solondz</v>
      </c>
      <c r="C1496" s="11">
        <v>7.65</v>
      </c>
      <c r="D1496" s="11">
        <v>0.93300000000000005</v>
      </c>
      <c r="E1496" s="11">
        <v>2</v>
      </c>
    </row>
    <row r="1497" spans="2:5" x14ac:dyDescent="0.25">
      <c r="B1497" s="12" t="str">
        <f ca="1">IFERROR(__xludf.DUMMYFUNCTION("""COMPUTED_VALUE"""),"David Nixon")</f>
        <v>David Nixon</v>
      </c>
      <c r="C1497" s="12">
        <v>6.3</v>
      </c>
      <c r="D1497" s="12">
        <v>0.42299999999999999</v>
      </c>
      <c r="E1497" s="12">
        <v>1</v>
      </c>
    </row>
    <row r="1498" spans="2:5" x14ac:dyDescent="0.25">
      <c r="B1498" s="11" t="str">
        <f ca="1">IFERROR(__xludf.DUMMYFUNCTION("""COMPUTED_VALUE"""),"Jason Eisener")</f>
        <v>Jason Eisener</v>
      </c>
      <c r="C1498" s="11">
        <v>6.1</v>
      </c>
      <c r="D1498" s="11">
        <v>0.35099999999999998</v>
      </c>
      <c r="E1498" s="11">
        <v>1</v>
      </c>
    </row>
    <row r="1499" spans="2:5" x14ac:dyDescent="0.25">
      <c r="B1499" s="12" t="str">
        <f ca="1">IFERROR(__xludf.DUMMYFUNCTION("""COMPUTED_VALUE"""),"Enrique Begne")</f>
        <v>Enrique Begne</v>
      </c>
      <c r="C1499" s="12">
        <v>5</v>
      </c>
      <c r="D1499" s="12">
        <v>8.6999999999999994E-2</v>
      </c>
      <c r="E1499" s="12">
        <v>1</v>
      </c>
    </row>
    <row r="1500" spans="2:5" x14ac:dyDescent="0.25">
      <c r="B1500" s="11" t="str">
        <f ca="1">IFERROR(__xludf.DUMMYFUNCTION("""COMPUTED_VALUE"""),"Leslye Headland")</f>
        <v>Leslye Headland</v>
      </c>
      <c r="C1500" s="11">
        <v>5.3</v>
      </c>
      <c r="D1500" s="11">
        <v>0.13</v>
      </c>
      <c r="E1500" s="11">
        <v>1</v>
      </c>
    </row>
    <row r="1501" spans="2:5" x14ac:dyDescent="0.25">
      <c r="B1501" s="12" t="str">
        <f ca="1">IFERROR(__xludf.DUMMYFUNCTION("""COMPUTED_VALUE"""),"Tim Heidecker")</f>
        <v>Tim Heidecker</v>
      </c>
      <c r="C1501" s="12">
        <v>5.3</v>
      </c>
      <c r="D1501" s="12">
        <v>0.13</v>
      </c>
      <c r="E1501" s="12">
        <v>1</v>
      </c>
    </row>
    <row r="1502" spans="2:5" x14ac:dyDescent="0.25">
      <c r="B1502" s="11" t="str">
        <f ca="1">IFERROR(__xludf.DUMMYFUNCTION("""COMPUTED_VALUE"""),"Kate Connor")</f>
        <v>Kate Connor</v>
      </c>
      <c r="C1502" s="11">
        <v>5.9</v>
      </c>
      <c r="D1502" s="11">
        <v>0.27100000000000002</v>
      </c>
      <c r="E1502" s="11">
        <v>1</v>
      </c>
    </row>
    <row r="1503" spans="2:5" x14ac:dyDescent="0.25">
      <c r="B1503" s="12" t="str">
        <f ca="1">IFERROR(__xludf.DUMMYFUNCTION("""COMPUTED_VALUE"""),"Deon Taylor")</f>
        <v>Deon Taylor</v>
      </c>
      <c r="C1503" s="12">
        <v>4.0999999999999996</v>
      </c>
      <c r="D1503" s="12">
        <v>3.5000000000000003E-2</v>
      </c>
      <c r="E1503" s="12">
        <v>1</v>
      </c>
    </row>
    <row r="1504" spans="2:5" x14ac:dyDescent="0.25">
      <c r="B1504" s="11" t="str">
        <f ca="1">IFERROR(__xludf.DUMMYFUNCTION("""COMPUTED_VALUE"""),"Jason Alexander")</f>
        <v>Jason Alexander</v>
      </c>
      <c r="C1504" s="11">
        <v>6.7</v>
      </c>
      <c r="D1504" s="11">
        <v>0.6</v>
      </c>
      <c r="E1504" s="11">
        <v>1</v>
      </c>
    </row>
    <row r="1505" spans="2:5" x14ac:dyDescent="0.25">
      <c r="B1505" s="12" t="str">
        <f ca="1">IFERROR(__xludf.DUMMYFUNCTION("""COMPUTED_VALUE"""),"Francesca Gregorini")</f>
        <v>Francesca Gregorini</v>
      </c>
      <c r="C1505" s="12">
        <v>5.9</v>
      </c>
      <c r="D1505" s="12">
        <v>0.27100000000000002</v>
      </c>
      <c r="E1505" s="12">
        <v>1</v>
      </c>
    </row>
    <row r="1506" spans="2:5" x14ac:dyDescent="0.25">
      <c r="B1506" s="11" t="str">
        <f ca="1">IFERROR(__xludf.DUMMYFUNCTION("""COMPUTED_VALUE"""),"Susan Seidelman")</f>
        <v>Susan Seidelman</v>
      </c>
      <c r="C1506" s="11">
        <v>6.5</v>
      </c>
      <c r="D1506" s="11">
        <v>0.504</v>
      </c>
      <c r="E1506" s="11">
        <v>1</v>
      </c>
    </row>
    <row r="1507" spans="2:5" x14ac:dyDescent="0.25">
      <c r="B1507" s="12" t="str">
        <f ca="1">IFERROR(__xludf.DUMMYFUNCTION("""COMPUTED_VALUE"""),"Heidi Ewing")</f>
        <v>Heidi Ewing</v>
      </c>
      <c r="C1507" s="12">
        <v>6.4</v>
      </c>
      <c r="D1507" s="12">
        <v>0.46400000000000002</v>
      </c>
      <c r="E1507" s="12">
        <v>1</v>
      </c>
    </row>
    <row r="1508" spans="2:5" x14ac:dyDescent="0.25">
      <c r="B1508" s="11" t="str">
        <f ca="1">IFERROR(__xludf.DUMMYFUNCTION("""COMPUTED_VALUE"""),"Billy Wilder")</f>
        <v>Billy Wilder</v>
      </c>
      <c r="C1508" s="11">
        <v>8.3000000000000007</v>
      </c>
      <c r="D1508" s="11">
        <v>0.99</v>
      </c>
      <c r="E1508" s="11">
        <v>1</v>
      </c>
    </row>
    <row r="1509" spans="2:5" x14ac:dyDescent="0.25">
      <c r="B1509" s="12" t="str">
        <f ca="1">IFERROR(__xludf.DUMMYFUNCTION("""COMPUTED_VALUE"""),"John Carl Buechler")</f>
        <v>John Carl Buechler</v>
      </c>
      <c r="C1509" s="12">
        <v>5.3</v>
      </c>
      <c r="D1509" s="12">
        <v>0.13</v>
      </c>
      <c r="E1509" s="12">
        <v>1</v>
      </c>
    </row>
    <row r="1510" spans="2:5" x14ac:dyDescent="0.25">
      <c r="B1510" s="11" t="str">
        <f ca="1">IFERROR(__xludf.DUMMYFUNCTION("""COMPUTED_VALUE"""),"Victor Nunez")</f>
        <v>Victor Nunez</v>
      </c>
      <c r="C1510" s="11">
        <v>7.15</v>
      </c>
      <c r="D1510" s="11">
        <v>0.80500000000000005</v>
      </c>
      <c r="E1510" s="11">
        <v>2</v>
      </c>
    </row>
    <row r="1511" spans="2:5" x14ac:dyDescent="0.25">
      <c r="B1511" s="12" t="str">
        <f ca="1">IFERROR(__xludf.DUMMYFUNCTION("""COMPUTED_VALUE"""),"Joseph Zito")</f>
        <v>Joseph Zito</v>
      </c>
      <c r="C1511" s="12">
        <v>5.9</v>
      </c>
      <c r="D1511" s="12">
        <v>0.27100000000000002</v>
      </c>
      <c r="E1511" s="12">
        <v>1</v>
      </c>
    </row>
    <row r="1512" spans="2:5" x14ac:dyDescent="0.25">
      <c r="B1512" s="11" t="str">
        <f ca="1">IFERROR(__xludf.DUMMYFUNCTION("""COMPUTED_VALUE"""),"Frank Sebastiano")</f>
        <v>Frank Sebastiano</v>
      </c>
      <c r="C1512" s="11">
        <v>6</v>
      </c>
      <c r="D1512" s="11">
        <v>0.312</v>
      </c>
      <c r="E1512" s="11">
        <v>1</v>
      </c>
    </row>
    <row r="1513" spans="2:5" x14ac:dyDescent="0.25">
      <c r="B1513" s="12" t="str">
        <f ca="1">IFERROR(__xludf.DUMMYFUNCTION("""COMPUTED_VALUE"""),"Nacho Vigalondo")</f>
        <v>Nacho Vigalondo</v>
      </c>
      <c r="C1513" s="12">
        <v>7.2</v>
      </c>
      <c r="D1513" s="12">
        <v>0.81200000000000006</v>
      </c>
      <c r="E1513" s="12">
        <v>1</v>
      </c>
    </row>
    <row r="1514" spans="2:5" x14ac:dyDescent="0.25">
      <c r="B1514" s="11" t="str">
        <f ca="1">IFERROR(__xludf.DUMMYFUNCTION("""COMPUTED_VALUE"""),"Dinesh D'Souza")</f>
        <v>Dinesh D'Souza</v>
      </c>
      <c r="C1514" s="11">
        <v>5.0999999999999996</v>
      </c>
      <c r="D1514" s="11">
        <v>9.7000000000000003E-2</v>
      </c>
      <c r="E1514" s="11">
        <v>1</v>
      </c>
    </row>
    <row r="1515" spans="2:5" x14ac:dyDescent="0.25">
      <c r="B1515" s="12" t="str">
        <f ca="1">IFERROR(__xludf.DUMMYFUNCTION("""COMPUTED_VALUE"""),"Tommy Lee Wallace")</f>
        <v>Tommy Lee Wallace</v>
      </c>
      <c r="C1515" s="12">
        <v>4.5999999999999996</v>
      </c>
      <c r="D1515" s="12">
        <v>5.8999999999999997E-2</v>
      </c>
      <c r="E1515" s="12">
        <v>1</v>
      </c>
    </row>
    <row r="1516" spans="2:5" x14ac:dyDescent="0.25">
      <c r="B1516" s="11" t="str">
        <f ca="1">IFERROR(__xludf.DUMMYFUNCTION("""COMPUTED_VALUE"""),"Leslie Small")</f>
        <v>Leslie Small</v>
      </c>
      <c r="C1516" s="11">
        <v>6.7</v>
      </c>
      <c r="D1516" s="11">
        <v>0.6</v>
      </c>
      <c r="E1516" s="11">
        <v>1</v>
      </c>
    </row>
    <row r="1517" spans="2:5" x14ac:dyDescent="0.25">
      <c r="B1517" s="12" t="str">
        <f ca="1">IFERROR(__xludf.DUMMYFUNCTION("""COMPUTED_VALUE"""),"Alison Maclean")</f>
        <v>Alison Maclean</v>
      </c>
      <c r="C1517" s="12">
        <v>7</v>
      </c>
      <c r="D1517" s="12">
        <v>0.72299999999999998</v>
      </c>
      <c r="E1517" s="12">
        <v>1</v>
      </c>
    </row>
    <row r="1518" spans="2:5" x14ac:dyDescent="0.25">
      <c r="B1518" s="11" t="str">
        <f ca="1">IFERROR(__xludf.DUMMYFUNCTION("""COMPUTED_VALUE"""),"Isabel Coixet")</f>
        <v>Isabel Coixet</v>
      </c>
      <c r="C1518" s="11">
        <v>7.6</v>
      </c>
      <c r="D1518" s="11">
        <v>0.91500000000000004</v>
      </c>
      <c r="E1518" s="11">
        <v>1</v>
      </c>
    </row>
    <row r="1519" spans="2:5" x14ac:dyDescent="0.25">
      <c r="B1519" s="12" t="str">
        <f ca="1">IFERROR(__xludf.DUMMYFUNCTION("""COMPUTED_VALUE"""),"James Ponsoldt")</f>
        <v>James Ponsoldt</v>
      </c>
      <c r="C1519" s="12">
        <v>7.1</v>
      </c>
      <c r="D1519" s="12">
        <v>0.77200000000000002</v>
      </c>
      <c r="E1519" s="12">
        <v>1</v>
      </c>
    </row>
    <row r="1520" spans="2:5" x14ac:dyDescent="0.25">
      <c r="B1520" s="11" t="str">
        <f ca="1">IFERROR(__xludf.DUMMYFUNCTION("""COMPUTED_VALUE"""),"Joshua Tickell")</f>
        <v>Joshua Tickell</v>
      </c>
      <c r="C1520" s="11">
        <v>7.6</v>
      </c>
      <c r="D1520" s="11">
        <v>0.91500000000000004</v>
      </c>
      <c r="E1520" s="11">
        <v>1</v>
      </c>
    </row>
    <row r="1521" spans="2:5" x14ac:dyDescent="0.25">
      <c r="B1521" s="12" t="str">
        <f ca="1">IFERROR(__xludf.DUMMYFUNCTION("""COMPUTED_VALUE"""),"Tim Boxell")</f>
        <v>Tim Boxell</v>
      </c>
      <c r="C1521" s="12">
        <v>6.6</v>
      </c>
      <c r="D1521" s="12">
        <v>0.55300000000000005</v>
      </c>
      <c r="E1521" s="12">
        <v>1</v>
      </c>
    </row>
    <row r="1522" spans="2:5" x14ac:dyDescent="0.25">
      <c r="B1522" s="11" t="str">
        <f ca="1">IFERROR(__xludf.DUMMYFUNCTION("""COMPUTED_VALUE"""),"Michael D. Sellers")</f>
        <v>Michael D. Sellers</v>
      </c>
      <c r="C1522" s="11">
        <v>5.7</v>
      </c>
      <c r="D1522" s="11">
        <v>0.23100000000000001</v>
      </c>
      <c r="E1522" s="11">
        <v>1</v>
      </c>
    </row>
    <row r="1523" spans="2:5" x14ac:dyDescent="0.25">
      <c r="B1523" s="12" t="str">
        <f ca="1">IFERROR(__xludf.DUMMYFUNCTION("""COMPUTED_VALUE"""),"Reed Cowan")</f>
        <v>Reed Cowan</v>
      </c>
      <c r="C1523" s="12">
        <v>7.1</v>
      </c>
      <c r="D1523" s="12">
        <v>0.77200000000000002</v>
      </c>
      <c r="E1523" s="12">
        <v>1</v>
      </c>
    </row>
    <row r="1524" spans="2:5" x14ac:dyDescent="0.25">
      <c r="B1524" s="11" t="str">
        <f ca="1">IFERROR(__xludf.DUMMYFUNCTION("""COMPUTED_VALUE"""),"James Dodson")</f>
        <v>James Dodson</v>
      </c>
      <c r="C1524" s="11">
        <v>6.2</v>
      </c>
      <c r="D1524" s="11">
        <v>0.39100000000000001</v>
      </c>
      <c r="E1524" s="11">
        <v>1</v>
      </c>
    </row>
    <row r="1525" spans="2:5" x14ac:dyDescent="0.25">
      <c r="B1525" s="12" t="str">
        <f ca="1">IFERROR(__xludf.DUMMYFUNCTION("""COMPUTED_VALUE"""),"Alex Rivera")</f>
        <v>Alex Rivera</v>
      </c>
      <c r="C1525" s="12">
        <v>5.9</v>
      </c>
      <c r="D1525" s="12">
        <v>0.27100000000000002</v>
      </c>
      <c r="E1525" s="12">
        <v>1</v>
      </c>
    </row>
    <row r="1526" spans="2:5" x14ac:dyDescent="0.25">
      <c r="B1526" s="11" t="str">
        <f ca="1">IFERROR(__xludf.DUMMYFUNCTION("""COMPUTED_VALUE"""),"Robby Henson")</f>
        <v>Robby Henson</v>
      </c>
      <c r="C1526" s="11">
        <v>5.0999999999999996</v>
      </c>
      <c r="D1526" s="11">
        <v>9.7000000000000003E-2</v>
      </c>
      <c r="E1526" s="11">
        <v>1</v>
      </c>
    </row>
    <row r="1527" spans="2:5" x14ac:dyDescent="0.25">
      <c r="B1527" s="12" t="str">
        <f ca="1">IFERROR(__xludf.DUMMYFUNCTION("""COMPUTED_VALUE"""),"Shane Meadows")</f>
        <v>Shane Meadows</v>
      </c>
      <c r="C1527" s="12">
        <v>7.7</v>
      </c>
      <c r="D1527" s="12">
        <v>0.94</v>
      </c>
      <c r="E1527" s="12">
        <v>2</v>
      </c>
    </row>
    <row r="1528" spans="2:5" x14ac:dyDescent="0.25">
      <c r="B1528" s="11" t="str">
        <f ca="1">IFERROR(__xludf.DUMMYFUNCTION("""COMPUTED_VALUE"""),"Carmen Marron")</f>
        <v>Carmen Marron</v>
      </c>
      <c r="C1528" s="11">
        <v>3.9</v>
      </c>
      <c r="D1528" s="11">
        <v>2.7E-2</v>
      </c>
      <c r="E1528" s="11">
        <v>1</v>
      </c>
    </row>
    <row r="1529" spans="2:5" x14ac:dyDescent="0.25">
      <c r="B1529" s="12" t="str">
        <f ca="1">IFERROR(__xludf.DUMMYFUNCTION("""COMPUTED_VALUE"""),"Danny Steinmann")</f>
        <v>Danny Steinmann</v>
      </c>
      <c r="C1529" s="12">
        <v>4.7</v>
      </c>
      <c r="D1529" s="12">
        <v>6.6000000000000003E-2</v>
      </c>
      <c r="E1529" s="12">
        <v>1</v>
      </c>
    </row>
    <row r="1530" spans="2:5" x14ac:dyDescent="0.25">
      <c r="B1530" s="11" t="str">
        <f ca="1">IFERROR(__xludf.DUMMYFUNCTION("""COMPUTED_VALUE"""),"Michael Landon Jr.")</f>
        <v>Michael Landon Jr.</v>
      </c>
      <c r="C1530" s="11">
        <v>5.9</v>
      </c>
      <c r="D1530" s="11">
        <v>0.27100000000000002</v>
      </c>
      <c r="E1530" s="11">
        <v>1</v>
      </c>
    </row>
    <row r="1531" spans="2:5" x14ac:dyDescent="0.25">
      <c r="B1531" s="12" t="str">
        <f ca="1">IFERROR(__xludf.DUMMYFUNCTION("""COMPUTED_VALUE"""),"Jon Gunn")</f>
        <v>Jon Gunn</v>
      </c>
      <c r="C1531" s="12">
        <v>6.0333333333333341</v>
      </c>
      <c r="D1531" s="12">
        <v>0.33700000000000002</v>
      </c>
      <c r="E1531" s="12">
        <v>3</v>
      </c>
    </row>
    <row r="1532" spans="2:5" x14ac:dyDescent="0.25">
      <c r="B1532" s="11" t="str">
        <f ca="1">IFERROR(__xludf.DUMMYFUNCTION("""COMPUTED_VALUE"""),"William Wyler")</f>
        <v>William Wyler</v>
      </c>
      <c r="C1532" s="11">
        <v>8.1</v>
      </c>
      <c r="D1532" s="11">
        <v>0.98099999999999998</v>
      </c>
      <c r="E1532" s="11">
        <v>1</v>
      </c>
    </row>
    <row r="1533" spans="2:5" x14ac:dyDescent="0.25">
      <c r="B1533" s="12" t="str">
        <f ca="1">IFERROR(__xludf.DUMMYFUNCTION("""COMPUTED_VALUE"""),"Petter Næss")</f>
        <v>Petter Næss</v>
      </c>
      <c r="C1533" s="12">
        <v>7.6</v>
      </c>
      <c r="D1533" s="12">
        <v>0.91500000000000004</v>
      </c>
      <c r="E1533" s="12">
        <v>1</v>
      </c>
    </row>
    <row r="1534" spans="2:5" x14ac:dyDescent="0.25">
      <c r="B1534" s="11" t="str">
        <f ca="1">IFERROR(__xludf.DUMMYFUNCTION("""COMPUTED_VALUE"""),"Robert Fontaine")</f>
        <v>Robert Fontaine</v>
      </c>
      <c r="C1534" s="11">
        <v>7.2</v>
      </c>
      <c r="D1534" s="11">
        <v>0.81200000000000006</v>
      </c>
      <c r="E1534" s="11">
        <v>1</v>
      </c>
    </row>
    <row r="1535" spans="2:5" x14ac:dyDescent="0.25">
      <c r="B1535" s="12" t="str">
        <f ca="1">IFERROR(__xludf.DUMMYFUNCTION("""COMPUTED_VALUE"""),"Michael Herz")</f>
        <v>Michael Herz</v>
      </c>
      <c r="C1535" s="12">
        <v>5.0999999999999996</v>
      </c>
      <c r="D1535" s="12">
        <v>9.7000000000000003E-2</v>
      </c>
      <c r="E1535" s="12">
        <v>1</v>
      </c>
    </row>
    <row r="1536" spans="2:5" x14ac:dyDescent="0.25">
      <c r="B1536" s="11" t="str">
        <f ca="1">IFERROR(__xludf.DUMMYFUNCTION("""COMPUTED_VALUE"""),"David Robert Mitchell")</f>
        <v>David Robert Mitchell</v>
      </c>
      <c r="C1536" s="11">
        <v>6.9</v>
      </c>
      <c r="D1536" s="11">
        <v>0.68200000000000005</v>
      </c>
      <c r="E1536" s="11">
        <v>1</v>
      </c>
    </row>
    <row r="1537" spans="2:5" x14ac:dyDescent="0.25">
      <c r="B1537" s="12" t="str">
        <f ca="1">IFERROR(__xludf.DUMMYFUNCTION("""COMPUTED_VALUE"""),"Chia-Liang Liu")</f>
        <v>Chia-Liang Liu</v>
      </c>
      <c r="C1537" s="12">
        <v>7.6</v>
      </c>
      <c r="D1537" s="12">
        <v>0.91500000000000004</v>
      </c>
      <c r="E1537" s="12">
        <v>1</v>
      </c>
    </row>
    <row r="1538" spans="2:5" x14ac:dyDescent="0.25">
      <c r="B1538" s="11" t="str">
        <f ca="1">IFERROR(__xludf.DUMMYFUNCTION("""COMPUTED_VALUE"""),"Chris Kentis")</f>
        <v>Chris Kentis</v>
      </c>
      <c r="C1538" s="11">
        <v>5.5</v>
      </c>
      <c r="D1538" s="11">
        <v>0.17699999999999999</v>
      </c>
      <c r="E1538" s="11">
        <v>2</v>
      </c>
    </row>
    <row r="1539" spans="2:5" x14ac:dyDescent="0.25">
      <c r="B1539" s="12" t="str">
        <f ca="1">IFERROR(__xludf.DUMMYFUNCTION("""COMPUTED_VALUE"""),"Alex Kendrick")</f>
        <v>Alex Kendrick</v>
      </c>
      <c r="C1539" s="12">
        <v>6.7333333333333334</v>
      </c>
      <c r="D1539" s="12">
        <v>0.623</v>
      </c>
      <c r="E1539" s="12">
        <v>3</v>
      </c>
    </row>
    <row r="1540" spans="2:5" x14ac:dyDescent="0.25">
      <c r="B1540" s="11" t="str">
        <f ca="1">IFERROR(__xludf.DUMMYFUNCTION("""COMPUTED_VALUE"""),"Sylvain Chomet")</f>
        <v>Sylvain Chomet</v>
      </c>
      <c r="C1540" s="11">
        <v>7.8</v>
      </c>
      <c r="D1540" s="11">
        <v>0.95799999999999996</v>
      </c>
      <c r="E1540" s="11">
        <v>1</v>
      </c>
    </row>
    <row r="1541" spans="2:5" x14ac:dyDescent="0.25">
      <c r="B1541" s="12" t="str">
        <f ca="1">IFERROR(__xludf.DUMMYFUNCTION("""COMPUTED_VALUE"""),"Chris Eyre")</f>
        <v>Chris Eyre</v>
      </c>
      <c r="C1541" s="12">
        <v>7.2</v>
      </c>
      <c r="D1541" s="12">
        <v>0.81200000000000006</v>
      </c>
      <c r="E1541" s="12">
        <v>1</v>
      </c>
    </row>
    <row r="1542" spans="2:5" x14ac:dyDescent="0.25">
      <c r="B1542" s="11" t="str">
        <f ca="1">IFERROR(__xludf.DUMMYFUNCTION("""COMPUTED_VALUE"""),"Debra Granik")</f>
        <v>Debra Granik</v>
      </c>
      <c r="C1542" s="11">
        <v>7.2</v>
      </c>
      <c r="D1542" s="11">
        <v>0.81200000000000006</v>
      </c>
      <c r="E1542" s="11">
        <v>1</v>
      </c>
    </row>
    <row r="1543" spans="2:5" x14ac:dyDescent="0.25">
      <c r="B1543" s="12" t="str">
        <f ca="1">IFERROR(__xludf.DUMMYFUNCTION("""COMPUTED_VALUE"""),"Miranda July")</f>
        <v>Miranda July</v>
      </c>
      <c r="C1543" s="12">
        <v>7.4</v>
      </c>
      <c r="D1543" s="12">
        <v>0.875</v>
      </c>
      <c r="E1543" s="12">
        <v>1</v>
      </c>
    </row>
    <row r="1544" spans="2:5" x14ac:dyDescent="0.25">
      <c r="B1544" s="11" t="str">
        <f ca="1">IFERROR(__xludf.DUMMYFUNCTION("""COMPUTED_VALUE"""),"Max Joseph")</f>
        <v>Max Joseph</v>
      </c>
      <c r="C1544" s="11">
        <v>6.1</v>
      </c>
      <c r="D1544" s="11">
        <v>0.35099999999999998</v>
      </c>
      <c r="E1544" s="11">
        <v>1</v>
      </c>
    </row>
    <row r="1545" spans="2:5" x14ac:dyDescent="0.25">
      <c r="B1545" s="12" t="str">
        <f ca="1">IFERROR(__xludf.DUMMYFUNCTION("""COMPUTED_VALUE"""),"Kevin Tenney")</f>
        <v>Kevin Tenney</v>
      </c>
      <c r="C1545" s="12">
        <v>5.7</v>
      </c>
      <c r="D1545" s="12">
        <v>0.23100000000000001</v>
      </c>
      <c r="E1545" s="12">
        <v>1</v>
      </c>
    </row>
    <row r="1546" spans="2:5" x14ac:dyDescent="0.25">
      <c r="B1546" s="11" t="str">
        <f ca="1">IFERROR(__xludf.DUMMYFUNCTION("""COMPUTED_VALUE"""),"Ari Folman")</f>
        <v>Ari Folman</v>
      </c>
      <c r="C1546" s="11">
        <v>8</v>
      </c>
      <c r="D1546" s="11">
        <v>0.97799999999999998</v>
      </c>
      <c r="E1546" s="11">
        <v>1</v>
      </c>
    </row>
    <row r="1547" spans="2:5" x14ac:dyDescent="0.25">
      <c r="B1547" s="12" t="str">
        <f ca="1">IFERROR(__xludf.DUMMYFUNCTION("""COMPUTED_VALUE"""),"Gary Rogers")</f>
        <v>Gary Rogers</v>
      </c>
      <c r="C1547" s="12">
        <v>3.3</v>
      </c>
      <c r="D1547" s="12">
        <v>0.01</v>
      </c>
      <c r="E1547" s="12">
        <v>1</v>
      </c>
    </row>
    <row r="1548" spans="2:5" x14ac:dyDescent="0.25">
      <c r="B1548" s="11" t="str">
        <f ca="1">IFERROR(__xludf.DUMMYFUNCTION("""COMPUTED_VALUE"""),"Marielle Heller")</f>
        <v>Marielle Heller</v>
      </c>
      <c r="C1548" s="11">
        <v>6.9</v>
      </c>
      <c r="D1548" s="11">
        <v>0.68200000000000005</v>
      </c>
      <c r="E1548" s="11">
        <v>1</v>
      </c>
    </row>
    <row r="1549" spans="2:5" x14ac:dyDescent="0.25">
      <c r="B1549" s="12" t="str">
        <f ca="1">IFERROR(__xludf.DUMMYFUNCTION("""COMPUTED_VALUE"""),"David Sington")</f>
        <v>David Sington</v>
      </c>
      <c r="C1549" s="12">
        <v>8.1</v>
      </c>
      <c r="D1549" s="12">
        <v>0.98099999999999998</v>
      </c>
      <c r="E1549" s="12">
        <v>1</v>
      </c>
    </row>
    <row r="1550" spans="2:5" x14ac:dyDescent="0.25">
      <c r="B1550" s="11" t="str">
        <f ca="1">IFERROR(__xludf.DUMMYFUNCTION("""COMPUTED_VALUE"""),"Huck Botko")</f>
        <v>Huck Botko</v>
      </c>
      <c r="C1550" s="11">
        <v>4.5999999999999996</v>
      </c>
      <c r="D1550" s="11">
        <v>5.8999999999999997E-2</v>
      </c>
      <c r="E1550" s="11">
        <v>1</v>
      </c>
    </row>
    <row r="1551" spans="2:5" x14ac:dyDescent="0.25">
      <c r="B1551" s="12" t="str">
        <f ca="1">IFERROR(__xludf.DUMMYFUNCTION("""COMPUTED_VALUE"""),"David Duchovny")</f>
        <v>David Duchovny</v>
      </c>
      <c r="C1551" s="12">
        <v>7</v>
      </c>
      <c r="D1551" s="12">
        <v>0.72299999999999998</v>
      </c>
      <c r="E1551" s="12">
        <v>1</v>
      </c>
    </row>
    <row r="1552" spans="2:5" x14ac:dyDescent="0.25">
      <c r="B1552" s="11" t="str">
        <f ca="1">IFERROR(__xludf.DUMMYFUNCTION("""COMPUTED_VALUE"""),"Lance Mungia")</f>
        <v>Lance Mungia</v>
      </c>
      <c r="C1552" s="11">
        <v>6.7</v>
      </c>
      <c r="D1552" s="11">
        <v>0.6</v>
      </c>
      <c r="E1552" s="11">
        <v>1</v>
      </c>
    </row>
    <row r="1553" spans="2:5" x14ac:dyDescent="0.25">
      <c r="B1553" s="12" t="str">
        <f ca="1">IFERROR(__xludf.DUMMYFUNCTION("""COMPUTED_VALUE"""),"Hue Rhodes")</f>
        <v>Hue Rhodes</v>
      </c>
      <c r="C1553" s="12">
        <v>5.8</v>
      </c>
      <c r="D1553" s="12">
        <v>0.251</v>
      </c>
      <c r="E1553" s="12">
        <v>1</v>
      </c>
    </row>
    <row r="1554" spans="2:5" x14ac:dyDescent="0.25">
      <c r="B1554" s="11" t="str">
        <f ca="1">IFERROR(__xludf.DUMMYFUNCTION("""COMPUTED_VALUE"""),"Noah Buschel")</f>
        <v>Noah Buschel</v>
      </c>
      <c r="C1554" s="11">
        <v>6.2</v>
      </c>
      <c r="D1554" s="11">
        <v>0.39100000000000001</v>
      </c>
      <c r="E1554" s="11">
        <v>1</v>
      </c>
    </row>
    <row r="1555" spans="2:5" x14ac:dyDescent="0.25">
      <c r="B1555" s="12" t="str">
        <f ca="1">IFERROR(__xludf.DUMMYFUNCTION("""COMPUTED_VALUE"""),"Hunter Richards")</f>
        <v>Hunter Richards</v>
      </c>
      <c r="C1555" s="12">
        <v>6.6</v>
      </c>
      <c r="D1555" s="12">
        <v>0.55300000000000005</v>
      </c>
      <c r="E1555" s="12">
        <v>1</v>
      </c>
    </row>
    <row r="1556" spans="2:5" x14ac:dyDescent="0.25">
      <c r="B1556" s="11" t="str">
        <f ca="1">IFERROR(__xludf.DUMMYFUNCTION("""COMPUTED_VALUE"""),"Laurie Collyer")</f>
        <v>Laurie Collyer</v>
      </c>
      <c r="C1556" s="11">
        <v>6.6</v>
      </c>
      <c r="D1556" s="11">
        <v>0.55300000000000005</v>
      </c>
      <c r="E1556" s="11">
        <v>1</v>
      </c>
    </row>
    <row r="1557" spans="2:5" x14ac:dyDescent="0.25">
      <c r="B1557" s="12" t="str">
        <f ca="1">IFERROR(__xludf.DUMMYFUNCTION("""COMPUTED_VALUE"""),"Ralph Ziman")</f>
        <v>Ralph Ziman</v>
      </c>
      <c r="C1557" s="12">
        <v>7.8</v>
      </c>
      <c r="D1557" s="12">
        <v>0.95799999999999996</v>
      </c>
      <c r="E1557" s="12">
        <v>1</v>
      </c>
    </row>
    <row r="1558" spans="2:5" x14ac:dyDescent="0.25">
      <c r="B1558" s="11" t="str">
        <f ca="1">IFERROR(__xludf.DUMMYFUNCTION("""COMPUTED_VALUE"""),"Orson Welles")</f>
        <v>Orson Welles</v>
      </c>
      <c r="C1558" s="11">
        <v>7.7</v>
      </c>
      <c r="D1558" s="11">
        <v>0.94</v>
      </c>
      <c r="E1558" s="11">
        <v>1</v>
      </c>
    </row>
    <row r="1559" spans="2:5" x14ac:dyDescent="0.25">
      <c r="B1559" s="12" t="str">
        <f ca="1">IFERROR(__xludf.DUMMYFUNCTION("""COMPUTED_VALUE"""),"Paul Bunnell")</f>
        <v>Paul Bunnell</v>
      </c>
      <c r="C1559" s="12">
        <v>5.7</v>
      </c>
      <c r="D1559" s="12">
        <v>0.23100000000000001</v>
      </c>
      <c r="E1559" s="12">
        <v>1</v>
      </c>
    </row>
    <row r="1560" spans="2:5" x14ac:dyDescent="0.25">
      <c r="B1560" s="11" t="str">
        <f ca="1">IFERROR(__xludf.DUMMYFUNCTION("""COMPUTED_VALUE"""),"Tim Hunter")</f>
        <v>Tim Hunter</v>
      </c>
      <c r="C1560" s="11">
        <v>7.1</v>
      </c>
      <c r="D1560" s="11">
        <v>0.77200000000000002</v>
      </c>
      <c r="E1560" s="11">
        <v>1</v>
      </c>
    </row>
    <row r="1561" spans="2:5" x14ac:dyDescent="0.25">
      <c r="B1561" s="12" t="str">
        <f ca="1">IFERROR(__xludf.DUMMYFUNCTION("""COMPUTED_VALUE"""),"Rodrigo Cortés")</f>
        <v>Rodrigo Cortés</v>
      </c>
      <c r="C1561" s="12">
        <v>7</v>
      </c>
      <c r="D1561" s="12">
        <v>0.72299999999999998</v>
      </c>
      <c r="E1561" s="12">
        <v>1</v>
      </c>
    </row>
    <row r="1562" spans="2:5" x14ac:dyDescent="0.25">
      <c r="B1562" s="11" t="str">
        <f ca="1">IFERROR(__xludf.DUMMYFUNCTION("""COMPUTED_VALUE"""),"Pascal Arnold")</f>
        <v>Pascal Arnold</v>
      </c>
      <c r="C1562" s="11">
        <v>5.8</v>
      </c>
      <c r="D1562" s="11">
        <v>0.251</v>
      </c>
      <c r="E1562" s="11">
        <v>1</v>
      </c>
    </row>
    <row r="1563" spans="2:5" x14ac:dyDescent="0.25">
      <c r="B1563" s="12" t="str">
        <f ca="1">IFERROR(__xludf.DUMMYFUNCTION("""COMPUTED_VALUE"""),"Jamal Hill")</f>
        <v>Jamal Hill</v>
      </c>
      <c r="C1563" s="12">
        <v>7.2</v>
      </c>
      <c r="D1563" s="12">
        <v>0.81200000000000006</v>
      </c>
      <c r="E1563" s="12">
        <v>1</v>
      </c>
    </row>
    <row r="1564" spans="2:5" x14ac:dyDescent="0.25">
      <c r="B1564" s="11" t="str">
        <f ca="1">IFERROR(__xludf.DUMMYFUNCTION("""COMPUTED_VALUE"""),"Daniel Stamm")</f>
        <v>Daniel Stamm</v>
      </c>
      <c r="C1564" s="11">
        <v>5.6</v>
      </c>
      <c r="D1564" s="11">
        <v>0.19700000000000001</v>
      </c>
      <c r="E1564" s="11">
        <v>1</v>
      </c>
    </row>
    <row r="1565" spans="2:5" x14ac:dyDescent="0.25">
      <c r="B1565" s="12" t="str">
        <f ca="1">IFERROR(__xludf.DUMMYFUNCTION("""COMPUTED_VALUE"""),"Carlos Carrera")</f>
        <v>Carlos Carrera</v>
      </c>
      <c r="C1565" s="12">
        <v>6.8</v>
      </c>
      <c r="D1565" s="12">
        <v>0.63800000000000001</v>
      </c>
      <c r="E1565" s="12">
        <v>1</v>
      </c>
    </row>
    <row r="1566" spans="2:5" x14ac:dyDescent="0.25">
      <c r="B1566" s="11" t="str">
        <f ca="1">IFERROR(__xludf.DUMMYFUNCTION("""COMPUTED_VALUE"""),"Benh Zeitlin")</f>
        <v>Benh Zeitlin</v>
      </c>
      <c r="C1566" s="11">
        <v>7.3</v>
      </c>
      <c r="D1566" s="11">
        <v>0.84899999999999998</v>
      </c>
      <c r="E1566" s="11">
        <v>1</v>
      </c>
    </row>
    <row r="1567" spans="2:5" x14ac:dyDescent="0.25">
      <c r="B1567" s="12" t="str">
        <f ca="1">IFERROR(__xludf.DUMMYFUNCTION("""COMPUTED_VALUE"""),"Maggie Greenwald")</f>
        <v>Maggie Greenwald</v>
      </c>
      <c r="C1567" s="12">
        <v>7.3</v>
      </c>
      <c r="D1567" s="12">
        <v>0.84899999999999998</v>
      </c>
      <c r="E1567" s="12">
        <v>1</v>
      </c>
    </row>
    <row r="1568" spans="2:5" x14ac:dyDescent="0.25">
      <c r="B1568" s="11" t="str">
        <f ca="1">IFERROR(__xludf.DUMMYFUNCTION("""COMPUTED_VALUE"""),"Khyentse Norbu")</f>
        <v>Khyentse Norbu</v>
      </c>
      <c r="C1568" s="11">
        <v>7.5</v>
      </c>
      <c r="D1568" s="11">
        <v>0.89300000000000002</v>
      </c>
      <c r="E1568" s="11">
        <v>1</v>
      </c>
    </row>
    <row r="1569" spans="2:5" x14ac:dyDescent="0.25">
      <c r="B1569" s="12" t="str">
        <f ca="1">IFERROR(__xludf.DUMMYFUNCTION("""COMPUTED_VALUE"""),"Lucky McKee")</f>
        <v>Lucky McKee</v>
      </c>
      <c r="C1569" s="12">
        <v>6.7</v>
      </c>
      <c r="D1569" s="12">
        <v>0.6</v>
      </c>
      <c r="E1569" s="12">
        <v>1</v>
      </c>
    </row>
    <row r="1570" spans="2:5" x14ac:dyDescent="0.25">
      <c r="B1570" s="11" t="str">
        <f ca="1">IFERROR(__xludf.DUMMYFUNCTION("""COMPUTED_VALUE"""),"Steven R. Monroe")</f>
        <v>Steven R. Monroe</v>
      </c>
      <c r="C1570" s="11">
        <v>6.3</v>
      </c>
      <c r="D1570" s="11">
        <v>0.42299999999999999</v>
      </c>
      <c r="E1570" s="11">
        <v>1</v>
      </c>
    </row>
    <row r="1571" spans="2:5" x14ac:dyDescent="0.25">
      <c r="B1571" s="12" t="str">
        <f ca="1">IFERROR(__xludf.DUMMYFUNCTION("""COMPUTED_VALUE"""),"Mark Illsley")</f>
        <v>Mark Illsley</v>
      </c>
      <c r="C1571" s="12">
        <v>6.3</v>
      </c>
      <c r="D1571" s="12">
        <v>0.42299999999999999</v>
      </c>
      <c r="E1571" s="12">
        <v>1</v>
      </c>
    </row>
    <row r="1572" spans="2:5" x14ac:dyDescent="0.25">
      <c r="B1572" s="11" t="str">
        <f ca="1">IFERROR(__xludf.DUMMYFUNCTION("""COMPUTED_VALUE"""),"Pawel Pawlikowski")</f>
        <v>Pawel Pawlikowski</v>
      </c>
      <c r="C1572" s="11">
        <v>6.8</v>
      </c>
      <c r="D1572" s="11">
        <v>0.63800000000000001</v>
      </c>
      <c r="E1572" s="11">
        <v>1</v>
      </c>
    </row>
    <row r="1573" spans="2:5" x14ac:dyDescent="0.25">
      <c r="B1573" s="12" t="str">
        <f ca="1">IFERROR(__xludf.DUMMYFUNCTION("""COMPUTED_VALUE"""),"Ritesh Batra")</f>
        <v>Ritesh Batra</v>
      </c>
      <c r="C1573" s="12">
        <v>7.8</v>
      </c>
      <c r="D1573" s="12">
        <v>0.95799999999999996</v>
      </c>
      <c r="E1573" s="12">
        <v>1</v>
      </c>
    </row>
    <row r="1574" spans="2:5" x14ac:dyDescent="0.25">
      <c r="B1574" s="11" t="str">
        <f ca="1">IFERROR(__xludf.DUMMYFUNCTION("""COMPUTED_VALUE"""),"Sally Potter")</f>
        <v>Sally Potter</v>
      </c>
      <c r="C1574" s="11">
        <v>6.9</v>
      </c>
      <c r="D1574" s="11">
        <v>0.68200000000000005</v>
      </c>
      <c r="E1574" s="11">
        <v>1</v>
      </c>
    </row>
    <row r="1575" spans="2:5" x14ac:dyDescent="0.25">
      <c r="B1575" s="12" t="str">
        <f ca="1">IFERROR(__xludf.DUMMYFUNCTION("""COMPUTED_VALUE"""),"Dave Meyers")</f>
        <v>Dave Meyers</v>
      </c>
      <c r="C1575" s="12">
        <v>4.3</v>
      </c>
      <c r="D1575" s="12">
        <v>4.4999999999999998E-2</v>
      </c>
      <c r="E1575" s="12">
        <v>1</v>
      </c>
    </row>
    <row r="1576" spans="2:5" x14ac:dyDescent="0.25">
      <c r="B1576" s="11" t="str">
        <f ca="1">IFERROR(__xludf.DUMMYFUNCTION("""COMPUTED_VALUE"""),"Nadine Labaki")</f>
        <v>Nadine Labaki</v>
      </c>
      <c r="C1576" s="11">
        <v>7.2</v>
      </c>
      <c r="D1576" s="11">
        <v>0.81200000000000006</v>
      </c>
      <c r="E1576" s="11">
        <v>1</v>
      </c>
    </row>
    <row r="1577" spans="2:5" x14ac:dyDescent="0.25">
      <c r="B1577" s="12" t="str">
        <f ca="1">IFERROR(__xludf.DUMMYFUNCTION("""COMPUTED_VALUE"""),"Eytan Fox")</f>
        <v>Eytan Fox</v>
      </c>
      <c r="C1577" s="12">
        <v>7.3</v>
      </c>
      <c r="D1577" s="12">
        <v>0.84899999999999998</v>
      </c>
      <c r="E1577" s="12">
        <v>1</v>
      </c>
    </row>
    <row r="1578" spans="2:5" x14ac:dyDescent="0.25">
      <c r="B1578" s="11" t="str">
        <f ca="1">IFERROR(__xludf.DUMMYFUNCTION("""COMPUTED_VALUE"""),"François Truffaut")</f>
        <v>François Truffaut</v>
      </c>
      <c r="C1578" s="11">
        <v>7.2</v>
      </c>
      <c r="D1578" s="11">
        <v>0.81200000000000006</v>
      </c>
      <c r="E1578" s="11">
        <v>1</v>
      </c>
    </row>
    <row r="1579" spans="2:5" x14ac:dyDescent="0.25">
      <c r="B1579" s="12" t="str">
        <f ca="1">IFERROR(__xludf.DUMMYFUNCTION("""COMPUTED_VALUE"""),"Adam Goldberg")</f>
        <v>Adam Goldberg</v>
      </c>
      <c r="C1579" s="12">
        <v>5.4</v>
      </c>
      <c r="D1579" s="12">
        <v>0.155</v>
      </c>
      <c r="E1579" s="12">
        <v>1</v>
      </c>
    </row>
    <row r="1580" spans="2:5" x14ac:dyDescent="0.25">
      <c r="B1580" s="11" t="str">
        <f ca="1">IFERROR(__xludf.DUMMYFUNCTION("""COMPUTED_VALUE"""),"Adrienne Shelly")</f>
        <v>Adrienne Shelly</v>
      </c>
      <c r="C1580" s="11">
        <v>7.1</v>
      </c>
      <c r="D1580" s="11">
        <v>0.77200000000000002</v>
      </c>
      <c r="E1580" s="11">
        <v>1</v>
      </c>
    </row>
    <row r="1581" spans="2:5" x14ac:dyDescent="0.25">
      <c r="B1581" s="12" t="str">
        <f ca="1">IFERROR(__xludf.DUMMYFUNCTION("""COMPUTED_VALUE"""),"Newt Arnold")</f>
        <v>Newt Arnold</v>
      </c>
      <c r="C1581" s="12">
        <v>6.8</v>
      </c>
      <c r="D1581" s="12">
        <v>0.63800000000000001</v>
      </c>
      <c r="E1581" s="12">
        <v>1</v>
      </c>
    </row>
    <row r="1582" spans="2:5" x14ac:dyDescent="0.25">
      <c r="B1582" s="11" t="str">
        <f ca="1">IFERROR(__xludf.DUMMYFUNCTION("""COMPUTED_VALUE"""),"Larry Clark")</f>
        <v>Larry Clark</v>
      </c>
      <c r="C1582" s="11">
        <v>7</v>
      </c>
      <c r="D1582" s="11">
        <v>0.72299999999999998</v>
      </c>
      <c r="E1582" s="11">
        <v>1</v>
      </c>
    </row>
    <row r="1583" spans="2:5" x14ac:dyDescent="0.25">
      <c r="B1583" s="12" t="str">
        <f ca="1">IFERROR(__xludf.DUMMYFUNCTION("""COMPUTED_VALUE"""),"Fabián Bielinsky")</f>
        <v>Fabián Bielinsky</v>
      </c>
      <c r="C1583" s="12">
        <v>7.9</v>
      </c>
      <c r="D1583" s="12">
        <v>0.97</v>
      </c>
      <c r="E1583" s="12">
        <v>1</v>
      </c>
    </row>
    <row r="1584" spans="2:5" x14ac:dyDescent="0.25">
      <c r="B1584" s="11" t="str">
        <f ca="1">IFERROR(__xludf.DUMMYFUNCTION("""COMPUTED_VALUE"""),"Rebecca Miller")</f>
        <v>Rebecca Miller</v>
      </c>
      <c r="C1584" s="11">
        <v>6.7</v>
      </c>
      <c r="D1584" s="11">
        <v>0.6</v>
      </c>
      <c r="E1584" s="11">
        <v>1</v>
      </c>
    </row>
    <row r="1585" spans="2:5" x14ac:dyDescent="0.25">
      <c r="B1585" s="12" t="str">
        <f ca="1">IFERROR(__xludf.DUMMYFUNCTION("""COMPUTED_VALUE"""),"Maggie Carey")</f>
        <v>Maggie Carey</v>
      </c>
      <c r="C1585" s="12">
        <v>5.8</v>
      </c>
      <c r="D1585" s="12">
        <v>0.251</v>
      </c>
      <c r="E1585" s="12">
        <v>1</v>
      </c>
    </row>
    <row r="1586" spans="2:5" x14ac:dyDescent="0.25">
      <c r="B1586" s="11" t="str">
        <f ca="1">IFERROR(__xludf.DUMMYFUNCTION("""COMPUTED_VALUE"""),"Henry Bean")</f>
        <v>Henry Bean</v>
      </c>
      <c r="C1586" s="11">
        <v>7.2</v>
      </c>
      <c r="D1586" s="11">
        <v>0.81200000000000006</v>
      </c>
      <c r="E1586" s="11">
        <v>1</v>
      </c>
    </row>
    <row r="1587" spans="2:5" x14ac:dyDescent="0.25">
      <c r="B1587" s="12" t="str">
        <f ca="1">IFERROR(__xludf.DUMMYFUNCTION("""COMPUTED_VALUE"""),"Jeff Garlin")</f>
        <v>Jeff Garlin</v>
      </c>
      <c r="C1587" s="12">
        <v>6.2</v>
      </c>
      <c r="D1587" s="12">
        <v>0.39100000000000001</v>
      </c>
      <c r="E1587" s="12">
        <v>1</v>
      </c>
    </row>
    <row r="1588" spans="2:5" x14ac:dyDescent="0.25">
      <c r="B1588" s="11" t="str">
        <f ca="1">IFERROR(__xludf.DUMMYFUNCTION("""COMPUTED_VALUE"""),"Charles Chaplin")</f>
        <v>Charles Chaplin</v>
      </c>
      <c r="C1588" s="11">
        <v>8.6</v>
      </c>
      <c r="D1588" s="11">
        <v>0.998</v>
      </c>
      <c r="E1588" s="11">
        <v>1</v>
      </c>
    </row>
    <row r="1589" spans="2:5" x14ac:dyDescent="0.25">
      <c r="B1589" s="12" t="str">
        <f ca="1">IFERROR(__xludf.DUMMYFUNCTION("""COMPUTED_VALUE"""),"Pete Jones")</f>
        <v>Pete Jones</v>
      </c>
      <c r="C1589" s="12">
        <v>6.5</v>
      </c>
      <c r="D1589" s="12">
        <v>0.504</v>
      </c>
      <c r="E1589" s="12">
        <v>1</v>
      </c>
    </row>
    <row r="1590" spans="2:5" x14ac:dyDescent="0.25">
      <c r="B1590" s="11" t="str">
        <f ca="1">IFERROR(__xludf.DUMMYFUNCTION("""COMPUTED_VALUE"""),"Bruce Campbell")</f>
        <v>Bruce Campbell</v>
      </c>
      <c r="C1590" s="11">
        <v>6.3</v>
      </c>
      <c r="D1590" s="11">
        <v>0.42299999999999999</v>
      </c>
      <c r="E1590" s="11">
        <v>1</v>
      </c>
    </row>
    <row r="1591" spans="2:5" x14ac:dyDescent="0.25">
      <c r="B1591" s="12" t="str">
        <f ca="1">IFERROR(__xludf.DUMMYFUNCTION("""COMPUTED_VALUE"""),"Adam Carolla")</f>
        <v>Adam Carolla</v>
      </c>
      <c r="C1591" s="12">
        <v>6.1</v>
      </c>
      <c r="D1591" s="12">
        <v>0.35099999999999998</v>
      </c>
      <c r="E1591" s="12">
        <v>1</v>
      </c>
    </row>
    <row r="1592" spans="2:5" x14ac:dyDescent="0.25">
      <c r="B1592" s="11" t="str">
        <f ca="1">IFERROR(__xludf.DUMMYFUNCTION("""COMPUTED_VALUE"""),"Bruce McDonald")</f>
        <v>Bruce McDonald</v>
      </c>
      <c r="C1592" s="11">
        <v>6.7</v>
      </c>
      <c r="D1592" s="11">
        <v>0.6</v>
      </c>
      <c r="E1592" s="11">
        <v>1</v>
      </c>
    </row>
    <row r="1593" spans="2:5" x14ac:dyDescent="0.25">
      <c r="B1593" s="12" t="str">
        <f ca="1">IFERROR(__xludf.DUMMYFUNCTION("""COMPUTED_VALUE"""),"James Mottern")</f>
        <v>James Mottern</v>
      </c>
      <c r="C1593" s="12">
        <v>6.7</v>
      </c>
      <c r="D1593" s="12">
        <v>0.6</v>
      </c>
      <c r="E1593" s="12">
        <v>1</v>
      </c>
    </row>
    <row r="1594" spans="2:5" x14ac:dyDescent="0.25">
      <c r="B1594" s="11" t="str">
        <f ca="1">IFERROR(__xludf.DUMMYFUNCTION("""COMPUTED_VALUE"""),"William Cottrell")</f>
        <v>William Cottrell</v>
      </c>
      <c r="C1594" s="11">
        <v>7.7</v>
      </c>
      <c r="D1594" s="11">
        <v>0.94</v>
      </c>
      <c r="E1594" s="11">
        <v>1</v>
      </c>
    </row>
    <row r="1595" spans="2:5" x14ac:dyDescent="0.25">
      <c r="B1595" s="12" t="str">
        <f ca="1">IFERROR(__xludf.DUMMYFUNCTION("""COMPUTED_VALUE"""),"Lucrecia Martel")</f>
        <v>Lucrecia Martel</v>
      </c>
      <c r="C1595" s="12">
        <v>6.7</v>
      </c>
      <c r="D1595" s="12">
        <v>0.6</v>
      </c>
      <c r="E1595" s="12">
        <v>1</v>
      </c>
    </row>
    <row r="1596" spans="2:5" x14ac:dyDescent="0.25">
      <c r="B1596" s="11" t="str">
        <f ca="1">IFERROR(__xludf.DUMMYFUNCTION("""COMPUTED_VALUE"""),"Zak Penn")</f>
        <v>Zak Penn</v>
      </c>
      <c r="C1596" s="11">
        <v>6.6</v>
      </c>
      <c r="D1596" s="11">
        <v>0.55300000000000005</v>
      </c>
      <c r="E1596" s="11">
        <v>1</v>
      </c>
    </row>
    <row r="1597" spans="2:5" x14ac:dyDescent="0.25">
      <c r="B1597" s="12" t="str">
        <f ca="1">IFERROR(__xludf.DUMMYFUNCTION("""COMPUTED_VALUE"""),"Steve Buscemi")</f>
        <v>Steve Buscemi</v>
      </c>
      <c r="C1597" s="12">
        <v>6.9</v>
      </c>
      <c r="D1597" s="12">
        <v>0.68200000000000005</v>
      </c>
      <c r="E1597" s="12">
        <v>2</v>
      </c>
    </row>
    <row r="1598" spans="2:5" x14ac:dyDescent="0.25">
      <c r="B1598" s="11" t="str">
        <f ca="1">IFERROR(__xludf.DUMMYFUNCTION("""COMPUTED_VALUE"""),"Ham Tran")</f>
        <v>Ham Tran</v>
      </c>
      <c r="C1598" s="11">
        <v>7.4</v>
      </c>
      <c r="D1598" s="11">
        <v>0.875</v>
      </c>
      <c r="E1598" s="11">
        <v>1</v>
      </c>
    </row>
    <row r="1599" spans="2:5" x14ac:dyDescent="0.25">
      <c r="B1599" s="12" t="str">
        <f ca="1">IFERROR(__xludf.DUMMYFUNCTION("""COMPUTED_VALUE"""),"Rich Cowan")</f>
        <v>Rich Cowan</v>
      </c>
      <c r="C1599" s="12">
        <v>6.5</v>
      </c>
      <c r="D1599" s="12">
        <v>0.504</v>
      </c>
      <c r="E1599" s="12">
        <v>1</v>
      </c>
    </row>
    <row r="1600" spans="2:5" x14ac:dyDescent="0.25">
      <c r="B1600" s="11" t="str">
        <f ca="1">IFERROR(__xludf.DUMMYFUNCTION("""COMPUTED_VALUE"""),"Boris Rodriguez")</f>
        <v>Boris Rodriguez</v>
      </c>
      <c r="C1600" s="11">
        <v>5.7</v>
      </c>
      <c r="D1600" s="11">
        <v>0.23100000000000001</v>
      </c>
      <c r="E1600" s="11">
        <v>1</v>
      </c>
    </row>
    <row r="1601" spans="2:5" x14ac:dyDescent="0.25">
      <c r="B1601" s="12" t="str">
        <f ca="1">IFERROR(__xludf.DUMMYFUNCTION("""COMPUTED_VALUE"""),"Jonathan Kesselman")</f>
        <v>Jonathan Kesselman</v>
      </c>
      <c r="C1601" s="12">
        <v>6.2</v>
      </c>
      <c r="D1601" s="12">
        <v>0.39100000000000001</v>
      </c>
      <c r="E1601" s="12">
        <v>1</v>
      </c>
    </row>
    <row r="1602" spans="2:5" x14ac:dyDescent="0.25">
      <c r="B1602" s="11" t="str">
        <f ca="1">IFERROR(__xludf.DUMMYFUNCTION("""COMPUTED_VALUE"""),"Arjun Sablok")</f>
        <v>Arjun Sablok</v>
      </c>
      <c r="C1602" s="11">
        <v>3.3</v>
      </c>
      <c r="D1602" s="11">
        <v>0.01</v>
      </c>
      <c r="E1602" s="11">
        <v>1</v>
      </c>
    </row>
    <row r="1603" spans="2:5" x14ac:dyDescent="0.25">
      <c r="B1603" s="12" t="str">
        <f ca="1">IFERROR(__xludf.DUMMYFUNCTION("""COMPUTED_VALUE"""),"Youssef Delara")</f>
        <v>Youssef Delara</v>
      </c>
      <c r="C1603" s="12">
        <v>5.7</v>
      </c>
      <c r="D1603" s="12">
        <v>0.23100000000000001</v>
      </c>
      <c r="E1603" s="12">
        <v>1</v>
      </c>
    </row>
    <row r="1604" spans="2:5" x14ac:dyDescent="0.25">
      <c r="B1604" s="11" t="str">
        <f ca="1">IFERROR(__xludf.DUMMYFUNCTION("""COMPUTED_VALUE"""),"Claudia Sainte-Luce")</f>
        <v>Claudia Sainte-Luce</v>
      </c>
      <c r="C1604" s="11">
        <v>7</v>
      </c>
      <c r="D1604" s="11">
        <v>0.72299999999999998</v>
      </c>
      <c r="E1604" s="11">
        <v>1</v>
      </c>
    </row>
    <row r="1605" spans="2:5" x14ac:dyDescent="0.25">
      <c r="B1605" s="12" t="str">
        <f ca="1">IFERROR(__xludf.DUMMYFUNCTION("""COMPUTED_VALUE"""),"Jamie Babbit")</f>
        <v>Jamie Babbit</v>
      </c>
      <c r="C1605" s="12">
        <v>6.5</v>
      </c>
      <c r="D1605" s="12">
        <v>0.504</v>
      </c>
      <c r="E1605" s="12">
        <v>2</v>
      </c>
    </row>
    <row r="1606" spans="2:5" x14ac:dyDescent="0.25">
      <c r="B1606" s="11" t="str">
        <f ca="1">IFERROR(__xludf.DUMMYFUNCTION("""COMPUTED_VALUE"""),"David Boyd")</f>
        <v>David Boyd</v>
      </c>
      <c r="C1606" s="11">
        <v>6</v>
      </c>
      <c r="D1606" s="11">
        <v>0.312</v>
      </c>
      <c r="E1606" s="11">
        <v>1</v>
      </c>
    </row>
    <row r="1607" spans="2:5" x14ac:dyDescent="0.25">
      <c r="B1607" s="12" t="str">
        <f ca="1">IFERROR(__xludf.DUMMYFUNCTION("""COMPUTED_VALUE"""),"Anna Muylaert")</f>
        <v>Anna Muylaert</v>
      </c>
      <c r="C1607" s="12">
        <v>7.9</v>
      </c>
      <c r="D1607" s="12">
        <v>0.97</v>
      </c>
      <c r="E1607" s="12">
        <v>1</v>
      </c>
    </row>
    <row r="1608" spans="2:5" x14ac:dyDescent="0.25">
      <c r="B1608" s="11" t="str">
        <f ca="1">IFERROR(__xludf.DUMMYFUNCTION("""COMPUTED_VALUE"""),"Steve Taylor")</f>
        <v>Steve Taylor</v>
      </c>
      <c r="C1608" s="11">
        <v>6</v>
      </c>
      <c r="D1608" s="11">
        <v>0.312</v>
      </c>
      <c r="E1608" s="11">
        <v>1</v>
      </c>
    </row>
    <row r="1609" spans="2:5" x14ac:dyDescent="0.25">
      <c r="B1609" s="12" t="str">
        <f ca="1">IFERROR(__xludf.DUMMYFUNCTION("""COMPUTED_VALUE"""),"Kurt Voss")</f>
        <v>Kurt Voss</v>
      </c>
      <c r="C1609" s="12">
        <v>6.1</v>
      </c>
      <c r="D1609" s="12">
        <v>0.35099999999999998</v>
      </c>
      <c r="E1609" s="12">
        <v>1</v>
      </c>
    </row>
    <row r="1610" spans="2:5" x14ac:dyDescent="0.25">
      <c r="B1610" s="11" t="str">
        <f ca="1">IFERROR(__xludf.DUMMYFUNCTION("""COMPUTED_VALUE"""),"Léa Pool")</f>
        <v>Léa Pool</v>
      </c>
      <c r="C1610" s="11">
        <v>7.4</v>
      </c>
      <c r="D1610" s="11">
        <v>0.875</v>
      </c>
      <c r="E1610" s="11">
        <v>1</v>
      </c>
    </row>
    <row r="1611" spans="2:5" x14ac:dyDescent="0.25">
      <c r="B1611" s="12" t="str">
        <f ca="1">IFERROR(__xludf.DUMMYFUNCTION("""COMPUTED_VALUE"""),"James David Pasternak")</f>
        <v>James David Pasternak</v>
      </c>
      <c r="C1611" s="12">
        <v>6.2</v>
      </c>
      <c r="D1611" s="12">
        <v>0.39100000000000001</v>
      </c>
      <c r="E1611" s="12">
        <v>1</v>
      </c>
    </row>
    <row r="1612" spans="2:5" x14ac:dyDescent="0.25">
      <c r="B1612" s="11" t="str">
        <f ca="1">IFERROR(__xludf.DUMMYFUNCTION("""COMPUTED_VALUE"""),"Tom Sanchez")</f>
        <v>Tom Sanchez</v>
      </c>
      <c r="C1612" s="11">
        <v>7.2</v>
      </c>
      <c r="D1612" s="11">
        <v>0.81200000000000006</v>
      </c>
      <c r="E1612" s="11">
        <v>1</v>
      </c>
    </row>
    <row r="1613" spans="2:5" x14ac:dyDescent="0.25">
      <c r="B1613" s="12" t="str">
        <f ca="1">IFERROR(__xludf.DUMMYFUNCTION("""COMPUTED_VALUE"""),"Rob McKittrick")</f>
        <v>Rob McKittrick</v>
      </c>
      <c r="C1613" s="12">
        <v>6.8</v>
      </c>
      <c r="D1613" s="12">
        <v>0.63800000000000001</v>
      </c>
      <c r="E1613" s="12">
        <v>1</v>
      </c>
    </row>
    <row r="1614" spans="2:5" x14ac:dyDescent="0.25">
      <c r="B1614" s="11" t="str">
        <f ca="1">IFERROR(__xludf.DUMMYFUNCTION("""COMPUTED_VALUE"""),"Jeff Burr")</f>
        <v>Jeff Burr</v>
      </c>
      <c r="C1614" s="11">
        <v>5.9</v>
      </c>
      <c r="D1614" s="11">
        <v>0.27100000000000002</v>
      </c>
      <c r="E1614" s="11">
        <v>1</v>
      </c>
    </row>
    <row r="1615" spans="2:5" x14ac:dyDescent="0.25">
      <c r="B1615" s="12" t="str">
        <f ca="1">IFERROR(__xludf.DUMMYFUNCTION("""COMPUTED_VALUE"""),"Guy Maddin")</f>
        <v>Guy Maddin</v>
      </c>
      <c r="C1615" s="12">
        <v>7</v>
      </c>
      <c r="D1615" s="12">
        <v>0.72299999999999998</v>
      </c>
      <c r="E1615" s="12">
        <v>1</v>
      </c>
    </row>
    <row r="1616" spans="2:5" x14ac:dyDescent="0.25">
      <c r="B1616" s="11" t="str">
        <f ca="1">IFERROR(__xludf.DUMMYFUNCTION("""COMPUTED_VALUE"""),"Panos Cosmatos")</f>
        <v>Panos Cosmatos</v>
      </c>
      <c r="C1616" s="11">
        <v>6.1</v>
      </c>
      <c r="D1616" s="11">
        <v>0.35099999999999998</v>
      </c>
      <c r="E1616" s="11">
        <v>1</v>
      </c>
    </row>
    <row r="1617" spans="2:5" x14ac:dyDescent="0.25">
      <c r="B1617" s="12" t="str">
        <f ca="1">IFERROR(__xludf.DUMMYFUNCTION("""COMPUTED_VALUE"""),"Gareth Evans")</f>
        <v>Gareth Evans</v>
      </c>
      <c r="C1617" s="12">
        <v>7.6</v>
      </c>
      <c r="D1617" s="12">
        <v>0.91500000000000004</v>
      </c>
      <c r="E1617" s="12">
        <v>1</v>
      </c>
    </row>
    <row r="1618" spans="2:5" x14ac:dyDescent="0.25">
      <c r="B1618" s="11" t="str">
        <f ca="1">IFERROR(__xludf.DUMMYFUNCTION("""COMPUTED_VALUE"""),"Levan Gabriadze")</f>
        <v>Levan Gabriadze</v>
      </c>
      <c r="C1618" s="11">
        <v>5.7</v>
      </c>
      <c r="D1618" s="11">
        <v>0.23100000000000001</v>
      </c>
      <c r="E1618" s="11">
        <v>1</v>
      </c>
    </row>
    <row r="1619" spans="2:5" x14ac:dyDescent="0.25">
      <c r="B1619" s="12" t="str">
        <f ca="1">IFERROR(__xludf.DUMMYFUNCTION("""COMPUTED_VALUE"""),"Bradley Parker")</f>
        <v>Bradley Parker</v>
      </c>
      <c r="C1619" s="12">
        <v>5</v>
      </c>
      <c r="D1619" s="12">
        <v>8.6999999999999994E-2</v>
      </c>
      <c r="E1619" s="12">
        <v>1</v>
      </c>
    </row>
    <row r="1620" spans="2:5" x14ac:dyDescent="0.25">
      <c r="B1620" s="11" t="str">
        <f ca="1">IFERROR(__xludf.DUMMYFUNCTION("""COMPUTED_VALUE"""),"Clive Barker")</f>
        <v>Clive Barker</v>
      </c>
      <c r="C1620" s="11">
        <v>7</v>
      </c>
      <c r="D1620" s="11">
        <v>0.72299999999999998</v>
      </c>
      <c r="E1620" s="11">
        <v>1</v>
      </c>
    </row>
    <row r="1621" spans="2:5" x14ac:dyDescent="0.25">
      <c r="B1621" s="12" t="str">
        <f ca="1">IFERROR(__xludf.DUMMYFUNCTION("""COMPUTED_VALUE"""),"Harold Cronk")</f>
        <v>Harold Cronk</v>
      </c>
      <c r="C1621" s="12">
        <v>3.4</v>
      </c>
      <c r="D1621" s="12">
        <v>1.4999999999999999E-2</v>
      </c>
      <c r="E1621" s="12">
        <v>1</v>
      </c>
    </row>
    <row r="1622" spans="2:5" x14ac:dyDescent="0.25">
      <c r="B1622" s="11" t="str">
        <f ca="1">IFERROR(__xludf.DUMMYFUNCTION("""COMPUTED_VALUE"""),"Takao Okawara")</f>
        <v>Takao Okawara</v>
      </c>
      <c r="C1622" s="11">
        <v>6</v>
      </c>
      <c r="D1622" s="11">
        <v>0.312</v>
      </c>
      <c r="E1622" s="11">
        <v>1</v>
      </c>
    </row>
    <row r="1623" spans="2:5" x14ac:dyDescent="0.25">
      <c r="B1623" s="12" t="str">
        <f ca="1">IFERROR(__xludf.DUMMYFUNCTION("""COMPUTED_VALUE"""),"Duncan Tucker")</f>
        <v>Duncan Tucker</v>
      </c>
      <c r="C1623" s="12">
        <v>7.4</v>
      </c>
      <c r="D1623" s="12">
        <v>0.875</v>
      </c>
      <c r="E1623" s="12">
        <v>1</v>
      </c>
    </row>
    <row r="1624" spans="2:5" x14ac:dyDescent="0.25">
      <c r="B1624" s="11" t="str">
        <f ca="1">IFERROR(__xludf.DUMMYFUNCTION("""COMPUTED_VALUE"""),"Russ Meyer")</f>
        <v>Russ Meyer</v>
      </c>
      <c r="C1624" s="11">
        <v>6.2</v>
      </c>
      <c r="D1624" s="11">
        <v>0.39100000000000001</v>
      </c>
      <c r="E1624" s="11">
        <v>1</v>
      </c>
    </row>
    <row r="1625" spans="2:5" x14ac:dyDescent="0.25">
      <c r="B1625" s="12" t="str">
        <f ca="1">IFERROR(__xludf.DUMMYFUNCTION("""COMPUTED_VALUE"""),"Ben Lewin")</f>
        <v>Ben Lewin</v>
      </c>
      <c r="C1625" s="12">
        <v>7.2</v>
      </c>
      <c r="D1625" s="12">
        <v>0.81200000000000006</v>
      </c>
      <c r="E1625" s="12">
        <v>1</v>
      </c>
    </row>
    <row r="1626" spans="2:5" x14ac:dyDescent="0.25">
      <c r="B1626" s="11" t="str">
        <f ca="1">IFERROR(__xludf.DUMMYFUNCTION("""COMPUTED_VALUE"""),"Courtney Hunt")</f>
        <v>Courtney Hunt</v>
      </c>
      <c r="C1626" s="11">
        <v>7.2</v>
      </c>
      <c r="D1626" s="11">
        <v>0.81200000000000006</v>
      </c>
      <c r="E1626" s="11">
        <v>1</v>
      </c>
    </row>
    <row r="1627" spans="2:5" x14ac:dyDescent="0.25">
      <c r="B1627" s="12" t="str">
        <f ca="1">IFERROR(__xludf.DUMMYFUNCTION("""COMPUTED_VALUE"""),"Morgan Neville")</f>
        <v>Morgan Neville</v>
      </c>
      <c r="C1627" s="12">
        <v>7.4</v>
      </c>
      <c r="D1627" s="12">
        <v>0.875</v>
      </c>
      <c r="E1627" s="12">
        <v>1</v>
      </c>
    </row>
    <row r="1628" spans="2:5" x14ac:dyDescent="0.25">
      <c r="B1628" s="11" t="str">
        <f ca="1">IFERROR(__xludf.DUMMYFUNCTION("""COMPUTED_VALUE"""),"Chris Paine")</f>
        <v>Chris Paine</v>
      </c>
      <c r="C1628" s="11">
        <v>7.7</v>
      </c>
      <c r="D1628" s="11">
        <v>0.94</v>
      </c>
      <c r="E1628" s="11">
        <v>1</v>
      </c>
    </row>
    <row r="1629" spans="2:5" x14ac:dyDescent="0.25">
      <c r="B1629" s="12" t="str">
        <f ca="1">IFERROR(__xludf.DUMMYFUNCTION("""COMPUTED_VALUE"""),"Greg Berlanti")</f>
        <v>Greg Berlanti</v>
      </c>
      <c r="C1629" s="12">
        <v>7</v>
      </c>
      <c r="D1629" s="12">
        <v>0.72299999999999998</v>
      </c>
      <c r="E1629" s="12">
        <v>1</v>
      </c>
    </row>
    <row r="1630" spans="2:5" x14ac:dyDescent="0.25">
      <c r="B1630" s="11" t="str">
        <f ca="1">IFERROR(__xludf.DUMMYFUNCTION("""COMPUTED_VALUE"""),"Marc Levin")</f>
        <v>Marc Levin</v>
      </c>
      <c r="C1630" s="11">
        <v>7.2</v>
      </c>
      <c r="D1630" s="11">
        <v>0.81200000000000006</v>
      </c>
      <c r="E1630" s="11">
        <v>1</v>
      </c>
    </row>
    <row r="1631" spans="2:5" x14ac:dyDescent="0.25">
      <c r="B1631" s="12" t="str">
        <f ca="1">IFERROR(__xludf.DUMMYFUNCTION("""COMPUTED_VALUE"""),"Richard Dutcher")</f>
        <v>Richard Dutcher</v>
      </c>
      <c r="C1631" s="12">
        <v>7.2</v>
      </c>
      <c r="D1631" s="12">
        <v>0.81200000000000006</v>
      </c>
      <c r="E1631" s="12">
        <v>1</v>
      </c>
    </row>
    <row r="1632" spans="2:5" x14ac:dyDescent="0.25">
      <c r="B1632" s="11" t="str">
        <f ca="1">IFERROR(__xludf.DUMMYFUNCTION("""COMPUTED_VALUE"""),"Khalid Mohamed")</f>
        <v>Khalid Mohamed</v>
      </c>
      <c r="C1632" s="11">
        <v>6.2</v>
      </c>
      <c r="D1632" s="11">
        <v>0.39100000000000001</v>
      </c>
      <c r="E1632" s="11">
        <v>1</v>
      </c>
    </row>
    <row r="1633" spans="2:5" x14ac:dyDescent="0.25">
      <c r="B1633" s="12" t="str">
        <f ca="1">IFERROR(__xludf.DUMMYFUNCTION("""COMPUTED_VALUE"""),"Finn Taylor")</f>
        <v>Finn Taylor</v>
      </c>
      <c r="C1633" s="12">
        <v>7</v>
      </c>
      <c r="D1633" s="12">
        <v>0.72299999999999998</v>
      </c>
      <c r="E1633" s="12">
        <v>1</v>
      </c>
    </row>
    <row r="1634" spans="2:5" x14ac:dyDescent="0.25">
      <c r="B1634" s="11" t="str">
        <f ca="1">IFERROR(__xludf.DUMMYFUNCTION("""COMPUTED_VALUE"""),"Karen Moncrieff")</f>
        <v>Karen Moncrieff</v>
      </c>
      <c r="C1634" s="11">
        <v>6.7</v>
      </c>
      <c r="D1634" s="11">
        <v>0.6</v>
      </c>
      <c r="E1634" s="11">
        <v>1</v>
      </c>
    </row>
    <row r="1635" spans="2:5" x14ac:dyDescent="0.25">
      <c r="B1635" s="12" t="str">
        <f ca="1">IFERROR(__xludf.DUMMYFUNCTION("""COMPUTED_VALUE"""),"José Luis Valenzuela")</f>
        <v>José Luis Valenzuela</v>
      </c>
      <c r="C1635" s="12">
        <v>3.6</v>
      </c>
      <c r="D1635" s="12">
        <v>0.02</v>
      </c>
      <c r="E1635" s="12">
        <v>1</v>
      </c>
    </row>
    <row r="1636" spans="2:5" x14ac:dyDescent="0.25">
      <c r="B1636" s="11" t="str">
        <f ca="1">IFERROR(__xludf.DUMMYFUNCTION("""COMPUTED_VALUE"""),"Goran Dukic")</f>
        <v>Goran Dukic</v>
      </c>
      <c r="C1636" s="11">
        <v>7.4</v>
      </c>
      <c r="D1636" s="11">
        <v>0.875</v>
      </c>
      <c r="E1636" s="11">
        <v>1</v>
      </c>
    </row>
    <row r="1637" spans="2:5" x14ac:dyDescent="0.25">
      <c r="B1637" s="12" t="str">
        <f ca="1">IFERROR(__xludf.DUMMYFUNCTION("""COMPUTED_VALUE"""),"Efram Potelle")</f>
        <v>Efram Potelle</v>
      </c>
      <c r="C1637" s="12">
        <v>6.1</v>
      </c>
      <c r="D1637" s="12">
        <v>0.35099999999999998</v>
      </c>
      <c r="E1637" s="12">
        <v>1</v>
      </c>
    </row>
    <row r="1638" spans="2:5" x14ac:dyDescent="0.25">
      <c r="B1638" s="11" t="str">
        <f ca="1">IFERROR(__xludf.DUMMYFUNCTION("""COMPUTED_VALUE"""),"Joshua Oppenheimer")</f>
        <v>Joshua Oppenheimer</v>
      </c>
      <c r="C1638" s="11">
        <v>8.1999999999999993</v>
      </c>
      <c r="D1638" s="11">
        <v>0.98599999999999999</v>
      </c>
      <c r="E1638" s="11">
        <v>1</v>
      </c>
    </row>
    <row r="1639" spans="2:5" x14ac:dyDescent="0.25">
      <c r="B1639" s="12" t="str">
        <f ca="1">IFERROR(__xludf.DUMMYFUNCTION("""COMPUTED_VALUE"""),"Alex Gibney")</f>
        <v>Alex Gibney</v>
      </c>
      <c r="C1639" s="12">
        <v>7.7</v>
      </c>
      <c r="D1639" s="12">
        <v>0.94</v>
      </c>
      <c r="E1639" s="12">
        <v>1</v>
      </c>
    </row>
    <row r="1640" spans="2:5" x14ac:dyDescent="0.25">
      <c r="B1640" s="11" t="str">
        <f ca="1">IFERROR(__xludf.DUMMYFUNCTION("""COMPUTED_VALUE"""),"Paul Crowder")</f>
        <v>Paul Crowder</v>
      </c>
      <c r="C1640" s="11">
        <v>7.3</v>
      </c>
      <c r="D1640" s="11">
        <v>0.84899999999999998</v>
      </c>
      <c r="E1640" s="11">
        <v>1</v>
      </c>
    </row>
    <row r="1641" spans="2:5" x14ac:dyDescent="0.25">
      <c r="B1641" s="12" t="str">
        <f ca="1">IFERROR(__xludf.DUMMYFUNCTION("""COMPUTED_VALUE"""),"Anthony Powell")</f>
        <v>Anthony Powell</v>
      </c>
      <c r="C1641" s="12">
        <v>7.6</v>
      </c>
      <c r="D1641" s="12">
        <v>0.91500000000000004</v>
      </c>
      <c r="E1641" s="12">
        <v>1</v>
      </c>
    </row>
    <row r="1642" spans="2:5" x14ac:dyDescent="0.25">
      <c r="B1642" s="11" t="str">
        <f ca="1">IFERROR(__xludf.DUMMYFUNCTION("""COMPUTED_VALUE"""),"Kief Davidson")</f>
        <v>Kief Davidson</v>
      </c>
      <c r="C1642" s="11">
        <v>6.8</v>
      </c>
      <c r="D1642" s="11">
        <v>0.63800000000000001</v>
      </c>
      <c r="E1642" s="11">
        <v>1</v>
      </c>
    </row>
    <row r="1643" spans="2:5" x14ac:dyDescent="0.25">
      <c r="B1643" s="12" t="str">
        <f ca="1">IFERROR(__xludf.DUMMYFUNCTION("""COMPUTED_VALUE"""),"Johnny Remo")</f>
        <v>Johnny Remo</v>
      </c>
      <c r="C1643" s="12">
        <v>5.6</v>
      </c>
      <c r="D1643" s="12">
        <v>0.19700000000000001</v>
      </c>
      <c r="E1643" s="12">
        <v>1</v>
      </c>
    </row>
    <row r="1644" spans="2:5" x14ac:dyDescent="0.25">
      <c r="B1644" s="11" t="str">
        <f ca="1">IFERROR(__xludf.DUMMYFUNCTION("""COMPUTED_VALUE"""),"Vivek Agnihotri")</f>
        <v>Vivek Agnihotri</v>
      </c>
      <c r="C1644" s="11">
        <v>4.8</v>
      </c>
      <c r="D1644" s="11">
        <v>7.3999999999999996E-2</v>
      </c>
      <c r="E1644" s="11">
        <v>1</v>
      </c>
    </row>
    <row r="1645" spans="2:5" x14ac:dyDescent="0.25">
      <c r="B1645" s="12" t="str">
        <f ca="1">IFERROR(__xludf.DUMMYFUNCTION("""COMPUTED_VALUE"""),"Ti West")</f>
        <v>Ti West</v>
      </c>
      <c r="C1645" s="12">
        <v>5.95</v>
      </c>
      <c r="D1645" s="12">
        <v>0.30399999999999999</v>
      </c>
      <c r="E1645" s="12">
        <v>2</v>
      </c>
    </row>
    <row r="1646" spans="2:5" x14ac:dyDescent="0.25">
      <c r="B1646" s="11" t="str">
        <f ca="1">IFERROR(__xludf.DUMMYFUNCTION("""COMPUTED_VALUE"""),"Nick Tomnay")</f>
        <v>Nick Tomnay</v>
      </c>
      <c r="C1646" s="11">
        <v>6.8</v>
      </c>
      <c r="D1646" s="11">
        <v>0.63800000000000001</v>
      </c>
      <c r="E1646" s="11">
        <v>1</v>
      </c>
    </row>
    <row r="1647" spans="2:5" x14ac:dyDescent="0.25">
      <c r="B1647" s="12" t="str">
        <f ca="1">IFERROR(__xludf.DUMMYFUNCTION("""COMPUTED_VALUE"""),"Eric Nicholas")</f>
        <v>Eric Nicholas</v>
      </c>
      <c r="C1647" s="12">
        <v>6.1</v>
      </c>
      <c r="D1647" s="12">
        <v>0.35099999999999998</v>
      </c>
      <c r="E1647" s="12">
        <v>1</v>
      </c>
    </row>
    <row r="1648" spans="2:5" x14ac:dyDescent="0.25">
      <c r="B1648" s="11" t="str">
        <f ca="1">IFERROR(__xludf.DUMMYFUNCTION("""COMPUTED_VALUE"""),"Benjamin Dickinson")</f>
        <v>Benjamin Dickinson</v>
      </c>
      <c r="C1648" s="11">
        <v>5.5</v>
      </c>
      <c r="D1648" s="11">
        <v>0.17699999999999999</v>
      </c>
      <c r="E1648" s="11">
        <v>1</v>
      </c>
    </row>
    <row r="1649" spans="2:5" x14ac:dyDescent="0.25">
      <c r="B1649" s="12" t="str">
        <f ca="1">IFERROR(__xludf.DUMMYFUNCTION("""COMPUTED_VALUE"""),"Hal Haberman")</f>
        <v>Hal Haberman</v>
      </c>
      <c r="C1649" s="12">
        <v>6.9</v>
      </c>
      <c r="D1649" s="12">
        <v>0.68200000000000005</v>
      </c>
      <c r="E1649" s="12">
        <v>1</v>
      </c>
    </row>
    <row r="1650" spans="2:5" x14ac:dyDescent="0.25">
      <c r="B1650" s="11" t="str">
        <f ca="1">IFERROR(__xludf.DUMMYFUNCTION("""COMPUTED_VALUE"""),"Frank Whaley")</f>
        <v>Frank Whaley</v>
      </c>
      <c r="C1650" s="11">
        <v>5.4</v>
      </c>
      <c r="D1650" s="11">
        <v>0.155</v>
      </c>
      <c r="E1650" s="11">
        <v>1</v>
      </c>
    </row>
    <row r="1651" spans="2:5" x14ac:dyDescent="0.25">
      <c r="B1651" s="12" t="str">
        <f ca="1">IFERROR(__xludf.DUMMYFUNCTION("""COMPUTED_VALUE"""),"Elia Kazan")</f>
        <v>Elia Kazan</v>
      </c>
      <c r="C1651" s="12">
        <v>8.1999999999999993</v>
      </c>
      <c r="D1651" s="12">
        <v>0.98599999999999999</v>
      </c>
      <c r="E1651" s="12">
        <v>1</v>
      </c>
    </row>
    <row r="1652" spans="2:5" x14ac:dyDescent="0.25">
      <c r="B1652" s="11" t="str">
        <f ca="1">IFERROR(__xludf.DUMMYFUNCTION("""COMPUTED_VALUE"""),"Kat Coiro")</f>
        <v>Kat Coiro</v>
      </c>
      <c r="C1652" s="11">
        <v>5.7</v>
      </c>
      <c r="D1652" s="11">
        <v>0.23100000000000001</v>
      </c>
      <c r="E1652" s="11">
        <v>1</v>
      </c>
    </row>
    <row r="1653" spans="2:5" x14ac:dyDescent="0.25">
      <c r="B1653" s="12" t="str">
        <f ca="1">IFERROR(__xludf.DUMMYFUNCTION("""COMPUTED_VALUE"""),"Cristian Mungiu")</f>
        <v>Cristian Mungiu</v>
      </c>
      <c r="C1653" s="12">
        <v>7.9</v>
      </c>
      <c r="D1653" s="12">
        <v>0.97</v>
      </c>
      <c r="E1653" s="12">
        <v>1</v>
      </c>
    </row>
    <row r="1654" spans="2:5" x14ac:dyDescent="0.25">
      <c r="B1654" s="11" t="str">
        <f ca="1">IFERROR(__xludf.DUMMYFUNCTION("""COMPUTED_VALUE"""),"Ramaa Mosley")</f>
        <v>Ramaa Mosley</v>
      </c>
      <c r="C1654" s="11">
        <v>6.4</v>
      </c>
      <c r="D1654" s="11">
        <v>0.46400000000000002</v>
      </c>
      <c r="E1654" s="11">
        <v>1</v>
      </c>
    </row>
    <row r="1655" spans="2:5" x14ac:dyDescent="0.25">
      <c r="B1655" s="12" t="str">
        <f ca="1">IFERROR(__xludf.DUMMYFUNCTION("""COMPUTED_VALUE"""),"C. Jay Cox")</f>
        <v>C. Jay Cox</v>
      </c>
      <c r="C1655" s="12">
        <v>6.45</v>
      </c>
      <c r="D1655" s="12">
        <v>0.496</v>
      </c>
      <c r="E1655" s="12">
        <v>2</v>
      </c>
    </row>
    <row r="1656" spans="2:5" x14ac:dyDescent="0.25">
      <c r="B1656" s="11" t="str">
        <f ca="1">IFERROR(__xludf.DUMMYFUNCTION("""COMPUTED_VALUE"""),"Jamie Travis")</f>
        <v>Jamie Travis</v>
      </c>
      <c r="C1656" s="11">
        <v>6</v>
      </c>
      <c r="D1656" s="11">
        <v>0.312</v>
      </c>
      <c r="E1656" s="11">
        <v>1</v>
      </c>
    </row>
    <row r="1657" spans="2:5" x14ac:dyDescent="0.25">
      <c r="B1657" s="12" t="str">
        <f ca="1">IFERROR(__xludf.DUMMYFUNCTION("""COMPUTED_VALUE"""),"Rich Christiano")</f>
        <v>Rich Christiano</v>
      </c>
      <c r="C1657" s="12">
        <v>5.6</v>
      </c>
      <c r="D1657" s="12">
        <v>0.19700000000000001</v>
      </c>
      <c r="E1657" s="12">
        <v>1</v>
      </c>
    </row>
    <row r="1658" spans="2:5" x14ac:dyDescent="0.25">
      <c r="B1658" s="11" t="str">
        <f ca="1">IFERROR(__xludf.DUMMYFUNCTION("""COMPUTED_VALUE"""),"Asghar Farhadi")</f>
        <v>Asghar Farhadi</v>
      </c>
      <c r="C1658" s="11">
        <v>8.4</v>
      </c>
      <c r="D1658" s="11">
        <v>0.99299999999999999</v>
      </c>
      <c r="E1658" s="11">
        <v>1</v>
      </c>
    </row>
    <row r="1659" spans="2:5" x14ac:dyDescent="0.25">
      <c r="B1659" s="12" t="str">
        <f ca="1">IFERROR(__xludf.DUMMYFUNCTION("""COMPUTED_VALUE"""),"Shane Dawson")</f>
        <v>Shane Dawson</v>
      </c>
      <c r="C1659" s="12">
        <v>5.0999999999999996</v>
      </c>
      <c r="D1659" s="12">
        <v>9.7000000000000003E-2</v>
      </c>
      <c r="E1659" s="12">
        <v>1</v>
      </c>
    </row>
    <row r="1660" spans="2:5" x14ac:dyDescent="0.25">
      <c r="B1660" s="11" t="str">
        <f ca="1">IFERROR(__xludf.DUMMYFUNCTION("""COMPUTED_VALUE"""),"Ryan Little")</f>
        <v>Ryan Little</v>
      </c>
      <c r="C1660" s="11">
        <v>6.8</v>
      </c>
      <c r="D1660" s="11">
        <v>0.63800000000000001</v>
      </c>
      <c r="E1660" s="11">
        <v>1</v>
      </c>
    </row>
    <row r="1661" spans="2:5" x14ac:dyDescent="0.25">
      <c r="B1661" s="12" t="str">
        <f ca="1">IFERROR(__xludf.DUMMYFUNCTION("""COMPUTED_VALUE"""),"Matt Maiellaro")</f>
        <v>Matt Maiellaro</v>
      </c>
      <c r="C1661" s="12">
        <v>6.9</v>
      </c>
      <c r="D1661" s="12">
        <v>0.68200000000000005</v>
      </c>
      <c r="E1661" s="12">
        <v>1</v>
      </c>
    </row>
    <row r="1662" spans="2:5" x14ac:dyDescent="0.25">
      <c r="B1662" s="11" t="str">
        <f ca="1">IFERROR(__xludf.DUMMYFUNCTION("""COMPUTED_VALUE"""),"Ben Wheatley")</f>
        <v>Ben Wheatley</v>
      </c>
      <c r="C1662" s="11">
        <v>6.3</v>
      </c>
      <c r="D1662" s="11">
        <v>0.42299999999999999</v>
      </c>
      <c r="E1662" s="11">
        <v>1</v>
      </c>
    </row>
    <row r="1663" spans="2:5" x14ac:dyDescent="0.25">
      <c r="B1663" s="12" t="str">
        <f ca="1">IFERROR(__xludf.DUMMYFUNCTION("""COMPUTED_VALUE"""),"Oliver Blackburn")</f>
        <v>Oliver Blackburn</v>
      </c>
      <c r="C1663" s="12">
        <v>5.2</v>
      </c>
      <c r="D1663" s="12">
        <v>0.113</v>
      </c>
      <c r="E1663" s="12">
        <v>1</v>
      </c>
    </row>
    <row r="1664" spans="2:5" x14ac:dyDescent="0.25">
      <c r="B1664" s="11" t="str">
        <f ca="1">IFERROR(__xludf.DUMMYFUNCTION("""COMPUTED_VALUE"""),"Ryan Fleck")</f>
        <v>Ryan Fleck</v>
      </c>
      <c r="C1664" s="11">
        <v>7.2</v>
      </c>
      <c r="D1664" s="11">
        <v>0.81200000000000006</v>
      </c>
      <c r="E1664" s="11">
        <v>1</v>
      </c>
    </row>
    <row r="1665" spans="2:5" x14ac:dyDescent="0.25">
      <c r="B1665" s="12" t="str">
        <f ca="1">IFERROR(__xludf.DUMMYFUNCTION("""COMPUTED_VALUE"""),"Jennifer Wynne Farmer")</f>
        <v>Jennifer Wynne Farmer</v>
      </c>
      <c r="C1665" s="12">
        <v>6.5</v>
      </c>
      <c r="D1665" s="12">
        <v>0.504</v>
      </c>
      <c r="E1665" s="12">
        <v>1</v>
      </c>
    </row>
    <row r="1666" spans="2:5" x14ac:dyDescent="0.25">
      <c r="B1666" s="11" t="str">
        <f ca="1">IFERROR(__xludf.DUMMYFUNCTION("""COMPUTED_VALUE"""),"Christopher Scott Cherot")</f>
        <v>Christopher Scott Cherot</v>
      </c>
      <c r="C1666" s="11">
        <v>6.5</v>
      </c>
      <c r="D1666" s="11">
        <v>0.504</v>
      </c>
      <c r="E1666" s="11">
        <v>1</v>
      </c>
    </row>
    <row r="1667" spans="2:5" x14ac:dyDescent="0.25">
      <c r="B1667" s="12" t="str">
        <f ca="1">IFERROR(__xludf.DUMMYFUNCTION("""COMPUTED_VALUE"""),"Mark Sandrich")</f>
        <v>Mark Sandrich</v>
      </c>
      <c r="C1667" s="12">
        <v>7.8</v>
      </c>
      <c r="D1667" s="12">
        <v>0.95799999999999996</v>
      </c>
      <c r="E1667" s="12">
        <v>1</v>
      </c>
    </row>
    <row r="1668" spans="2:5" x14ac:dyDescent="0.25">
      <c r="B1668" s="11" t="str">
        <f ca="1">IFERROR(__xludf.DUMMYFUNCTION("""COMPUTED_VALUE"""),"Daniel Myrick")</f>
        <v>Daniel Myrick</v>
      </c>
      <c r="C1668" s="11">
        <v>6.4</v>
      </c>
      <c r="D1668" s="11">
        <v>0.46400000000000002</v>
      </c>
      <c r="E1668" s="11">
        <v>1</v>
      </c>
    </row>
    <row r="1669" spans="2:5" x14ac:dyDescent="0.25">
      <c r="B1669" s="12" t="str">
        <f ca="1">IFERROR(__xludf.DUMMYFUNCTION("""COMPUTED_VALUE"""),"Michael Wadleigh")</f>
        <v>Michael Wadleigh</v>
      </c>
      <c r="C1669" s="12">
        <v>8.1</v>
      </c>
      <c r="D1669" s="12">
        <v>0.98099999999999998</v>
      </c>
      <c r="E1669" s="12">
        <v>1</v>
      </c>
    </row>
    <row r="1670" spans="2:5" x14ac:dyDescent="0.25">
      <c r="B1670" s="11" t="str">
        <f ca="1">IFERROR(__xludf.DUMMYFUNCTION("""COMPUTED_VALUE"""),"Gene Teigland")</f>
        <v>Gene Teigland</v>
      </c>
      <c r="C1670" s="11">
        <v>5.6</v>
      </c>
      <c r="D1670" s="11">
        <v>0.19700000000000001</v>
      </c>
      <c r="E1670" s="11">
        <v>1</v>
      </c>
    </row>
    <row r="1671" spans="2:5" x14ac:dyDescent="0.25">
      <c r="B1671" s="12" t="str">
        <f ca="1">IFERROR(__xludf.DUMMYFUNCTION("""COMPUTED_VALUE"""),"Scott Ziehl")</f>
        <v>Scott Ziehl</v>
      </c>
      <c r="C1671" s="12">
        <v>6.6</v>
      </c>
      <c r="D1671" s="12">
        <v>0.55300000000000005</v>
      </c>
      <c r="E1671" s="12">
        <v>1</v>
      </c>
    </row>
    <row r="1672" spans="2:5" x14ac:dyDescent="0.25">
      <c r="B1672" s="11" t="str">
        <f ca="1">IFERROR(__xludf.DUMMYFUNCTION("""COMPUTED_VALUE"""),"U. Roberto Romano")</f>
        <v>U. Roberto Romano</v>
      </c>
      <c r="C1672" s="11">
        <v>7.2</v>
      </c>
      <c r="D1672" s="11">
        <v>0.81200000000000006</v>
      </c>
      <c r="E1672" s="11">
        <v>1</v>
      </c>
    </row>
    <row r="1673" spans="2:5" x14ac:dyDescent="0.25">
      <c r="B1673" s="12" t="str">
        <f ca="1">IFERROR(__xludf.DUMMYFUNCTION("""COMPUTED_VALUE"""),"Joe Camp")</f>
        <v>Joe Camp</v>
      </c>
      <c r="C1673" s="12">
        <v>6.1</v>
      </c>
      <c r="D1673" s="12">
        <v>0.35099999999999998</v>
      </c>
      <c r="E1673" s="12">
        <v>1</v>
      </c>
    </row>
    <row r="1674" spans="2:5" x14ac:dyDescent="0.25">
      <c r="B1674" s="11" t="str">
        <f ca="1">IFERROR(__xludf.DUMMYFUNCTION("""COMPUTED_VALUE"""),"John 'Bud' Cardos")</f>
        <v>John 'Bud' Cardos</v>
      </c>
      <c r="C1674" s="11">
        <v>5.9</v>
      </c>
      <c r="D1674" s="11">
        <v>0.27100000000000002</v>
      </c>
      <c r="E1674" s="11">
        <v>1</v>
      </c>
    </row>
    <row r="1675" spans="2:5" x14ac:dyDescent="0.25">
      <c r="B1675" s="12" t="str">
        <f ca="1">IFERROR(__xludf.DUMMYFUNCTION("""COMPUTED_VALUE"""),"Brian Baugh")</f>
        <v>Brian Baugh</v>
      </c>
      <c r="C1675" s="12">
        <v>7.1</v>
      </c>
      <c r="D1675" s="12">
        <v>0.77200000000000002</v>
      </c>
      <c r="E1675" s="12">
        <v>1</v>
      </c>
    </row>
    <row r="1676" spans="2:5" x14ac:dyDescent="0.25">
      <c r="B1676" s="11" t="str">
        <f ca="1">IFERROR(__xludf.DUMMYFUNCTION("""COMPUTED_VALUE"""),"Barry W. Blaustein")</f>
        <v>Barry W. Blaustein</v>
      </c>
      <c r="C1676" s="11">
        <v>7.6</v>
      </c>
      <c r="D1676" s="11">
        <v>0.91500000000000004</v>
      </c>
      <c r="E1676" s="11">
        <v>1</v>
      </c>
    </row>
    <row r="1677" spans="2:5" x14ac:dyDescent="0.25">
      <c r="B1677" s="12" t="str">
        <f ca="1">IFERROR(__xludf.DUMMYFUNCTION("""COMPUTED_VALUE"""),"Kurt Hale")</f>
        <v>Kurt Hale</v>
      </c>
      <c r="C1677" s="12">
        <v>6.2</v>
      </c>
      <c r="D1677" s="12">
        <v>0.39100000000000001</v>
      </c>
      <c r="E1677" s="12">
        <v>2</v>
      </c>
    </row>
    <row r="1678" spans="2:5" x14ac:dyDescent="0.25">
      <c r="B1678" s="11" t="str">
        <f ca="1">IFERROR(__xludf.DUMMYFUNCTION("""COMPUTED_VALUE"""),"Siddiq Barmak")</f>
        <v>Siddiq Barmak</v>
      </c>
      <c r="C1678" s="11">
        <v>7.4</v>
      </c>
      <c r="D1678" s="11">
        <v>0.875</v>
      </c>
      <c r="E1678" s="11">
        <v>1</v>
      </c>
    </row>
    <row r="1679" spans="2:5" x14ac:dyDescent="0.25">
      <c r="B1679" s="12" t="str">
        <f ca="1">IFERROR(__xludf.DUMMYFUNCTION("""COMPUTED_VALUE"""),"Joseph Dorman")</f>
        <v>Joseph Dorman</v>
      </c>
      <c r="C1679" s="12">
        <v>6.8</v>
      </c>
      <c r="D1679" s="12">
        <v>0.63800000000000001</v>
      </c>
      <c r="E1679" s="12">
        <v>1</v>
      </c>
    </row>
    <row r="1680" spans="2:5" x14ac:dyDescent="0.25">
      <c r="B1680" s="11" t="str">
        <f ca="1">IFERROR(__xludf.DUMMYFUNCTION("""COMPUTED_VALUE"""),"Greg Harrison")</f>
        <v>Greg Harrison</v>
      </c>
      <c r="C1680" s="11">
        <v>6</v>
      </c>
      <c r="D1680" s="11">
        <v>0.312</v>
      </c>
      <c r="E1680" s="11">
        <v>2</v>
      </c>
    </row>
    <row r="1681" spans="2:5" x14ac:dyDescent="0.25">
      <c r="B1681" s="12" t="str">
        <f ca="1">IFERROR(__xludf.DUMMYFUNCTION("""COMPUTED_VALUE"""),"Jacob Aaron Estes")</f>
        <v>Jacob Aaron Estes</v>
      </c>
      <c r="C1681" s="12">
        <v>7.3</v>
      </c>
      <c r="D1681" s="12">
        <v>0.84899999999999998</v>
      </c>
      <c r="E1681" s="12">
        <v>1</v>
      </c>
    </row>
    <row r="1682" spans="2:5" x14ac:dyDescent="0.25">
      <c r="B1682" s="11" t="str">
        <f ca="1">IFERROR(__xludf.DUMMYFUNCTION("""COMPUTED_VALUE"""),"Eric Schaeffer")</f>
        <v>Eric Schaeffer</v>
      </c>
      <c r="C1682" s="11">
        <v>6</v>
      </c>
      <c r="D1682" s="11">
        <v>0.312</v>
      </c>
      <c r="E1682" s="11">
        <v>1</v>
      </c>
    </row>
    <row r="1683" spans="2:5" x14ac:dyDescent="0.25">
      <c r="B1683" s="12" t="str">
        <f ca="1">IFERROR(__xludf.DUMMYFUNCTION("""COMPUTED_VALUE"""),"Neema Barnette")</f>
        <v>Neema Barnette</v>
      </c>
      <c r="C1683" s="12">
        <v>5.3</v>
      </c>
      <c r="D1683" s="12">
        <v>0.13</v>
      </c>
      <c r="E1683" s="12">
        <v>1</v>
      </c>
    </row>
    <row r="1684" spans="2:5" x14ac:dyDescent="0.25">
      <c r="B1684" s="11" t="str">
        <f ca="1">IFERROR(__xludf.DUMMYFUNCTION("""COMPUTED_VALUE"""),"Molly Bernstein")</f>
        <v>Molly Bernstein</v>
      </c>
      <c r="C1684" s="11">
        <v>7.1</v>
      </c>
      <c r="D1684" s="11">
        <v>0.77200000000000002</v>
      </c>
      <c r="E1684" s="11">
        <v>1</v>
      </c>
    </row>
    <row r="1685" spans="2:5" x14ac:dyDescent="0.25">
      <c r="B1685" s="12" t="str">
        <f ca="1">IFERROR(__xludf.DUMMYFUNCTION("""COMPUTED_VALUE"""),"Marius A. Markevicius")</f>
        <v>Marius A. Markevicius</v>
      </c>
      <c r="C1685" s="12">
        <v>8.4</v>
      </c>
      <c r="D1685" s="12">
        <v>0.99299999999999999</v>
      </c>
      <c r="E1685" s="12">
        <v>1</v>
      </c>
    </row>
    <row r="1686" spans="2:5" x14ac:dyDescent="0.25">
      <c r="B1686" s="11" t="str">
        <f ca="1">IFERROR(__xludf.DUMMYFUNCTION("""COMPUTED_VALUE"""),"Quentin Dupieux")</f>
        <v>Quentin Dupieux</v>
      </c>
      <c r="C1686" s="11">
        <v>5.8</v>
      </c>
      <c r="D1686" s="11">
        <v>0.251</v>
      </c>
      <c r="E1686" s="11">
        <v>1</v>
      </c>
    </row>
    <row r="1687" spans="2:5" x14ac:dyDescent="0.25">
      <c r="B1687" s="12" t="str">
        <f ca="1">IFERROR(__xludf.DUMMYFUNCTION("""COMPUTED_VALUE"""),"Alex Smith")</f>
        <v>Alex Smith</v>
      </c>
      <c r="C1687" s="12">
        <v>6.1</v>
      </c>
      <c r="D1687" s="12">
        <v>0.35099999999999998</v>
      </c>
      <c r="E1687" s="12">
        <v>1</v>
      </c>
    </row>
    <row r="1688" spans="2:5" x14ac:dyDescent="0.25">
      <c r="B1688" s="11" t="str">
        <f ca="1">IFERROR(__xludf.DUMMYFUNCTION("""COMPUTED_VALUE"""),"Gareth Edwards")</f>
        <v>Gareth Edwards</v>
      </c>
      <c r="C1688" s="11">
        <v>6.4</v>
      </c>
      <c r="D1688" s="11">
        <v>0.46400000000000002</v>
      </c>
      <c r="E1688" s="11">
        <v>1</v>
      </c>
    </row>
    <row r="1689" spans="2:5" x14ac:dyDescent="0.25">
      <c r="B1689" s="12" t="str">
        <f ca="1">IFERROR(__xludf.DUMMYFUNCTION("""COMPUTED_VALUE"""),"Sol Tryon")</f>
        <v>Sol Tryon</v>
      </c>
      <c r="C1689" s="12">
        <v>6.5</v>
      </c>
      <c r="D1689" s="12">
        <v>0.504</v>
      </c>
      <c r="E1689" s="12">
        <v>1</v>
      </c>
    </row>
    <row r="1690" spans="2:5" x14ac:dyDescent="0.25">
      <c r="B1690" s="11" t="str">
        <f ca="1">IFERROR(__xludf.DUMMYFUNCTION("""COMPUTED_VALUE"""),"Alex Craig Mann")</f>
        <v>Alex Craig Mann</v>
      </c>
      <c r="C1690" s="11">
        <v>4.5999999999999996</v>
      </c>
      <c r="D1690" s="11">
        <v>5.8999999999999997E-2</v>
      </c>
      <c r="E1690" s="11">
        <v>1</v>
      </c>
    </row>
    <row r="1691" spans="2:5" x14ac:dyDescent="0.25">
      <c r="B1691" s="12" t="str">
        <f ca="1">IFERROR(__xludf.DUMMYFUNCTION("""COMPUTED_VALUE"""),"Catherine Gund")</f>
        <v>Catherine Gund</v>
      </c>
      <c r="C1691" s="12">
        <v>6.8</v>
      </c>
      <c r="D1691" s="12">
        <v>0.63800000000000001</v>
      </c>
      <c r="E1691" s="12">
        <v>1</v>
      </c>
    </row>
    <row r="1692" spans="2:5" x14ac:dyDescent="0.25">
      <c r="B1692" s="11" t="str">
        <f ca="1">IFERROR(__xludf.DUMMYFUNCTION("""COMPUTED_VALUE"""),"Matty Rich")</f>
        <v>Matty Rich</v>
      </c>
      <c r="C1692" s="11">
        <v>5.9</v>
      </c>
      <c r="D1692" s="11">
        <v>0.27100000000000002</v>
      </c>
      <c r="E1692" s="11">
        <v>1</v>
      </c>
    </row>
    <row r="1693" spans="2:5" x14ac:dyDescent="0.25">
      <c r="B1693" s="12" t="str">
        <f ca="1">IFERROR(__xludf.DUMMYFUNCTION("""COMPUTED_VALUE"""),"Hans Canosa")</f>
        <v>Hans Canosa</v>
      </c>
      <c r="C1693" s="12">
        <v>7.1</v>
      </c>
      <c r="D1693" s="12">
        <v>0.77200000000000002</v>
      </c>
      <c r="E1693" s="12">
        <v>1</v>
      </c>
    </row>
    <row r="1694" spans="2:5" x14ac:dyDescent="0.25">
      <c r="B1694" s="11" t="str">
        <f ca="1">IFERROR(__xludf.DUMMYFUNCTION("""COMPUTED_VALUE"""),"Lloyd Kaufman")</f>
        <v>Lloyd Kaufman</v>
      </c>
      <c r="C1694" s="11">
        <v>6.2</v>
      </c>
      <c r="D1694" s="11">
        <v>0.39100000000000001</v>
      </c>
      <c r="E1694" s="11">
        <v>1</v>
      </c>
    </row>
    <row r="1695" spans="2:5" x14ac:dyDescent="0.25">
      <c r="B1695" s="12" t="str">
        <f ca="1">IFERROR(__xludf.DUMMYFUNCTION("""COMPUTED_VALUE"""),"Lloyd Bacon")</f>
        <v>Lloyd Bacon</v>
      </c>
      <c r="C1695" s="12">
        <v>7.7</v>
      </c>
      <c r="D1695" s="12">
        <v>0.94</v>
      </c>
      <c r="E1695" s="12">
        <v>1</v>
      </c>
    </row>
    <row r="1696" spans="2:5" x14ac:dyDescent="0.25">
      <c r="B1696" s="11" t="str">
        <f ca="1">IFERROR(__xludf.DUMMYFUNCTION("""COMPUTED_VALUE"""),"Whit Stillman")</f>
        <v>Whit Stillman</v>
      </c>
      <c r="C1696" s="11">
        <v>7.5</v>
      </c>
      <c r="D1696" s="11">
        <v>0.89300000000000002</v>
      </c>
      <c r="E1696" s="11">
        <v>1</v>
      </c>
    </row>
    <row r="1697" spans="2:5" x14ac:dyDescent="0.25">
      <c r="B1697" s="12" t="str">
        <f ca="1">IFERROR(__xludf.DUMMYFUNCTION("""COMPUTED_VALUE"""),"Kay Pollak")</f>
        <v>Kay Pollak</v>
      </c>
      <c r="C1697" s="12">
        <v>7.6</v>
      </c>
      <c r="D1697" s="12">
        <v>0.91500000000000004</v>
      </c>
      <c r="E1697" s="12">
        <v>1</v>
      </c>
    </row>
    <row r="1698" spans="2:5" x14ac:dyDescent="0.25">
      <c r="B1698" s="11" t="str">
        <f ca="1">IFERROR(__xludf.DUMMYFUNCTION("""COMPUTED_VALUE"""),"Oren Peli")</f>
        <v>Oren Peli</v>
      </c>
      <c r="C1698" s="11">
        <v>6.3</v>
      </c>
      <c r="D1698" s="11">
        <v>0.42299999999999999</v>
      </c>
      <c r="E1698" s="11">
        <v>1</v>
      </c>
    </row>
    <row r="1699" spans="2:5" x14ac:dyDescent="0.25">
      <c r="B1699" s="12" t="str">
        <f ca="1">IFERROR(__xludf.DUMMYFUNCTION("""COMPUTED_VALUE"""),"Sue Corcoran")</f>
        <v>Sue Corcoran</v>
      </c>
      <c r="C1699" s="12">
        <v>4.7</v>
      </c>
      <c r="D1699" s="12">
        <v>6.6000000000000003E-2</v>
      </c>
      <c r="E1699" s="12">
        <v>1</v>
      </c>
    </row>
    <row r="1700" spans="2:5" x14ac:dyDescent="0.25">
      <c r="B1700" s="11" t="str">
        <f ca="1">IFERROR(__xludf.DUMMYFUNCTION("""COMPUTED_VALUE"""),"Jonathan Caouette")</f>
        <v>Jonathan Caouette</v>
      </c>
      <c r="C1700" s="11">
        <v>7.2</v>
      </c>
      <c r="D1700" s="11">
        <v>0.81200000000000006</v>
      </c>
      <c r="E1700" s="11">
        <v>1</v>
      </c>
    </row>
    <row r="1701" spans="2:5" x14ac:dyDescent="0.25">
      <c r="B1701" s="12" t="str">
        <f ca="1">IFERROR(__xludf.DUMMYFUNCTION("""COMPUTED_VALUE"""),"Ray Griggs")</f>
        <v>Ray Griggs</v>
      </c>
      <c r="C1701" s="12">
        <v>5.0999999999999996</v>
      </c>
      <c r="D1701" s="12">
        <v>9.7000000000000003E-2</v>
      </c>
      <c r="E1701" s="12">
        <v>1</v>
      </c>
    </row>
    <row r="1702" spans="2:5" x14ac:dyDescent="0.25">
      <c r="B1702" s="11" t="str">
        <f ca="1">IFERROR(__xludf.DUMMYFUNCTION("""COMPUTED_VALUE"""),"Lucio Fulci")</f>
        <v>Lucio Fulci</v>
      </c>
      <c r="C1702" s="11">
        <v>6.9</v>
      </c>
      <c r="D1702" s="11">
        <v>0.68200000000000005</v>
      </c>
      <c r="E1702" s="11">
        <v>1</v>
      </c>
    </row>
    <row r="1703" spans="2:5" x14ac:dyDescent="0.25">
      <c r="B1703" s="12" t="str">
        <f ca="1">IFERROR(__xludf.DUMMYFUNCTION("""COMPUTED_VALUE"""),"Roger Nygard")</f>
        <v>Roger Nygard</v>
      </c>
      <c r="C1703" s="12">
        <v>7</v>
      </c>
      <c r="D1703" s="12">
        <v>0.72299999999999998</v>
      </c>
      <c r="E1703" s="12">
        <v>1</v>
      </c>
    </row>
    <row r="1704" spans="2:5" x14ac:dyDescent="0.25">
      <c r="B1704" s="11" t="str">
        <f ca="1">IFERROR(__xludf.DUMMYFUNCTION("""COMPUTED_VALUE"""),"Harry Beaumont")</f>
        <v>Harry Beaumont</v>
      </c>
      <c r="C1704" s="11">
        <v>6.3</v>
      </c>
      <c r="D1704" s="11">
        <v>0.42299999999999999</v>
      </c>
      <c r="E1704" s="11">
        <v>1</v>
      </c>
    </row>
    <row r="1705" spans="2:5" x14ac:dyDescent="0.25">
      <c r="B1705" s="12" t="str">
        <f ca="1">IFERROR(__xludf.DUMMYFUNCTION("""COMPUTED_VALUE"""),"Franck Khalfoun")</f>
        <v>Franck Khalfoun</v>
      </c>
      <c r="C1705" s="12">
        <v>6.1</v>
      </c>
      <c r="D1705" s="12">
        <v>0.35099999999999998</v>
      </c>
      <c r="E1705" s="12">
        <v>1</v>
      </c>
    </row>
    <row r="1706" spans="2:5" x14ac:dyDescent="0.25">
      <c r="B1706" s="11" t="str">
        <f ca="1">IFERROR(__xludf.DUMMYFUNCTION("""COMPUTED_VALUE"""),"Mor Loushy")</f>
        <v>Mor Loushy</v>
      </c>
      <c r="C1706" s="11">
        <v>7.2</v>
      </c>
      <c r="D1706" s="11">
        <v>0.81200000000000006</v>
      </c>
      <c r="E1706" s="11">
        <v>1</v>
      </c>
    </row>
    <row r="1707" spans="2:5" x14ac:dyDescent="0.25">
      <c r="B1707" s="12" t="str">
        <f ca="1">IFERROR(__xludf.DUMMYFUNCTION("""COMPUTED_VALUE"""),"Henry Alex Rubin")</f>
        <v>Henry Alex Rubin</v>
      </c>
      <c r="C1707" s="12">
        <v>7.8</v>
      </c>
      <c r="D1707" s="12">
        <v>0.95799999999999996</v>
      </c>
      <c r="E1707" s="12">
        <v>1</v>
      </c>
    </row>
    <row r="1708" spans="2:5" x14ac:dyDescent="0.25">
      <c r="B1708" s="11" t="str">
        <f ca="1">IFERROR(__xludf.DUMMYFUNCTION("""COMPUTED_VALUE"""),"Sam Firstenberg")</f>
        <v>Sam Firstenberg</v>
      </c>
      <c r="C1708" s="11">
        <v>4.7</v>
      </c>
      <c r="D1708" s="11">
        <v>6.6000000000000003E-2</v>
      </c>
      <c r="E1708" s="11">
        <v>1</v>
      </c>
    </row>
    <row r="1709" spans="2:5" x14ac:dyDescent="0.25">
      <c r="B1709" s="12" t="str">
        <f ca="1">IFERROR(__xludf.DUMMYFUNCTION("""COMPUTED_VALUE"""),"Gregory Widen")</f>
        <v>Gregory Widen</v>
      </c>
      <c r="C1709" s="12">
        <v>6.6</v>
      </c>
      <c r="D1709" s="12">
        <v>0.55300000000000005</v>
      </c>
      <c r="E1709" s="12">
        <v>1</v>
      </c>
    </row>
    <row r="1710" spans="2:5" x14ac:dyDescent="0.25">
      <c r="B1710" s="11" t="str">
        <f ca="1">IFERROR(__xludf.DUMMYFUNCTION("""COMPUTED_VALUE"""),"Kelly Reichardt")</f>
        <v>Kelly Reichardt</v>
      </c>
      <c r="C1710" s="11">
        <v>6.9</v>
      </c>
      <c r="D1710" s="11">
        <v>0.68200000000000005</v>
      </c>
      <c r="E1710" s="11">
        <v>2</v>
      </c>
    </row>
    <row r="1711" spans="2:5" x14ac:dyDescent="0.25">
      <c r="B1711" s="12" t="str">
        <f ca="1">IFERROR(__xludf.DUMMYFUNCTION("""COMPUTED_VALUE"""),"Pan Nalin")</f>
        <v>Pan Nalin</v>
      </c>
      <c r="C1711" s="12">
        <v>7.6</v>
      </c>
      <c r="D1711" s="12">
        <v>0.91500000000000004</v>
      </c>
      <c r="E1711" s="12">
        <v>1</v>
      </c>
    </row>
    <row r="1712" spans="2:5" x14ac:dyDescent="0.25">
      <c r="B1712" s="11" t="str">
        <f ca="1">IFERROR(__xludf.DUMMYFUNCTION("""COMPUTED_VALUE"""),"Michael Roemer")</f>
        <v>Michael Roemer</v>
      </c>
      <c r="C1712" s="11">
        <v>8.1</v>
      </c>
      <c r="D1712" s="11">
        <v>0.98099999999999998</v>
      </c>
      <c r="E1712" s="11">
        <v>1</v>
      </c>
    </row>
    <row r="1713" spans="2:5" x14ac:dyDescent="0.25">
      <c r="B1713" s="12" t="str">
        <f ca="1">IFERROR(__xludf.DUMMYFUNCTION("""COMPUTED_VALUE"""),"Eddie O'Flaherty")</f>
        <v>Eddie O'Flaherty</v>
      </c>
      <c r="C1713" s="12">
        <v>6.6</v>
      </c>
      <c r="D1713" s="12">
        <v>0.55300000000000005</v>
      </c>
      <c r="E1713" s="12">
        <v>1</v>
      </c>
    </row>
    <row r="1714" spans="2:5" x14ac:dyDescent="0.25">
      <c r="B1714" s="11" t="str">
        <f ca="1">IFERROR(__xludf.DUMMYFUNCTION("""COMPUTED_VALUE"""),"Bruce Dellis")</f>
        <v>Bruce Dellis</v>
      </c>
      <c r="C1714" s="11">
        <v>4.8</v>
      </c>
      <c r="D1714" s="11">
        <v>7.3999999999999996E-2</v>
      </c>
      <c r="E1714" s="11">
        <v>1</v>
      </c>
    </row>
    <row r="1715" spans="2:5" x14ac:dyDescent="0.25">
      <c r="B1715" s="12" t="str">
        <f ca="1">IFERROR(__xludf.DUMMYFUNCTION("""COMPUTED_VALUE"""),"Craig Zobel")</f>
        <v>Craig Zobel</v>
      </c>
      <c r="C1715" s="12">
        <v>6.4</v>
      </c>
      <c r="D1715" s="12">
        <v>0.46400000000000002</v>
      </c>
      <c r="E1715" s="12">
        <v>1</v>
      </c>
    </row>
    <row r="1716" spans="2:5" x14ac:dyDescent="0.25">
      <c r="B1716" s="11" t="str">
        <f ca="1">IFERROR(__xludf.DUMMYFUNCTION("""COMPUTED_VALUE"""),"Maria Maggenti")</f>
        <v>Maria Maggenti</v>
      </c>
      <c r="C1716" s="11">
        <v>6.5</v>
      </c>
      <c r="D1716" s="11">
        <v>0.504</v>
      </c>
      <c r="E1716" s="11">
        <v>1</v>
      </c>
    </row>
    <row r="1717" spans="2:5" x14ac:dyDescent="0.25">
      <c r="B1717" s="12" t="str">
        <f ca="1">IFERROR(__xludf.DUMMYFUNCTION("""COMPUTED_VALUE"""),"Piyush Dinker Pandya")</f>
        <v>Piyush Dinker Pandya</v>
      </c>
      <c r="C1717" s="12">
        <v>6.7</v>
      </c>
      <c r="D1717" s="12">
        <v>0.6</v>
      </c>
      <c r="E1717" s="12">
        <v>1</v>
      </c>
    </row>
    <row r="1718" spans="2:5" x14ac:dyDescent="0.25">
      <c r="B1718" s="11" t="str">
        <f ca="1">IFERROR(__xludf.DUMMYFUNCTION("""COMPUTED_VALUE"""),"Emma-Kate Croghan")</f>
        <v>Emma-Kate Croghan</v>
      </c>
      <c r="C1718" s="11">
        <v>6.4</v>
      </c>
      <c r="D1718" s="11">
        <v>0.46400000000000002</v>
      </c>
      <c r="E1718" s="11">
        <v>1</v>
      </c>
    </row>
    <row r="1719" spans="2:5" x14ac:dyDescent="0.25">
      <c r="B1719" s="12" t="str">
        <f ca="1">IFERROR(__xludf.DUMMYFUNCTION("""COMPUTED_VALUE"""),"Bill Plympton")</f>
        <v>Bill Plympton</v>
      </c>
      <c r="C1719" s="12">
        <v>7</v>
      </c>
      <c r="D1719" s="12">
        <v>0.72299999999999998</v>
      </c>
      <c r="E1719" s="12">
        <v>1</v>
      </c>
    </row>
    <row r="1720" spans="2:5" x14ac:dyDescent="0.25">
      <c r="B1720" s="11" t="str">
        <f ca="1">IFERROR(__xludf.DUMMYFUNCTION("""COMPUTED_VALUE"""),"Drake Doremus")</f>
        <v>Drake Doremus</v>
      </c>
      <c r="C1720" s="11">
        <v>6.7</v>
      </c>
      <c r="D1720" s="11">
        <v>0.6</v>
      </c>
      <c r="E1720" s="11">
        <v>1</v>
      </c>
    </row>
    <row r="1721" spans="2:5" x14ac:dyDescent="0.25">
      <c r="B1721" s="12" t="str">
        <f ca="1">IFERROR(__xludf.DUMMYFUNCTION("""COMPUTED_VALUE"""),"Hilary Brougher")</f>
        <v>Hilary Brougher</v>
      </c>
      <c r="C1721" s="12">
        <v>6.3</v>
      </c>
      <c r="D1721" s="12">
        <v>0.42299999999999999</v>
      </c>
      <c r="E1721" s="12">
        <v>1</v>
      </c>
    </row>
    <row r="1722" spans="2:5" x14ac:dyDescent="0.25">
      <c r="B1722" s="11" t="str">
        <f ca="1">IFERROR(__xludf.DUMMYFUNCTION("""COMPUTED_VALUE"""),"Tom Putnam")</f>
        <v>Tom Putnam</v>
      </c>
      <c r="C1722" s="11">
        <v>7.5</v>
      </c>
      <c r="D1722" s="11">
        <v>0.89300000000000002</v>
      </c>
      <c r="E1722" s="11">
        <v>1</v>
      </c>
    </row>
    <row r="1723" spans="2:5" x14ac:dyDescent="0.25">
      <c r="B1723" s="12" t="str">
        <f ca="1">IFERROR(__xludf.DUMMYFUNCTION("""COMPUTED_VALUE"""),"Jon Shear")</f>
        <v>Jon Shear</v>
      </c>
      <c r="C1723" s="12">
        <v>7</v>
      </c>
      <c r="D1723" s="12">
        <v>0.72299999999999998</v>
      </c>
      <c r="E1723" s="12">
        <v>1</v>
      </c>
    </row>
    <row r="1724" spans="2:5" x14ac:dyDescent="0.25">
      <c r="B1724" s="11" t="str">
        <f ca="1">IFERROR(__xludf.DUMMYFUNCTION("""COMPUTED_VALUE"""),"Eugène Lourié")</f>
        <v>Eugène Lourié</v>
      </c>
      <c r="C1724" s="11">
        <v>6.7</v>
      </c>
      <c r="D1724" s="11">
        <v>0.6</v>
      </c>
      <c r="E1724" s="11">
        <v>1</v>
      </c>
    </row>
    <row r="1725" spans="2:5" x14ac:dyDescent="0.25">
      <c r="B1725" s="12" t="str">
        <f ca="1">IFERROR(__xludf.DUMMYFUNCTION("""COMPUTED_VALUE"""),"Maurizio Benazzo")</f>
        <v>Maurizio Benazzo</v>
      </c>
      <c r="C1725" s="12">
        <v>7.2</v>
      </c>
      <c r="D1725" s="12">
        <v>0.81200000000000006</v>
      </c>
      <c r="E1725" s="12">
        <v>1</v>
      </c>
    </row>
    <row r="1726" spans="2:5" x14ac:dyDescent="0.25">
      <c r="B1726" s="11" t="str">
        <f ca="1">IFERROR(__xludf.DUMMYFUNCTION("""COMPUTED_VALUE"""),"David G. Evans")</f>
        <v>David G. Evans</v>
      </c>
      <c r="C1726" s="11">
        <v>6.4</v>
      </c>
      <c r="D1726" s="11">
        <v>0.46400000000000002</v>
      </c>
      <c r="E1726" s="11">
        <v>1</v>
      </c>
    </row>
    <row r="1727" spans="2:5" x14ac:dyDescent="0.25">
      <c r="B1727" s="12" t="str">
        <f ca="1">IFERROR(__xludf.DUMMYFUNCTION("""COMPUTED_VALUE"""),"Sherman Alexie")</f>
        <v>Sherman Alexie</v>
      </c>
      <c r="C1727" s="12">
        <v>6.9</v>
      </c>
      <c r="D1727" s="12">
        <v>0.68200000000000005</v>
      </c>
      <c r="E1727" s="12">
        <v>1</v>
      </c>
    </row>
    <row r="1728" spans="2:5" x14ac:dyDescent="0.25">
      <c r="B1728" s="11" t="str">
        <f ca="1">IFERROR(__xludf.DUMMYFUNCTION("""COMPUTED_VALUE"""),"Justin Dillon")</f>
        <v>Justin Dillon</v>
      </c>
      <c r="C1728" s="11">
        <v>7.5</v>
      </c>
      <c r="D1728" s="11">
        <v>0.89300000000000002</v>
      </c>
      <c r="E1728" s="11">
        <v>1</v>
      </c>
    </row>
    <row r="1729" spans="2:5" x14ac:dyDescent="0.25">
      <c r="B1729" s="12" t="str">
        <f ca="1">IFERROR(__xludf.DUMMYFUNCTION("""COMPUTED_VALUE"""),"Ricki Stern")</f>
        <v>Ricki Stern</v>
      </c>
      <c r="C1729" s="12">
        <v>7.7</v>
      </c>
      <c r="D1729" s="12">
        <v>0.94</v>
      </c>
      <c r="E1729" s="12">
        <v>1</v>
      </c>
    </row>
    <row r="1730" spans="2:5" x14ac:dyDescent="0.25">
      <c r="B1730" s="11" t="str">
        <f ca="1">IFERROR(__xludf.DUMMYFUNCTION("""COMPUTED_VALUE"""),"Majid Majidi")</f>
        <v>Majid Majidi</v>
      </c>
      <c r="C1730" s="11">
        <v>8.5</v>
      </c>
      <c r="D1730" s="11">
        <v>0.996</v>
      </c>
      <c r="E1730" s="11">
        <v>1</v>
      </c>
    </row>
    <row r="1731" spans="2:5" x14ac:dyDescent="0.25">
      <c r="B1731" s="12" t="str">
        <f ca="1">IFERROR(__xludf.DUMMYFUNCTION("""COMPUTED_VALUE"""),"Andrew Haigh")</f>
        <v>Andrew Haigh</v>
      </c>
      <c r="C1731" s="12">
        <v>7.7</v>
      </c>
      <c r="D1731" s="12">
        <v>0.94</v>
      </c>
      <c r="E1731" s="12">
        <v>1</v>
      </c>
    </row>
    <row r="1732" spans="2:5" x14ac:dyDescent="0.25">
      <c r="B1732" s="11" t="str">
        <f ca="1">IFERROR(__xludf.DUMMYFUNCTION("""COMPUTED_VALUE"""),"Mike Cahill")</f>
        <v>Mike Cahill</v>
      </c>
      <c r="C1732" s="11">
        <v>7</v>
      </c>
      <c r="D1732" s="11">
        <v>0.72299999999999998</v>
      </c>
      <c r="E1732" s="11">
        <v>1</v>
      </c>
    </row>
    <row r="1733" spans="2:5" x14ac:dyDescent="0.25">
      <c r="B1733" s="12" t="str">
        <f ca="1">IFERROR(__xludf.DUMMYFUNCTION("""COMPUTED_VALUE"""),"Melvin Van Peebles")</f>
        <v>Melvin Van Peebles</v>
      </c>
      <c r="C1733" s="12">
        <v>5.5</v>
      </c>
      <c r="D1733" s="12">
        <v>0.17699999999999999</v>
      </c>
      <c r="E1733" s="12">
        <v>1</v>
      </c>
    </row>
    <row r="1734" spans="2:5" x14ac:dyDescent="0.25">
      <c r="B1734" s="11" t="str">
        <f ca="1">IFERROR(__xludf.DUMMYFUNCTION("""COMPUTED_VALUE"""),"Robinson Devor")</f>
        <v>Robinson Devor</v>
      </c>
      <c r="C1734" s="11">
        <v>7.3</v>
      </c>
      <c r="D1734" s="11">
        <v>0.84899999999999998</v>
      </c>
      <c r="E1734" s="11">
        <v>1</v>
      </c>
    </row>
    <row r="1735" spans="2:5" x14ac:dyDescent="0.25">
      <c r="B1735" s="12" t="str">
        <f ca="1">IFERROR(__xludf.DUMMYFUNCTION("""COMPUTED_VALUE"""),"Michel Orion Scott")</f>
        <v>Michel Orion Scott</v>
      </c>
      <c r="C1735" s="12">
        <v>7.4</v>
      </c>
      <c r="D1735" s="12">
        <v>0.875</v>
      </c>
      <c r="E1735" s="12">
        <v>1</v>
      </c>
    </row>
    <row r="1736" spans="2:5" x14ac:dyDescent="0.25">
      <c r="B1736" s="11" t="str">
        <f ca="1">IFERROR(__xludf.DUMMYFUNCTION("""COMPUTED_VALUE"""),"Dena Seidel")</f>
        <v>Dena Seidel</v>
      </c>
      <c r="C1736" s="11">
        <v>7</v>
      </c>
      <c r="D1736" s="11">
        <v>0.72299999999999998</v>
      </c>
      <c r="E1736" s="11">
        <v>1</v>
      </c>
    </row>
    <row r="1737" spans="2:5" x14ac:dyDescent="0.25">
      <c r="B1737" s="12" t="str">
        <f ca="1">IFERROR(__xludf.DUMMYFUNCTION("""COMPUTED_VALUE"""),"Sara Newens")</f>
        <v>Sara Newens</v>
      </c>
      <c r="C1737" s="12">
        <v>7.1</v>
      </c>
      <c r="D1737" s="12">
        <v>0.77200000000000002</v>
      </c>
      <c r="E1737" s="12">
        <v>1</v>
      </c>
    </row>
    <row r="1738" spans="2:5" x14ac:dyDescent="0.25">
      <c r="B1738" s="11" t="str">
        <f ca="1">IFERROR(__xludf.DUMMYFUNCTION("""COMPUTED_VALUE"""),"Lynn Shelton")</f>
        <v>Lynn Shelton</v>
      </c>
      <c r="C1738" s="11">
        <v>6.7</v>
      </c>
      <c r="D1738" s="11">
        <v>0.6</v>
      </c>
      <c r="E1738" s="11">
        <v>1</v>
      </c>
    </row>
    <row r="1739" spans="2:5" x14ac:dyDescent="0.25">
      <c r="B1739" s="12" t="str">
        <f ca="1">IFERROR(__xludf.DUMMYFUNCTION("""COMPUTED_VALUE"""),"Travis Cluff")</f>
        <v>Travis Cluff</v>
      </c>
      <c r="C1739" s="12">
        <v>4.2</v>
      </c>
      <c r="D1739" s="12">
        <v>4.2999999999999997E-2</v>
      </c>
      <c r="E1739" s="12">
        <v>1</v>
      </c>
    </row>
    <row r="1740" spans="2:5" x14ac:dyDescent="0.25">
      <c r="B1740" s="11" t="str">
        <f ca="1">IFERROR(__xludf.DUMMYFUNCTION("""COMPUTED_VALUE"""),"Robert Townsend")</f>
        <v>Robert Townsend</v>
      </c>
      <c r="C1740" s="11">
        <v>7</v>
      </c>
      <c r="D1740" s="11">
        <v>0.72299999999999998</v>
      </c>
      <c r="E1740" s="11">
        <v>1</v>
      </c>
    </row>
    <row r="1741" spans="2:5" x14ac:dyDescent="0.25">
      <c r="B1741" s="12" t="str">
        <f ca="1">IFERROR(__xludf.DUMMYFUNCTION("""COMPUTED_VALUE"""),"Larry Blamire")</f>
        <v>Larry Blamire</v>
      </c>
      <c r="C1741" s="12">
        <v>7</v>
      </c>
      <c r="D1741" s="12">
        <v>0.72299999999999998</v>
      </c>
      <c r="E1741" s="12">
        <v>1</v>
      </c>
    </row>
    <row r="1742" spans="2:5" x14ac:dyDescent="0.25">
      <c r="B1742" s="11" t="str">
        <f ca="1">IFERROR(__xludf.DUMMYFUNCTION("""COMPUTED_VALUE"""),"E.L. Katz")</f>
        <v>E.L. Katz</v>
      </c>
      <c r="C1742" s="11">
        <v>6.8</v>
      </c>
      <c r="D1742" s="11">
        <v>0.63800000000000001</v>
      </c>
      <c r="E1742" s="11">
        <v>1</v>
      </c>
    </row>
    <row r="1743" spans="2:5" x14ac:dyDescent="0.25">
      <c r="B1743" s="12" t="str">
        <f ca="1">IFERROR(__xludf.DUMMYFUNCTION("""COMPUTED_VALUE"""),"Myles Berkowitz")</f>
        <v>Myles Berkowitz</v>
      </c>
      <c r="C1743" s="12">
        <v>5.3</v>
      </c>
      <c r="D1743" s="12">
        <v>0.13</v>
      </c>
      <c r="E1743" s="12">
        <v>1</v>
      </c>
    </row>
    <row r="1744" spans="2:5" x14ac:dyDescent="0.25">
      <c r="B1744" s="11" t="str">
        <f ca="1">IFERROR(__xludf.DUMMYFUNCTION("""COMPUTED_VALUE"""),"Brandon Trost")</f>
        <v>Brandon Trost</v>
      </c>
      <c r="C1744" s="11">
        <v>5.6</v>
      </c>
      <c r="D1744" s="11">
        <v>0.19700000000000001</v>
      </c>
      <c r="E1744" s="11">
        <v>1</v>
      </c>
    </row>
    <row r="1745" spans="2:5" x14ac:dyDescent="0.25">
      <c r="B1745" s="12" t="str">
        <f ca="1">IFERROR(__xludf.DUMMYFUNCTION("""COMPUTED_VALUE"""),"Joe Swanberg")</f>
        <v>Joe Swanberg</v>
      </c>
      <c r="C1745" s="12">
        <v>5.6</v>
      </c>
      <c r="D1745" s="12">
        <v>0.19700000000000001</v>
      </c>
      <c r="E1745" s="12">
        <v>1</v>
      </c>
    </row>
    <row r="1746" spans="2:5" x14ac:dyDescent="0.25">
      <c r="B1746" s="11" t="str">
        <f ca="1">IFERROR(__xludf.DUMMYFUNCTION("""COMPUTED_VALUE"""),"Lena Dunham")</f>
        <v>Lena Dunham</v>
      </c>
      <c r="C1746" s="11">
        <v>6.3</v>
      </c>
      <c r="D1746" s="11">
        <v>0.42299999999999999</v>
      </c>
      <c r="E1746" s="11">
        <v>1</v>
      </c>
    </row>
    <row r="1747" spans="2:5" x14ac:dyDescent="0.25">
      <c r="B1747" s="12" t="str">
        <f ca="1">IFERROR(__xludf.DUMMYFUNCTION("""COMPUTED_VALUE"""),"Kevin Jordan")</f>
        <v>Kevin Jordan</v>
      </c>
      <c r="C1747" s="12">
        <v>7.6</v>
      </c>
      <c r="D1747" s="12">
        <v>0.91500000000000004</v>
      </c>
      <c r="E1747" s="12">
        <v>1</v>
      </c>
    </row>
    <row r="1748" spans="2:5" x14ac:dyDescent="0.25">
      <c r="B1748" s="11" t="str">
        <f ca="1">IFERROR(__xludf.DUMMYFUNCTION("""COMPUTED_VALUE"""),"Mike Bruce")</f>
        <v>Mike Bruce</v>
      </c>
      <c r="C1748" s="11">
        <v>4.0999999999999996</v>
      </c>
      <c r="D1748" s="11">
        <v>3.5000000000000003E-2</v>
      </c>
      <c r="E1748" s="11">
        <v>1</v>
      </c>
    </row>
    <row r="1749" spans="2:5" x14ac:dyDescent="0.25">
      <c r="B1749" s="12" t="str">
        <f ca="1">IFERROR(__xludf.DUMMYFUNCTION("""COMPUTED_VALUE"""),"James Bidgood")</f>
        <v>James Bidgood</v>
      </c>
      <c r="C1749" s="12">
        <v>6.7</v>
      </c>
      <c r="D1749" s="12">
        <v>0.6</v>
      </c>
      <c r="E1749" s="12">
        <v>1</v>
      </c>
    </row>
    <row r="1750" spans="2:5" x14ac:dyDescent="0.25">
      <c r="B1750" s="11" t="str">
        <f ca="1">IFERROR(__xludf.DUMMYFUNCTION("""COMPUTED_VALUE"""),"Daryl Wein")</f>
        <v>Daryl Wein</v>
      </c>
      <c r="C1750" s="11">
        <v>6.2</v>
      </c>
      <c r="D1750" s="11">
        <v>0.39100000000000001</v>
      </c>
      <c r="E1750" s="11">
        <v>1</v>
      </c>
    </row>
    <row r="1751" spans="2:5" x14ac:dyDescent="0.25">
      <c r="B1751" s="12" t="str">
        <f ca="1">IFERROR(__xludf.DUMMYFUNCTION("""COMPUTED_VALUE"""),"Jafar Panahi")</f>
        <v>Jafar Panahi</v>
      </c>
      <c r="C1751" s="12">
        <v>7.5</v>
      </c>
      <c r="D1751" s="12">
        <v>0.89300000000000002</v>
      </c>
      <c r="E1751" s="12">
        <v>1</v>
      </c>
    </row>
    <row r="1752" spans="2:5" x14ac:dyDescent="0.25">
      <c r="B1752" s="11" t="str">
        <f ca="1">IFERROR(__xludf.DUMMYFUNCTION("""COMPUTED_VALUE"""),"Kiyoshi Kurosawa")</f>
        <v>Kiyoshi Kurosawa</v>
      </c>
      <c r="C1752" s="11">
        <v>7.4</v>
      </c>
      <c r="D1752" s="11">
        <v>0.875</v>
      </c>
      <c r="E1752" s="11">
        <v>1</v>
      </c>
    </row>
    <row r="1753" spans="2:5" x14ac:dyDescent="0.25">
      <c r="B1753" s="12" t="str">
        <f ca="1">IFERROR(__xludf.DUMMYFUNCTION("""COMPUTED_VALUE"""),"Shane Carruth")</f>
        <v>Shane Carruth</v>
      </c>
      <c r="C1753" s="12">
        <v>7</v>
      </c>
      <c r="D1753" s="12">
        <v>0.72299999999999998</v>
      </c>
      <c r="E1753" s="12">
        <v>1</v>
      </c>
    </row>
    <row r="1754" spans="2:5" x14ac:dyDescent="0.25">
      <c r="B1754" s="11" t="str">
        <f ca="1">IFERROR(__xludf.DUMMYFUNCTION("""COMPUTED_VALUE"""),"Neill Dela Llana")</f>
        <v>Neill Dela Llana</v>
      </c>
      <c r="C1754" s="11">
        <v>6.3</v>
      </c>
      <c r="D1754" s="11">
        <v>0.42299999999999999</v>
      </c>
      <c r="E1754" s="11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2AF4-731F-49DB-8194-5B4197576DCD}">
  <dimension ref="B2:H3788"/>
  <sheetViews>
    <sheetView topLeftCell="F2" workbookViewId="0">
      <selection activeCell="E2" sqref="E2"/>
    </sheetView>
  </sheetViews>
  <sheetFormatPr defaultRowHeight="12.5" x14ac:dyDescent="0.25"/>
  <cols>
    <col min="2" max="2" width="43.1796875" customWidth="1"/>
    <col min="3" max="3" width="17.08984375" customWidth="1"/>
    <col min="7" max="7" width="73.453125" customWidth="1"/>
    <col min="8" max="8" width="12.453125" customWidth="1"/>
  </cols>
  <sheetData>
    <row r="2" spans="2:8" ht="19" x14ac:dyDescent="0.4">
      <c r="B2" s="14" t="s">
        <v>147</v>
      </c>
    </row>
    <row r="3" spans="2:8" ht="13" x14ac:dyDescent="0.3">
      <c r="G3" s="5" t="s">
        <v>154</v>
      </c>
      <c r="H3" s="5" t="s">
        <v>9</v>
      </c>
    </row>
    <row r="4" spans="2:8" ht="14.5" x14ac:dyDescent="0.35">
      <c r="B4" s="6" t="s">
        <v>158</v>
      </c>
      <c r="C4" s="6" t="s">
        <v>159</v>
      </c>
      <c r="G4" s="2" t="str">
        <f ca="1">IFERROR(__xludf.DUMMYFUNCTION("UNIQUE(E2:E3787)"),"Avatar ")</f>
        <v>Avatar </v>
      </c>
      <c r="H4" s="2">
        <v>523505847</v>
      </c>
    </row>
    <row r="5" spans="2:8" ht="14.5" x14ac:dyDescent="0.35">
      <c r="B5" s="6" t="s">
        <v>164</v>
      </c>
      <c r="C5" s="7">
        <v>523505847</v>
      </c>
      <c r="G5" s="2" t="str">
        <f ca="1">IFERROR(__xludf.DUMMYFUNCTION("""COMPUTED_VALUE"""),"Pirates of the Caribbean: At World's End ")</f>
        <v>Pirates of the Caribbean: At World's End </v>
      </c>
      <c r="H5" s="2">
        <v>9404152</v>
      </c>
    </row>
    <row r="6" spans="2:8" ht="14.5" x14ac:dyDescent="0.35">
      <c r="B6" s="6" t="s">
        <v>168</v>
      </c>
      <c r="C6" s="7">
        <v>502177271</v>
      </c>
      <c r="G6" s="2" t="str">
        <f ca="1">IFERROR(__xludf.DUMMYFUNCTION("""COMPUTED_VALUE"""),"Spectre ")</f>
        <v>Spectre </v>
      </c>
      <c r="H6" s="2">
        <v>-44925825</v>
      </c>
    </row>
    <row r="7" spans="2:8" ht="14.5" x14ac:dyDescent="0.35">
      <c r="B7" s="6" t="s">
        <v>171</v>
      </c>
      <c r="C7" s="7">
        <v>458672302</v>
      </c>
      <c r="G7" s="2" t="str">
        <f ca="1">IFERROR(__xludf.DUMMYFUNCTION("""COMPUTED_VALUE"""),"The Dark Knight Rises ")</f>
        <v>The Dark Knight Rises </v>
      </c>
      <c r="H7" s="2">
        <v>198130642</v>
      </c>
    </row>
    <row r="8" spans="2:8" ht="14.5" x14ac:dyDescent="0.35">
      <c r="B8" s="6" t="s">
        <v>174</v>
      </c>
      <c r="C8" s="7">
        <v>449935665</v>
      </c>
      <c r="G8" s="2" t="str">
        <f ca="1">IFERROR(__xludf.DUMMYFUNCTION("""COMPUTED_VALUE"""),"John Carter ")</f>
        <v>John Carter </v>
      </c>
      <c r="H8" s="2">
        <v>-190641321</v>
      </c>
    </row>
    <row r="9" spans="2:8" ht="14.5" x14ac:dyDescent="0.35">
      <c r="B9" s="6" t="s">
        <v>176</v>
      </c>
      <c r="C9" s="7">
        <v>424449459</v>
      </c>
      <c r="G9" s="2" t="str">
        <f ca="1">IFERROR(__xludf.DUMMYFUNCTION("""COMPUTED_VALUE"""),"Spider-Man 3 ")</f>
        <v>Spider-Man 3 </v>
      </c>
      <c r="H9" s="2">
        <v>78530303</v>
      </c>
    </row>
    <row r="10" spans="2:8" ht="14.5" x14ac:dyDescent="0.35">
      <c r="B10" s="6" t="s">
        <v>179</v>
      </c>
      <c r="C10" s="7">
        <v>377783777</v>
      </c>
      <c r="G10" s="2" t="str">
        <f ca="1">IFERROR(__xludf.DUMMYFUNCTION("""COMPUTED_VALUE"""),"Tangled ")</f>
        <v>Tangled </v>
      </c>
      <c r="H10" s="2">
        <v>-59192738</v>
      </c>
    </row>
    <row r="11" spans="2:8" ht="14.5" x14ac:dyDescent="0.35">
      <c r="B11" s="6" t="s">
        <v>183</v>
      </c>
      <c r="C11" s="7">
        <v>375290282</v>
      </c>
      <c r="G11" s="2" t="str">
        <f ca="1">IFERROR(__xludf.DUMMYFUNCTION("""COMPUTED_VALUE"""),"Avengers: Age of Ultron ")</f>
        <v>Avengers: Age of Ultron </v>
      </c>
      <c r="H11" s="2">
        <v>208991599</v>
      </c>
    </row>
    <row r="12" spans="2:8" ht="14.5" x14ac:dyDescent="0.35">
      <c r="B12" s="6" t="s">
        <v>187</v>
      </c>
      <c r="C12" s="7">
        <v>359544677</v>
      </c>
      <c r="G12" s="2" t="str">
        <f ca="1">IFERROR(__xludf.DUMMYFUNCTION("""COMPUTED_VALUE"""),"Harry Potter and the Half-Blood Prince ")</f>
        <v>Harry Potter and the Half-Blood Prince </v>
      </c>
      <c r="H12" s="2">
        <v>51956980</v>
      </c>
    </row>
    <row r="13" spans="2:8" ht="14.5" x14ac:dyDescent="0.35">
      <c r="B13" s="6" t="s">
        <v>190</v>
      </c>
      <c r="C13" s="7">
        <v>348316061</v>
      </c>
      <c r="G13" s="2" t="str">
        <f ca="1">IFERROR(__xludf.DUMMYFUNCTION("""COMPUTED_VALUE"""),"Batman v Superman: Dawn of Justice ")</f>
        <v>Batman v Superman: Dawn of Justice </v>
      </c>
      <c r="H13" s="2">
        <v>80249062</v>
      </c>
    </row>
    <row r="14" spans="2:8" ht="14.5" x14ac:dyDescent="0.35">
      <c r="B14" s="6" t="s">
        <v>194</v>
      </c>
      <c r="C14" s="7">
        <v>344597846</v>
      </c>
      <c r="G14" s="2" t="str">
        <f ca="1">IFERROR(__xludf.DUMMYFUNCTION("""COMPUTED_VALUE"""),"Superman Returns ")</f>
        <v>Superman Returns </v>
      </c>
      <c r="H14" s="2">
        <v>-8930592</v>
      </c>
    </row>
    <row r="15" spans="2:8" x14ac:dyDescent="0.25">
      <c r="G15" s="2" t="str">
        <f ca="1">IFERROR(__xludf.DUMMYFUNCTION("""COMPUTED_VALUE"""),"Quantum of Solace ")</f>
        <v>Quantum of Solace </v>
      </c>
      <c r="H15" s="2">
        <v>-31631573</v>
      </c>
    </row>
    <row r="16" spans="2:8" x14ac:dyDescent="0.25">
      <c r="G16" s="2" t="str">
        <f ca="1">IFERROR(__xludf.DUMMYFUNCTION("""COMPUTED_VALUE"""),"Pirates of the Caribbean: Dead Man's Chest ")</f>
        <v>Pirates of the Caribbean: Dead Man's Chest </v>
      </c>
      <c r="H16" s="2">
        <v>198032628</v>
      </c>
    </row>
    <row r="17" spans="7:8" x14ac:dyDescent="0.25">
      <c r="G17" s="2" t="str">
        <f ca="1">IFERROR(__xludf.DUMMYFUNCTION("""COMPUTED_VALUE"""),"The Lone Ranger ")</f>
        <v>The Lone Ranger </v>
      </c>
      <c r="H17" s="2">
        <v>-125710090</v>
      </c>
    </row>
    <row r="18" spans="7:8" x14ac:dyDescent="0.25">
      <c r="G18" s="2" t="str">
        <f ca="1">IFERROR(__xludf.DUMMYFUNCTION("""COMPUTED_VALUE"""),"Man of Steel ")</f>
        <v>Man of Steel </v>
      </c>
      <c r="H18" s="2">
        <v>66021565</v>
      </c>
    </row>
    <row r="19" spans="7:8" x14ac:dyDescent="0.25">
      <c r="G19" s="2" t="str">
        <f ca="1">IFERROR(__xludf.DUMMYFUNCTION("""COMPUTED_VALUE"""),"The Chronicles of Narnia: Prince Caspian ")</f>
        <v>The Chronicles of Narnia: Prince Caspian </v>
      </c>
      <c r="H19" s="2">
        <v>-83385977</v>
      </c>
    </row>
    <row r="20" spans="7:8" x14ac:dyDescent="0.25">
      <c r="G20" s="2" t="str">
        <f ca="1">IFERROR(__xludf.DUMMYFUNCTION("""COMPUTED_VALUE"""),"The Avengers ")</f>
        <v>The Avengers </v>
      </c>
      <c r="H20" s="2">
        <v>403279547</v>
      </c>
    </row>
    <row r="21" spans="7:8" x14ac:dyDescent="0.25">
      <c r="G21" s="2" t="str">
        <f ca="1">IFERROR(__xludf.DUMMYFUNCTION("""COMPUTED_VALUE"""),"Pirates of the Caribbean: On Stranger Tides ")</f>
        <v>Pirates of the Caribbean: On Stranger Tides </v>
      </c>
      <c r="H21" s="2">
        <v>-8936125</v>
      </c>
    </row>
    <row r="22" spans="7:8" x14ac:dyDescent="0.25">
      <c r="G22" s="2" t="str">
        <f ca="1">IFERROR(__xludf.DUMMYFUNCTION("""COMPUTED_VALUE"""),"Men in Black 3 ")</f>
        <v>Men in Black 3 </v>
      </c>
      <c r="H22" s="2">
        <v>-45979146</v>
      </c>
    </row>
    <row r="23" spans="7:8" x14ac:dyDescent="0.25">
      <c r="G23" s="2" t="str">
        <f ca="1">IFERROR(__xludf.DUMMYFUNCTION("""COMPUTED_VALUE"""),"The Hobbit: The Battle of the Five Armies ")</f>
        <v>The Hobbit: The Battle of the Five Armies </v>
      </c>
      <c r="H23" s="2">
        <v>5108370</v>
      </c>
    </row>
    <row r="24" spans="7:8" x14ac:dyDescent="0.25">
      <c r="G24" s="2" t="str">
        <f ca="1">IFERROR(__xludf.DUMMYFUNCTION("""COMPUTED_VALUE"""),"The Amazing Spider-Man ")</f>
        <v>The Amazing Spider-Man </v>
      </c>
      <c r="H24" s="2">
        <v>32030663</v>
      </c>
    </row>
    <row r="25" spans="7:8" x14ac:dyDescent="0.25">
      <c r="G25" s="2" t="str">
        <f ca="1">IFERROR(__xludf.DUMMYFUNCTION("""COMPUTED_VALUE"""),"Robin Hood ")</f>
        <v>Robin Hood </v>
      </c>
      <c r="H25" s="2">
        <v>-94780265</v>
      </c>
    </row>
    <row r="26" spans="7:8" x14ac:dyDescent="0.25">
      <c r="G26" s="2" t="str">
        <f ca="1">IFERROR(__xludf.DUMMYFUNCTION("""COMPUTED_VALUE"""),"The Hobbit: The Desolation of Smaug ")</f>
        <v>The Hobbit: The Desolation of Smaug </v>
      </c>
      <c r="H26" s="2">
        <v>33355354</v>
      </c>
    </row>
    <row r="27" spans="7:8" x14ac:dyDescent="0.25">
      <c r="G27" s="2" t="str">
        <f ca="1">IFERROR(__xludf.DUMMYFUNCTION("""COMPUTED_VALUE"""),"The Golden Compass ")</f>
        <v>The Golden Compass </v>
      </c>
      <c r="H27" s="2">
        <v>-109916481</v>
      </c>
    </row>
    <row r="28" spans="7:8" x14ac:dyDescent="0.25">
      <c r="G28" s="2" t="str">
        <f ca="1">IFERROR(__xludf.DUMMYFUNCTION("""COMPUTED_VALUE"""),"King Kong ")</f>
        <v>King Kong </v>
      </c>
      <c r="H28" s="2">
        <v>11051260</v>
      </c>
    </row>
    <row r="29" spans="7:8" x14ac:dyDescent="0.25">
      <c r="G29" s="2" t="str">
        <f ca="1">IFERROR(__xludf.DUMMYFUNCTION("""COMPUTED_VALUE"""),"Titanic ")</f>
        <v>Titanic </v>
      </c>
      <c r="H29" s="2">
        <v>458672302</v>
      </c>
    </row>
    <row r="30" spans="7:8" x14ac:dyDescent="0.25">
      <c r="G30" s="2" t="str">
        <f ca="1">IFERROR(__xludf.DUMMYFUNCTION("""COMPUTED_VALUE"""),"Captain America: Civil War ")</f>
        <v>Captain America: Civil War </v>
      </c>
      <c r="H30" s="2">
        <v>157197282</v>
      </c>
    </row>
    <row r="31" spans="7:8" x14ac:dyDescent="0.25">
      <c r="G31" s="2" t="str">
        <f ca="1">IFERROR(__xludf.DUMMYFUNCTION("""COMPUTED_VALUE"""),"Battleship ")</f>
        <v>Battleship </v>
      </c>
      <c r="H31" s="2">
        <v>-143826840</v>
      </c>
    </row>
    <row r="32" spans="7:8" x14ac:dyDescent="0.25">
      <c r="G32" s="2" t="str">
        <f ca="1">IFERROR(__xludf.DUMMYFUNCTION("""COMPUTED_VALUE"""),"Jurassic World ")</f>
        <v>Jurassic World </v>
      </c>
      <c r="H32" s="2">
        <v>502177271</v>
      </c>
    </row>
    <row r="33" spans="7:8" x14ac:dyDescent="0.25">
      <c r="G33" s="2" t="str">
        <f ca="1">IFERROR(__xludf.DUMMYFUNCTION("""COMPUTED_VALUE"""),"Skyfall ")</f>
        <v>Skyfall </v>
      </c>
      <c r="H33" s="2">
        <v>104360277</v>
      </c>
    </row>
    <row r="34" spans="7:8" x14ac:dyDescent="0.25">
      <c r="G34" s="2" t="str">
        <f ca="1">IFERROR(__xludf.DUMMYFUNCTION("""COMPUTED_VALUE"""),"Spider-Man 2 ")</f>
        <v>Spider-Man 2 </v>
      </c>
      <c r="H34" s="2">
        <v>173377893</v>
      </c>
    </row>
    <row r="35" spans="7:8" x14ac:dyDescent="0.25">
      <c r="G35" s="2" t="str">
        <f ca="1">IFERROR(__xludf.DUMMYFUNCTION("""COMPUTED_VALUE"""),"Iron Man 3 ")</f>
        <v>Iron Man 3 </v>
      </c>
      <c r="H35" s="2">
        <v>208992272</v>
      </c>
    </row>
    <row r="36" spans="7:8" x14ac:dyDescent="0.25">
      <c r="G36" s="2" t="str">
        <f ca="1">IFERROR(__xludf.DUMMYFUNCTION("""COMPUTED_VALUE"""),"Alice in Wonderland ")</f>
        <v>Alice in Wonderland </v>
      </c>
      <c r="H36" s="2">
        <v>134185206</v>
      </c>
    </row>
    <row r="37" spans="7:8" x14ac:dyDescent="0.25">
      <c r="G37" s="2" t="str">
        <f ca="1">IFERROR(__xludf.DUMMYFUNCTION("""COMPUTED_VALUE"""),"X-Men: The Last Stand ")</f>
        <v>X-Men: The Last Stand </v>
      </c>
      <c r="H37" s="2">
        <v>24360014</v>
      </c>
    </row>
    <row r="38" spans="7:8" x14ac:dyDescent="0.25">
      <c r="G38" s="2" t="str">
        <f ca="1">IFERROR(__xludf.DUMMYFUNCTION("""COMPUTED_VALUE"""),"Monsters University ")</f>
        <v>Monsters University </v>
      </c>
      <c r="H38" s="2">
        <v>68488329</v>
      </c>
    </row>
    <row r="39" spans="7:8" x14ac:dyDescent="0.25">
      <c r="G39" s="2" t="str">
        <f ca="1">IFERROR(__xludf.DUMMYFUNCTION("""COMPUTED_VALUE"""),"Transformers: Revenge of the Fallen ")</f>
        <v>Transformers: Revenge of the Fallen </v>
      </c>
      <c r="H39" s="2">
        <v>202076689</v>
      </c>
    </row>
    <row r="40" spans="7:8" x14ac:dyDescent="0.25">
      <c r="G40" s="2" t="str">
        <f ca="1">IFERROR(__xludf.DUMMYFUNCTION("""COMPUTED_VALUE"""),"Transformers: Age of Extinction ")</f>
        <v>Transformers: Age of Extinction </v>
      </c>
      <c r="H40" s="2">
        <v>35428137</v>
      </c>
    </row>
    <row r="41" spans="7:8" x14ac:dyDescent="0.25">
      <c r="G41" s="2" t="str">
        <f ca="1">IFERROR(__xludf.DUMMYFUNCTION("""COMPUTED_VALUE"""),"Oz the Great and Powerful ")</f>
        <v>Oz the Great and Powerful </v>
      </c>
      <c r="H41" s="2">
        <v>19903076</v>
      </c>
    </row>
    <row r="42" spans="7:8" x14ac:dyDescent="0.25">
      <c r="G42" s="2" t="str">
        <f ca="1">IFERROR(__xludf.DUMMYFUNCTION("""COMPUTED_VALUE"""),"The Amazing Spider-Man 2 ")</f>
        <v>The Amazing Spider-Man 2 </v>
      </c>
      <c r="H42" s="2">
        <v>2853933</v>
      </c>
    </row>
    <row r="43" spans="7:8" x14ac:dyDescent="0.25">
      <c r="G43" s="2" t="str">
        <f ca="1">IFERROR(__xludf.DUMMYFUNCTION("""COMPUTED_VALUE"""),"TRON: Legacy ")</f>
        <v>TRON: Legacy </v>
      </c>
      <c r="H43" s="2">
        <v>2051787</v>
      </c>
    </row>
    <row r="44" spans="7:8" x14ac:dyDescent="0.25">
      <c r="G44" s="2" t="str">
        <f ca="1">IFERROR(__xludf.DUMMYFUNCTION("""COMPUTED_VALUE"""),"Cars 2 ")</f>
        <v>Cars 2 </v>
      </c>
      <c r="H44" s="2">
        <v>-8549125</v>
      </c>
    </row>
    <row r="45" spans="7:8" x14ac:dyDescent="0.25">
      <c r="G45" s="2" t="str">
        <f ca="1">IFERROR(__xludf.DUMMYFUNCTION("""COMPUTED_VALUE"""),"Green Lantern ")</f>
        <v>Green Lantern </v>
      </c>
      <c r="H45" s="2">
        <v>-83406809</v>
      </c>
    </row>
    <row r="46" spans="7:8" x14ac:dyDescent="0.25">
      <c r="G46" s="2" t="str">
        <f ca="1">IFERROR(__xludf.DUMMYFUNCTION("""COMPUTED_VALUE"""),"Toy Story 3 ")</f>
        <v>Toy Story 3 </v>
      </c>
      <c r="H46" s="2">
        <v>214984497</v>
      </c>
    </row>
    <row r="47" spans="7:8" x14ac:dyDescent="0.25">
      <c r="G47" s="2" t="str">
        <f ca="1">IFERROR(__xludf.DUMMYFUNCTION("""COMPUTED_VALUE"""),"Terminator Salvation ")</f>
        <v>Terminator Salvation </v>
      </c>
      <c r="H47" s="2">
        <v>-74679997</v>
      </c>
    </row>
    <row r="48" spans="7:8" x14ac:dyDescent="0.25">
      <c r="G48" s="2" t="str">
        <f ca="1">IFERROR(__xludf.DUMMYFUNCTION("""COMPUTED_VALUE"""),"Furious 7 ")</f>
        <v>Furious 7 </v>
      </c>
      <c r="H48" s="2">
        <v>160034110</v>
      </c>
    </row>
    <row r="49" spans="7:8" ht="15.5" x14ac:dyDescent="0.35">
      <c r="G49" s="8" t="str">
        <f ca="1">IFERROR(__xludf.DUMMYFUNCTION("""COMPUTED_VALUE"""),"World War Z ")</f>
        <v>World War Z </v>
      </c>
      <c r="H49" s="2">
        <v>12351611</v>
      </c>
    </row>
    <row r="50" spans="7:8" x14ac:dyDescent="0.25">
      <c r="G50" s="2" t="str">
        <f ca="1">IFERROR(__xludf.DUMMYFUNCTION("""COMPUTED_VALUE"""),"X-Men: Days of Future Past ")</f>
        <v>X-Men: Days of Future Past </v>
      </c>
      <c r="H50" s="2">
        <v>33914986</v>
      </c>
    </row>
    <row r="51" spans="7:8" x14ac:dyDescent="0.25">
      <c r="G51" s="2" t="str">
        <f ca="1">IFERROR(__xludf.DUMMYFUNCTION("""COMPUTED_VALUE"""),"Star Trek Into Darkness ")</f>
        <v>Star Trek Into Darkness </v>
      </c>
      <c r="H51" s="2">
        <v>38756232</v>
      </c>
    </row>
    <row r="52" spans="7:8" x14ac:dyDescent="0.25">
      <c r="G52" s="2" t="str">
        <f ca="1">IFERROR(__xludf.DUMMYFUNCTION("""COMPUTED_VALUE"""),"Jack the Giant Slayer ")</f>
        <v>Jack the Giant Slayer </v>
      </c>
      <c r="H52" s="2">
        <v>-129828140</v>
      </c>
    </row>
    <row r="53" spans="7:8" x14ac:dyDescent="0.25">
      <c r="G53" s="2" t="str">
        <f ca="1">IFERROR(__xludf.DUMMYFUNCTION("""COMPUTED_VALUE"""),"The Great Gatsby ")</f>
        <v>The Great Gatsby </v>
      </c>
      <c r="H53" s="2">
        <v>39812796</v>
      </c>
    </row>
    <row r="54" spans="7:8" x14ac:dyDescent="0.25">
      <c r="G54" s="2" t="str">
        <f ca="1">IFERROR(__xludf.DUMMYFUNCTION("""COMPUTED_VALUE"""),"Prince of Persia: The Sands of Time ")</f>
        <v>Prince of Persia: The Sands of Time </v>
      </c>
      <c r="H54" s="2">
        <v>-109244357</v>
      </c>
    </row>
    <row r="55" spans="7:8" x14ac:dyDescent="0.25">
      <c r="G55" s="2" t="str">
        <f ca="1">IFERROR(__xludf.DUMMYFUNCTION("""COMPUTED_VALUE"""),"Pacific Rim ")</f>
        <v>Pacific Rim </v>
      </c>
      <c r="H55" s="2">
        <v>-88214518</v>
      </c>
    </row>
    <row r="56" spans="7:8" x14ac:dyDescent="0.25">
      <c r="G56" s="2" t="str">
        <f ca="1">IFERROR(__xludf.DUMMYFUNCTION("""COMPUTED_VALUE"""),"Transformers: Dark of the Moon ")</f>
        <v>Transformers: Dark of the Moon </v>
      </c>
      <c r="H56" s="2">
        <v>157358779</v>
      </c>
    </row>
    <row r="57" spans="7:8" x14ac:dyDescent="0.25">
      <c r="G57" s="2" t="str">
        <f ca="1">IFERROR(__xludf.DUMMYFUNCTION("""COMPUTED_VALUE"""),"Indiana Jones and the Kingdom of the Crystal Skull ")</f>
        <v>Indiana Jones and the Kingdom of the Crystal Skull </v>
      </c>
      <c r="H57" s="2">
        <v>132011114</v>
      </c>
    </row>
    <row r="58" spans="7:8" x14ac:dyDescent="0.25">
      <c r="G58" s="2" t="str">
        <f ca="1">IFERROR(__xludf.DUMMYFUNCTION("""COMPUTED_VALUE"""),"Brave ")</f>
        <v>Brave </v>
      </c>
      <c r="H58" s="2">
        <v>52282182</v>
      </c>
    </row>
    <row r="59" spans="7:8" x14ac:dyDescent="0.25">
      <c r="G59" s="2" t="str">
        <f ca="1">IFERROR(__xludf.DUMMYFUNCTION("""COMPUTED_VALUE"""),"Star Trek Beyond ")</f>
        <v>Star Trek Beyond </v>
      </c>
      <c r="H59" s="2">
        <v>-54531374</v>
      </c>
    </row>
    <row r="60" spans="7:8" x14ac:dyDescent="0.25">
      <c r="G60" s="2" t="str">
        <f ca="1">IFERROR(__xludf.DUMMYFUNCTION("""COMPUTED_VALUE"""),"WALL·E ")</f>
        <v>WALL·E </v>
      </c>
      <c r="H60" s="2">
        <v>43806889</v>
      </c>
    </row>
    <row r="61" spans="7:8" x14ac:dyDescent="0.25">
      <c r="G61" s="2" t="str">
        <f ca="1">IFERROR(__xludf.DUMMYFUNCTION("""COMPUTED_VALUE"""),"Rush Hour 3 ")</f>
        <v>Rush Hour 3 </v>
      </c>
      <c r="H61" s="2">
        <v>80850</v>
      </c>
    </row>
    <row r="62" spans="7:8" x14ac:dyDescent="0.25">
      <c r="G62" s="2" t="str">
        <f ca="1">IFERROR(__xludf.DUMMYFUNCTION("""COMPUTED_VALUE"""),"2012 ")</f>
        <v>2012 </v>
      </c>
      <c r="H62" s="2">
        <v>-33887833</v>
      </c>
    </row>
    <row r="63" spans="7:8" x14ac:dyDescent="0.25">
      <c r="G63" s="2" t="str">
        <f ca="1">IFERROR(__xludf.DUMMYFUNCTION("""COMPUTED_VALUE"""),"A Christmas Carol ")</f>
        <v>A Christmas Carol </v>
      </c>
      <c r="H63" s="2">
        <v>-62149904</v>
      </c>
    </row>
    <row r="64" spans="7:8" x14ac:dyDescent="0.25">
      <c r="G64" s="2" t="str">
        <f ca="1">IFERROR(__xludf.DUMMYFUNCTION("""COMPUTED_VALUE"""),"Jupiter Ascending ")</f>
        <v>Jupiter Ascending </v>
      </c>
      <c r="H64" s="2">
        <v>-128624673</v>
      </c>
    </row>
    <row r="65" spans="7:8" x14ac:dyDescent="0.25">
      <c r="G65" s="2" t="str">
        <f ca="1">IFERROR(__xludf.DUMMYFUNCTION("""COMPUTED_VALUE"""),"The Legend of Tarzan ")</f>
        <v>The Legend of Tarzan </v>
      </c>
      <c r="H65" s="2">
        <v>-55948241</v>
      </c>
    </row>
    <row r="66" spans="7:8" x14ac:dyDescent="0.25">
      <c r="G66" s="2" t="str">
        <f ca="1">IFERROR(__xludf.DUMMYFUNCTION("""COMPUTED_VALUE"""),"The Chronicles of Narnia: The Lion, the Witch and the Wardrobe ")</f>
        <v>The Chronicles of Narnia: The Lion, the Witch and the Wardrobe </v>
      </c>
      <c r="H66" s="2">
        <v>111709845</v>
      </c>
    </row>
    <row r="67" spans="7:8" x14ac:dyDescent="0.25">
      <c r="G67" s="2" t="str">
        <f ca="1">IFERROR(__xludf.DUMMYFUNCTION("""COMPUTED_VALUE"""),"X-Men: Apocalypse ")</f>
        <v>X-Men: Apocalypse </v>
      </c>
      <c r="H67" s="2">
        <v>-23014913</v>
      </c>
    </row>
    <row r="68" spans="7:8" x14ac:dyDescent="0.25">
      <c r="G68" s="2" t="str">
        <f ca="1">IFERROR(__xludf.DUMMYFUNCTION("""COMPUTED_VALUE"""),"The Dark Knight ")</f>
        <v>The Dark Knight </v>
      </c>
      <c r="H68" s="2">
        <v>348316061</v>
      </c>
    </row>
    <row r="69" spans="7:8" x14ac:dyDescent="0.25">
      <c r="G69" s="2" t="str">
        <f ca="1">IFERROR(__xludf.DUMMYFUNCTION("""COMPUTED_VALUE"""),"Up ")</f>
        <v>Up </v>
      </c>
      <c r="H69" s="2">
        <v>117979556</v>
      </c>
    </row>
    <row r="70" spans="7:8" x14ac:dyDescent="0.25">
      <c r="G70" s="2" t="str">
        <f ca="1">IFERROR(__xludf.DUMMYFUNCTION("""COMPUTED_VALUE"""),"Monsters vs. Aliens ")</f>
        <v>Monsters vs. Aliens </v>
      </c>
      <c r="H70" s="2">
        <v>23332128</v>
      </c>
    </row>
    <row r="71" spans="7:8" x14ac:dyDescent="0.25">
      <c r="G71" s="2" t="str">
        <f ca="1">IFERROR(__xludf.DUMMYFUNCTION("""COMPUTED_VALUE"""),"Iron Man ")</f>
        <v>Iron Man </v>
      </c>
      <c r="H71" s="2">
        <v>178298180</v>
      </c>
    </row>
    <row r="72" spans="7:8" x14ac:dyDescent="0.25">
      <c r="G72" s="2" t="str">
        <f ca="1">IFERROR(__xludf.DUMMYFUNCTION("""COMPUTED_VALUE"""),"Hugo ")</f>
        <v>Hugo </v>
      </c>
      <c r="H72" s="2">
        <v>-96179906</v>
      </c>
    </row>
    <row r="73" spans="7:8" x14ac:dyDescent="0.25">
      <c r="G73" s="2" t="str">
        <f ca="1">IFERROR(__xludf.DUMMYFUNCTION("""COMPUTED_VALUE"""),"Wild Wild West ")</f>
        <v>Wild Wild West </v>
      </c>
      <c r="H73" s="2">
        <v>-56254592</v>
      </c>
    </row>
    <row r="74" spans="7:8" x14ac:dyDescent="0.25">
      <c r="G74" s="2" t="str">
        <f ca="1">IFERROR(__xludf.DUMMYFUNCTION("""COMPUTED_VALUE"""),"The Mummy: Tomb of the Dragon Emperor ")</f>
        <v>The Mummy: Tomb of the Dragon Emperor </v>
      </c>
      <c r="H74" s="2">
        <v>-42823835</v>
      </c>
    </row>
    <row r="75" spans="7:8" x14ac:dyDescent="0.25">
      <c r="G75" s="2" t="str">
        <f ca="1">IFERROR(__xludf.DUMMYFUNCTION("""COMPUTED_VALUE"""),"Suicide Squad ")</f>
        <v>Suicide Squad </v>
      </c>
      <c r="H75" s="2">
        <v>-13912817</v>
      </c>
    </row>
    <row r="76" spans="7:8" x14ac:dyDescent="0.25">
      <c r="G76" s="2" t="str">
        <f ca="1">IFERROR(__xludf.DUMMYFUNCTION("""COMPUTED_VALUE"""),"Evan Almighty ")</f>
        <v>Evan Almighty </v>
      </c>
      <c r="H76" s="2">
        <v>-74710310</v>
      </c>
    </row>
    <row r="77" spans="7:8" x14ac:dyDescent="0.25">
      <c r="G77" s="2" t="str">
        <f ca="1">IFERROR(__xludf.DUMMYFUNCTION("""COMPUTED_VALUE"""),"Edge of Tomorrow ")</f>
        <v>Edge of Tomorrow </v>
      </c>
      <c r="H77" s="2">
        <v>-77810499</v>
      </c>
    </row>
    <row r="78" spans="7:8" x14ac:dyDescent="0.25">
      <c r="G78" s="2" t="str">
        <f ca="1">IFERROR(__xludf.DUMMYFUNCTION("""COMPUTED_VALUE"""),"Waterworld ")</f>
        <v>Waterworld </v>
      </c>
      <c r="H78" s="2">
        <v>-86753780</v>
      </c>
    </row>
    <row r="79" spans="7:8" x14ac:dyDescent="0.25">
      <c r="G79" s="2" t="str">
        <f ca="1">IFERROR(__xludf.DUMMYFUNCTION("""COMPUTED_VALUE"""),"G.I. Joe: The Rise of Cobra ")</f>
        <v>G.I. Joe: The Rise of Cobra </v>
      </c>
      <c r="H79" s="2">
        <v>-24832370</v>
      </c>
    </row>
    <row r="80" spans="7:8" x14ac:dyDescent="0.25">
      <c r="G80" s="2" t="str">
        <f ca="1">IFERROR(__xludf.DUMMYFUNCTION("""COMPUTED_VALUE"""),"Inside Out ")</f>
        <v>Inside Out </v>
      </c>
      <c r="H80" s="2">
        <v>181454367</v>
      </c>
    </row>
    <row r="81" spans="7:8" x14ac:dyDescent="0.25">
      <c r="G81" s="2" t="str">
        <f ca="1">IFERROR(__xludf.DUMMYFUNCTION("""COMPUTED_VALUE"""),"The Jungle Book ")</f>
        <v>The Jungle Book </v>
      </c>
      <c r="H81" s="2">
        <v>187645141</v>
      </c>
    </row>
    <row r="82" spans="7:8" x14ac:dyDescent="0.25">
      <c r="G82" s="2" t="str">
        <f ca="1">IFERROR(__xludf.DUMMYFUNCTION("""COMPUTED_VALUE"""),"Iron Man 2 ")</f>
        <v>Iron Man 2 </v>
      </c>
      <c r="H82" s="2">
        <v>112057433</v>
      </c>
    </row>
    <row r="83" spans="7:8" x14ac:dyDescent="0.25">
      <c r="G83" s="2" t="str">
        <f ca="1">IFERROR(__xludf.DUMMYFUNCTION("""COMPUTED_VALUE"""),"Snow White and the Huntsman ")</f>
        <v>Snow White and the Huntsman </v>
      </c>
      <c r="H83" s="2">
        <v>-14888185</v>
      </c>
    </row>
    <row r="84" spans="7:8" x14ac:dyDescent="0.25">
      <c r="G84" s="2" t="str">
        <f ca="1">IFERROR(__xludf.DUMMYFUNCTION("""COMPUTED_VALUE"""),"Maleficent ")</f>
        <v>Maleficent </v>
      </c>
      <c r="H84" s="2">
        <v>61407328</v>
      </c>
    </row>
    <row r="85" spans="7:8" x14ac:dyDescent="0.25">
      <c r="G85" s="2" t="str">
        <f ca="1">IFERROR(__xludf.DUMMYFUNCTION("""COMPUTED_VALUE"""),"Dawn of the Planet of the Apes ")</f>
        <v>Dawn of the Planet of the Apes </v>
      </c>
      <c r="H85" s="2">
        <v>38543795</v>
      </c>
    </row>
    <row r="86" spans="7:8" x14ac:dyDescent="0.25">
      <c r="G86" s="2" t="str">
        <f ca="1">IFERROR(__xludf.DUMMYFUNCTION("""COMPUTED_VALUE"""),"47 Ronin ")</f>
        <v>47 Ronin </v>
      </c>
      <c r="H86" s="2">
        <v>-136702695</v>
      </c>
    </row>
    <row r="87" spans="7:8" x14ac:dyDescent="0.25">
      <c r="G87" s="2" t="str">
        <f ca="1">IFERROR(__xludf.DUMMYFUNCTION("""COMPUTED_VALUE"""),"Captain America: The Winter Soldier ")</f>
        <v>Captain America: The Winter Soldier </v>
      </c>
      <c r="H87" s="2">
        <v>89746958</v>
      </c>
    </row>
    <row r="88" spans="7:8" x14ac:dyDescent="0.25">
      <c r="G88" s="2" t="str">
        <f ca="1">IFERROR(__xludf.DUMMYFUNCTION("""COMPUTED_VALUE"""),"Shrek Forever After ")</f>
        <v>Shrek Forever After </v>
      </c>
      <c r="H88" s="2">
        <v>73371987</v>
      </c>
    </row>
    <row r="89" spans="7:8" x14ac:dyDescent="0.25">
      <c r="G89" s="2" t="str">
        <f ca="1">IFERROR(__xludf.DUMMYFUNCTION("""COMPUTED_VALUE"""),"Tomorrowland ")</f>
        <v>Tomorrowland </v>
      </c>
      <c r="H89" s="2">
        <v>-96582135</v>
      </c>
    </row>
    <row r="90" spans="7:8" x14ac:dyDescent="0.25">
      <c r="G90" s="2" t="str">
        <f ca="1">IFERROR(__xludf.DUMMYFUNCTION("""COMPUTED_VALUE"""),"Big Hero 6 ")</f>
        <v>Big Hero 6 </v>
      </c>
      <c r="H90" s="2">
        <v>57487711</v>
      </c>
    </row>
    <row r="91" spans="7:8" x14ac:dyDescent="0.25">
      <c r="G91" s="2" t="str">
        <f ca="1">IFERROR(__xludf.DUMMYFUNCTION("""COMPUTED_VALUE"""),"Wreck-It Ralph ")</f>
        <v>Wreck-It Ralph </v>
      </c>
      <c r="H91" s="2">
        <v>24412677</v>
      </c>
    </row>
    <row r="92" spans="7:8" x14ac:dyDescent="0.25">
      <c r="G92" s="2" t="str">
        <f ca="1">IFERROR(__xludf.DUMMYFUNCTION("""COMPUTED_VALUE"""),"The Polar Express ")</f>
        <v>The Polar Express </v>
      </c>
      <c r="H92" s="2">
        <v>-164334574</v>
      </c>
    </row>
    <row r="93" spans="7:8" x14ac:dyDescent="0.25">
      <c r="G93" s="2" t="str">
        <f ca="1">IFERROR(__xludf.DUMMYFUNCTION("""COMPUTED_VALUE"""),"Independence Day: Resurgence ")</f>
        <v>Independence Day: Resurgence </v>
      </c>
      <c r="H93" s="2">
        <v>-62684455</v>
      </c>
    </row>
    <row r="94" spans="7:8" x14ac:dyDescent="0.25">
      <c r="G94" s="2" t="str">
        <f ca="1">IFERROR(__xludf.DUMMYFUNCTION("""COMPUTED_VALUE"""),"How to Train Your Dragon ")</f>
        <v>How to Train Your Dragon </v>
      </c>
      <c r="H94" s="2">
        <v>52387997</v>
      </c>
    </row>
    <row r="95" spans="7:8" x14ac:dyDescent="0.25">
      <c r="G95" s="2" t="str">
        <f ca="1">IFERROR(__xludf.DUMMYFUNCTION("""COMPUTED_VALUE"""),"Terminator 3: Rise of the Machines ")</f>
        <v>Terminator 3: Rise of the Machines </v>
      </c>
      <c r="H95" s="2">
        <v>-49649808</v>
      </c>
    </row>
    <row r="96" spans="7:8" x14ac:dyDescent="0.25">
      <c r="G96" s="2" t="str">
        <f ca="1">IFERROR(__xludf.DUMMYFUNCTION("""COMPUTED_VALUE"""),"Guardians of the Galaxy ")</f>
        <v>Guardians of the Galaxy </v>
      </c>
      <c r="H96" s="2">
        <v>163130696</v>
      </c>
    </row>
    <row r="97" spans="7:8" x14ac:dyDescent="0.25">
      <c r="G97" s="2" t="str">
        <f ca="1">IFERROR(__xludf.DUMMYFUNCTION("""COMPUTED_VALUE"""),"Interstellar ")</f>
        <v>Interstellar </v>
      </c>
      <c r="H97" s="2">
        <v>22991439</v>
      </c>
    </row>
    <row r="98" spans="7:8" x14ac:dyDescent="0.25">
      <c r="G98" s="2" t="str">
        <f ca="1">IFERROR(__xludf.DUMMYFUNCTION("""COMPUTED_VALUE"""),"Inception ")</f>
        <v>Inception </v>
      </c>
      <c r="H98" s="2">
        <v>132568851</v>
      </c>
    </row>
    <row r="99" spans="7:8" x14ac:dyDescent="0.25">
      <c r="G99" s="2" t="str">
        <f ca="1">IFERROR(__xludf.DUMMYFUNCTION("""COMPUTED_VALUE"""),"The Hobbit: An Unexpected Journey ")</f>
        <v>The Hobbit: An Unexpected Journey </v>
      </c>
      <c r="H99" s="2">
        <v>123001229</v>
      </c>
    </row>
    <row r="100" spans="7:8" x14ac:dyDescent="0.25">
      <c r="G100" s="2" t="str">
        <f ca="1">IFERROR(__xludf.DUMMYFUNCTION("""COMPUTED_VALUE"""),"The Fast and the Furious ")</f>
        <v>The Fast and the Furious </v>
      </c>
      <c r="H100" s="2">
        <v>106512310</v>
      </c>
    </row>
    <row r="101" spans="7:8" x14ac:dyDescent="0.25">
      <c r="G101" s="2" t="str">
        <f ca="1">IFERROR(__xludf.DUMMYFUNCTION("""COMPUTED_VALUE"""),"The Curious Case of Benjamin Button ")</f>
        <v>The Curious Case of Benjamin Button </v>
      </c>
      <c r="H101" s="2">
        <v>-22509198</v>
      </c>
    </row>
    <row r="102" spans="7:8" x14ac:dyDescent="0.25">
      <c r="G102" s="2" t="str">
        <f ca="1">IFERROR(__xludf.DUMMYFUNCTION("""COMPUTED_VALUE"""),"X-Men: First Class ")</f>
        <v>X-Men: First Class </v>
      </c>
      <c r="H102" s="2">
        <v>-13594629</v>
      </c>
    </row>
    <row r="103" spans="7:8" x14ac:dyDescent="0.25">
      <c r="G103" s="2" t="str">
        <f ca="1">IFERROR(__xludf.DUMMYFUNCTION("""COMPUTED_VALUE"""),"The Hunger Games: Mockingjay - Part 2 ")</f>
        <v>The Hunger Games: Mockingjay - Part 2 </v>
      </c>
      <c r="H103" s="2">
        <v>121666058</v>
      </c>
    </row>
    <row r="104" spans="7:8" x14ac:dyDescent="0.25">
      <c r="G104" s="2" t="str">
        <f ca="1">IFERROR(__xludf.DUMMYFUNCTION("""COMPUTED_VALUE"""),"The Sorcerer's Apprentice ")</f>
        <v>The Sorcerer's Apprentice </v>
      </c>
      <c r="H104" s="2">
        <v>-86856188</v>
      </c>
    </row>
    <row r="105" spans="7:8" x14ac:dyDescent="0.25">
      <c r="G105" s="2" t="str">
        <f ca="1">IFERROR(__xludf.DUMMYFUNCTION("""COMPUTED_VALUE"""),"Poseidon ")</f>
        <v>Poseidon </v>
      </c>
      <c r="H105" s="2">
        <v>-99344497</v>
      </c>
    </row>
    <row r="106" spans="7:8" x14ac:dyDescent="0.25">
      <c r="G106" s="2" t="str">
        <f ca="1">IFERROR(__xludf.DUMMYFUNCTION("""COMPUTED_VALUE"""),"Alice Through the Looking Glass ")</f>
        <v>Alice Through the Looking Glass </v>
      </c>
      <c r="H106" s="2">
        <v>-93153376</v>
      </c>
    </row>
    <row r="107" spans="7:8" x14ac:dyDescent="0.25">
      <c r="G107" s="2" t="str">
        <f ca="1">IFERROR(__xludf.DUMMYFUNCTION("""COMPUTED_VALUE"""),"Shrek the Third ")</f>
        <v>Shrek the Third </v>
      </c>
      <c r="H107" s="2">
        <v>160706665</v>
      </c>
    </row>
    <row r="108" spans="7:8" x14ac:dyDescent="0.25">
      <c r="G108" s="2" t="str">
        <f ca="1">IFERROR(__xludf.DUMMYFUNCTION("""COMPUTED_VALUE"""),"Warcraft ")</f>
        <v>Warcraft </v>
      </c>
      <c r="H108" s="2">
        <v>-113021005</v>
      </c>
    </row>
    <row r="109" spans="7:8" x14ac:dyDescent="0.25">
      <c r="G109" s="2" t="str">
        <f ca="1">IFERROR(__xludf.DUMMYFUNCTION("""COMPUTED_VALUE"""),"Terminator Genisys ")</f>
        <v>Terminator Genisys </v>
      </c>
      <c r="H109" s="2">
        <v>-65267965</v>
      </c>
    </row>
    <row r="110" spans="7:8" x14ac:dyDescent="0.25">
      <c r="G110" s="2" t="str">
        <f ca="1">IFERROR(__xludf.DUMMYFUNCTION("""COMPUTED_VALUE"""),"The Chronicles of Narnia: The Voyage of the Dawn Treader ")</f>
        <v>The Chronicles of Narnia: The Voyage of the Dawn Treader </v>
      </c>
      <c r="H110" s="2">
        <v>-50616376</v>
      </c>
    </row>
    <row r="111" spans="7:8" x14ac:dyDescent="0.25">
      <c r="G111" s="2" t="str">
        <f ca="1">IFERROR(__xludf.DUMMYFUNCTION("""COMPUTED_VALUE"""),"Pearl Harbor ")</f>
        <v>Pearl Harbor </v>
      </c>
      <c r="H111" s="2">
        <v>58539855</v>
      </c>
    </row>
    <row r="112" spans="7:8" x14ac:dyDescent="0.25">
      <c r="G112" s="2" t="str">
        <f ca="1">IFERROR(__xludf.DUMMYFUNCTION("""COMPUTED_VALUE"""),"Transformers ")</f>
        <v>Transformers </v>
      </c>
      <c r="H112" s="2">
        <v>168759914</v>
      </c>
    </row>
    <row r="113" spans="7:8" x14ac:dyDescent="0.25">
      <c r="G113" s="2" t="str">
        <f ca="1">IFERROR(__xludf.DUMMYFUNCTION("""COMPUTED_VALUE"""),"Alexander ")</f>
        <v>Alexander </v>
      </c>
      <c r="H113" s="2">
        <v>-120706229</v>
      </c>
    </row>
    <row r="114" spans="7:8" x14ac:dyDescent="0.25">
      <c r="G114" s="2" t="str">
        <f ca="1">IFERROR(__xludf.DUMMYFUNCTION("""COMPUTED_VALUE"""),"Harry Potter and the Order of the Phoenix ")</f>
        <v>Harry Potter and the Order of the Phoenix </v>
      </c>
      <c r="H114" s="2">
        <v>142000866</v>
      </c>
    </row>
    <row r="115" spans="7:8" x14ac:dyDescent="0.25">
      <c r="G115" s="2" t="str">
        <f ca="1">IFERROR(__xludf.DUMMYFUNCTION("""COMPUTED_VALUE"""),"Harry Potter and the Goblet of Fire ")</f>
        <v>Harry Potter and the Goblet of Fire </v>
      </c>
      <c r="H115" s="2">
        <v>139994397</v>
      </c>
    </row>
    <row r="116" spans="7:8" x14ac:dyDescent="0.25">
      <c r="G116" s="2" t="str">
        <f ca="1">IFERROR(__xludf.DUMMYFUNCTION("""COMPUTED_VALUE"""),"Hancock ")</f>
        <v>Hancock </v>
      </c>
      <c r="H116" s="2">
        <v>77946274</v>
      </c>
    </row>
    <row r="117" spans="7:8" x14ac:dyDescent="0.25">
      <c r="G117" s="2" t="str">
        <f ca="1">IFERROR(__xludf.DUMMYFUNCTION("""COMPUTED_VALUE"""),"I Am Legend ")</f>
        <v>I Am Legend </v>
      </c>
      <c r="H117" s="2">
        <v>106386216</v>
      </c>
    </row>
    <row r="118" spans="7:8" x14ac:dyDescent="0.25">
      <c r="G118" s="2" t="str">
        <f ca="1">IFERROR(__xludf.DUMMYFUNCTION("""COMPUTED_VALUE"""),"Charlie and the Chocolate Factory ")</f>
        <v>Charlie and the Chocolate Factory </v>
      </c>
      <c r="H118" s="2">
        <v>56456431</v>
      </c>
    </row>
    <row r="119" spans="7:8" x14ac:dyDescent="0.25">
      <c r="G119" s="2" t="str">
        <f ca="1">IFERROR(__xludf.DUMMYFUNCTION("""COMPUTED_VALUE"""),"Ratatouille ")</f>
        <v>Ratatouille </v>
      </c>
      <c r="H119" s="2">
        <v>56435493</v>
      </c>
    </row>
    <row r="120" spans="7:8" x14ac:dyDescent="0.25">
      <c r="G120" s="2" t="str">
        <f ca="1">IFERROR(__xludf.DUMMYFUNCTION("""COMPUTED_VALUE"""),"Batman Begins ")</f>
        <v>Batman Begins </v>
      </c>
      <c r="H120" s="2">
        <v>55343774</v>
      </c>
    </row>
    <row r="121" spans="7:8" x14ac:dyDescent="0.25">
      <c r="G121" s="2" t="str">
        <f ca="1">IFERROR(__xludf.DUMMYFUNCTION("""COMPUTED_VALUE"""),"Madagascar: Escape 2 Africa ")</f>
        <v>Madagascar: Escape 2 Africa </v>
      </c>
      <c r="H121" s="2">
        <v>29982968</v>
      </c>
    </row>
    <row r="122" spans="7:8" x14ac:dyDescent="0.25">
      <c r="G122" s="2" t="str">
        <f ca="1">IFERROR(__xludf.DUMMYFUNCTION("""COMPUTED_VALUE"""),"Night at the Museum: Battle of the Smithsonian ")</f>
        <v>Night at the Museum: Battle of the Smithsonian </v>
      </c>
      <c r="H122" s="2">
        <v>27243721</v>
      </c>
    </row>
    <row r="123" spans="7:8" x14ac:dyDescent="0.25">
      <c r="G123" s="2" t="str">
        <f ca="1">IFERROR(__xludf.DUMMYFUNCTION("""COMPUTED_VALUE"""),"X-Men Origins: Wolverine ")</f>
        <v>X-Men Origins: Wolverine </v>
      </c>
      <c r="H123" s="2">
        <v>29883016</v>
      </c>
    </row>
    <row r="124" spans="7:8" x14ac:dyDescent="0.25">
      <c r="G124" s="2" t="str">
        <f ca="1">IFERROR(__xludf.DUMMYFUNCTION("""COMPUTED_VALUE"""),"The Matrix Revolutions ")</f>
        <v>The Matrix Revolutions </v>
      </c>
      <c r="H124" s="2">
        <v>-10740241</v>
      </c>
    </row>
    <row r="125" spans="7:8" x14ac:dyDescent="0.25">
      <c r="G125" s="2" t="str">
        <f ca="1">IFERROR(__xludf.DUMMYFUNCTION("""COMPUTED_VALUE"""),"Frozen ")</f>
        <v>Frozen </v>
      </c>
      <c r="H125" s="2">
        <v>250736600</v>
      </c>
    </row>
    <row r="126" spans="7:8" x14ac:dyDescent="0.25">
      <c r="G126" s="2" t="str">
        <f ca="1">IFERROR(__xludf.DUMMYFUNCTION("""COMPUTED_VALUE"""),"The Matrix Reloaded ")</f>
        <v>The Matrix Reloaded </v>
      </c>
      <c r="H126" s="2">
        <v>131492479</v>
      </c>
    </row>
    <row r="127" spans="7:8" x14ac:dyDescent="0.25">
      <c r="G127" s="2" t="str">
        <f ca="1">IFERROR(__xludf.DUMMYFUNCTION("""COMPUTED_VALUE"""),"Thor: The Dark World ")</f>
        <v>Thor: The Dark World </v>
      </c>
      <c r="H127" s="2">
        <v>36360018</v>
      </c>
    </row>
    <row r="128" spans="7:8" x14ac:dyDescent="0.25">
      <c r="G128" s="2" t="str">
        <f ca="1">IFERROR(__xludf.DUMMYFUNCTION("""COMPUTED_VALUE"""),"Mad Max: Fury Road ")</f>
        <v>Mad Max: Fury Road </v>
      </c>
      <c r="H128" s="2">
        <v>3629485</v>
      </c>
    </row>
    <row r="129" spans="7:8" x14ac:dyDescent="0.25">
      <c r="G129" s="2" t="str">
        <f ca="1">IFERROR(__xludf.DUMMYFUNCTION("""COMPUTED_VALUE"""),"Angels &amp; Demons ")</f>
        <v>Angels &amp; Demons </v>
      </c>
      <c r="H129" s="2">
        <v>-16624154</v>
      </c>
    </row>
    <row r="130" spans="7:8" x14ac:dyDescent="0.25">
      <c r="G130" s="2" t="str">
        <f ca="1">IFERROR(__xludf.DUMMYFUNCTION("""COMPUTED_VALUE"""),"Thor ")</f>
        <v>Thor </v>
      </c>
      <c r="H130" s="2">
        <v>31015141</v>
      </c>
    </row>
    <row r="131" spans="7:8" x14ac:dyDescent="0.25">
      <c r="G131" s="2" t="str">
        <f ca="1">IFERROR(__xludf.DUMMYFUNCTION("""COMPUTED_VALUE"""),"Bolt ")</f>
        <v>Bolt </v>
      </c>
      <c r="H131" s="2">
        <v>-35946421</v>
      </c>
    </row>
    <row r="132" spans="7:8" x14ac:dyDescent="0.25">
      <c r="G132" s="2" t="str">
        <f ca="1">IFERROR(__xludf.DUMMYFUNCTION("""COMPUTED_VALUE"""),"G-Force ")</f>
        <v>G-Force </v>
      </c>
      <c r="H132" s="2">
        <v>-30579748</v>
      </c>
    </row>
    <row r="133" spans="7:8" x14ac:dyDescent="0.25">
      <c r="G133" s="2" t="str">
        <f ca="1">IFERROR(__xludf.DUMMYFUNCTION("""COMPUTED_VALUE"""),"Wrath of the Titans ")</f>
        <v>Wrath of the Titans </v>
      </c>
      <c r="H133" s="2">
        <v>-66359574</v>
      </c>
    </row>
    <row r="134" spans="7:8" x14ac:dyDescent="0.25">
      <c r="G134" s="2" t="str">
        <f ca="1">IFERROR(__xludf.DUMMYFUNCTION("""COMPUTED_VALUE"""),"Dark Shadows ")</f>
        <v>Dark Shadows </v>
      </c>
      <c r="H134" s="2">
        <v>-20288322</v>
      </c>
    </row>
    <row r="135" spans="7:8" x14ac:dyDescent="0.25">
      <c r="G135" s="2" t="str">
        <f ca="1">IFERROR(__xludf.DUMMYFUNCTION("""COMPUTED_VALUE"""),"Mission: Impossible - Rogue Nation ")</f>
        <v>Mission: Impossible - Rogue Nation </v>
      </c>
      <c r="H135" s="2">
        <v>45000874</v>
      </c>
    </row>
    <row r="136" spans="7:8" x14ac:dyDescent="0.25">
      <c r="G136" s="2" t="str">
        <f ca="1">IFERROR(__xludf.DUMMYFUNCTION("""COMPUTED_VALUE"""),"The Wolfman ")</f>
        <v>The Wolfman </v>
      </c>
      <c r="H136" s="2">
        <v>-88062505</v>
      </c>
    </row>
    <row r="137" spans="7:8" x14ac:dyDescent="0.25">
      <c r="G137" s="2" t="str">
        <f ca="1">IFERROR(__xludf.DUMMYFUNCTION("""COMPUTED_VALUE"""),"Bee Movie ")</f>
        <v>Bee Movie </v>
      </c>
      <c r="H137" s="2">
        <v>-23402879</v>
      </c>
    </row>
    <row r="138" spans="7:8" x14ac:dyDescent="0.25">
      <c r="G138" s="2" t="str">
        <f ca="1">IFERROR(__xludf.DUMMYFUNCTION("""COMPUTED_VALUE"""),"Kung Fu Panda 2 ")</f>
        <v>Kung Fu Panda 2 </v>
      </c>
      <c r="H138" s="2">
        <v>15230261</v>
      </c>
    </row>
    <row r="139" spans="7:8" x14ac:dyDescent="0.25">
      <c r="G139" s="2" t="str">
        <f ca="1">IFERROR(__xludf.DUMMYFUNCTION("""COMPUTED_VALUE"""),"The Last Airbender ")</f>
        <v>The Last Airbender </v>
      </c>
      <c r="H139" s="2">
        <v>-18435269</v>
      </c>
    </row>
    <row r="140" spans="7:8" x14ac:dyDescent="0.25">
      <c r="G140" s="2" t="str">
        <f ca="1">IFERROR(__xludf.DUMMYFUNCTION("""COMPUTED_VALUE"""),"Mission: Impossible III ")</f>
        <v>Mission: Impossible III </v>
      </c>
      <c r="H140" s="2">
        <v>-16617691</v>
      </c>
    </row>
    <row r="141" spans="7:8" x14ac:dyDescent="0.25">
      <c r="G141" s="2" t="str">
        <f ca="1">IFERROR(__xludf.DUMMYFUNCTION("""COMPUTED_VALUE"""),"White House Down ")</f>
        <v>White House Down </v>
      </c>
      <c r="H141" s="2">
        <v>-76896216</v>
      </c>
    </row>
    <row r="142" spans="7:8" x14ac:dyDescent="0.25">
      <c r="G142" s="2" t="str">
        <f ca="1">IFERROR(__xludf.DUMMYFUNCTION("""COMPUTED_VALUE"""),"Mars Needs Moms ")</f>
        <v>Mars Needs Moms </v>
      </c>
      <c r="H142" s="2">
        <v>-128620685</v>
      </c>
    </row>
    <row r="143" spans="7:8" x14ac:dyDescent="0.25">
      <c r="G143" s="2" t="str">
        <f ca="1">IFERROR(__xludf.DUMMYFUNCTION("""COMPUTED_VALUE"""),"Flushed Away ")</f>
        <v>Flushed Away </v>
      </c>
      <c r="H143" s="2">
        <v>-84540684</v>
      </c>
    </row>
    <row r="144" spans="7:8" x14ac:dyDescent="0.25">
      <c r="G144" s="2" t="str">
        <f ca="1">IFERROR(__xludf.DUMMYFUNCTION("""COMPUTED_VALUE"""),"Pan ")</f>
        <v>Pan </v>
      </c>
      <c r="H144" s="2">
        <v>-115035182</v>
      </c>
    </row>
    <row r="145" spans="7:8" x14ac:dyDescent="0.25">
      <c r="G145" s="2" t="str">
        <f ca="1">IFERROR(__xludf.DUMMYFUNCTION("""COMPUTED_VALUE"""),"Mr. Peabody &amp; Sherman ")</f>
        <v>Mr. Peabody &amp; Sherman </v>
      </c>
      <c r="H145" s="2">
        <v>-33494358</v>
      </c>
    </row>
    <row r="146" spans="7:8" x14ac:dyDescent="0.25">
      <c r="G146" s="2" t="str">
        <f ca="1">IFERROR(__xludf.DUMMYFUNCTION("""COMPUTED_VALUE"""),"Troy ")</f>
        <v>Troy </v>
      </c>
      <c r="H146" s="2">
        <v>-41771652</v>
      </c>
    </row>
    <row r="147" spans="7:8" x14ac:dyDescent="0.25">
      <c r="G147" s="2" t="str">
        <f ca="1">IFERROR(__xludf.DUMMYFUNCTION("""COMPUTED_VALUE"""),"Madagascar 3: Europe's Most Wanted ")</f>
        <v>Madagascar 3: Europe's Most Wanted </v>
      </c>
      <c r="H147" s="2">
        <v>71366733</v>
      </c>
    </row>
    <row r="148" spans="7:8" x14ac:dyDescent="0.25">
      <c r="G148" s="2" t="str">
        <f ca="1">IFERROR(__xludf.DUMMYFUNCTION("""COMPUTED_VALUE"""),"Die Another Day ")</f>
        <v>Die Another Day </v>
      </c>
      <c r="H148" s="2">
        <v>18201106</v>
      </c>
    </row>
    <row r="149" spans="7:8" x14ac:dyDescent="0.25">
      <c r="G149" s="2" t="str">
        <f ca="1">IFERROR(__xludf.DUMMYFUNCTION("""COMPUTED_VALUE"""),"Ghostbusters ")</f>
        <v>Ghostbusters </v>
      </c>
      <c r="H149" s="2">
        <v>-25900341</v>
      </c>
    </row>
    <row r="150" spans="7:8" x14ac:dyDescent="0.25">
      <c r="G150" s="2" t="str">
        <f ca="1">IFERROR(__xludf.DUMMYFUNCTION("""COMPUTED_VALUE"""),"Armageddon ")</f>
        <v>Armageddon </v>
      </c>
      <c r="H150" s="2">
        <v>61573391</v>
      </c>
    </row>
    <row r="151" spans="7:8" x14ac:dyDescent="0.25">
      <c r="G151" s="2" t="str">
        <f ca="1">IFERROR(__xludf.DUMMYFUNCTION("""COMPUTED_VALUE"""),"Men in Black II ")</f>
        <v>Men in Black II </v>
      </c>
      <c r="H151" s="2">
        <v>50418803</v>
      </c>
    </row>
    <row r="152" spans="7:8" x14ac:dyDescent="0.25">
      <c r="G152" s="2" t="str">
        <f ca="1">IFERROR(__xludf.DUMMYFUNCTION("""COMPUTED_VALUE"""),"Beowulf ")</f>
        <v>Beowulf </v>
      </c>
      <c r="H152" s="2">
        <v>-67838031</v>
      </c>
    </row>
    <row r="153" spans="7:8" x14ac:dyDescent="0.25">
      <c r="G153" s="2" t="str">
        <f ca="1">IFERROR(__xludf.DUMMYFUNCTION("""COMPUTED_VALUE"""),"Kung Fu Panda 3 ")</f>
        <v>Kung Fu Panda 3 </v>
      </c>
      <c r="H153" s="2">
        <v>-1476537</v>
      </c>
    </row>
    <row r="154" spans="7:8" x14ac:dyDescent="0.25">
      <c r="G154" s="2" t="str">
        <f ca="1">IFERROR(__xludf.DUMMYFUNCTION("""COMPUTED_VALUE"""),"Mission: Impossible - Ghost Protocol ")</f>
        <v>Mission: Impossible - Ghost Protocol </v>
      </c>
      <c r="H154" s="2">
        <v>64364921</v>
      </c>
    </row>
    <row r="155" spans="7:8" x14ac:dyDescent="0.25">
      <c r="G155" s="2" t="str">
        <f ca="1">IFERROR(__xludf.DUMMYFUNCTION("""COMPUTED_VALUE"""),"Rise of the Guardians ")</f>
        <v>Rise of the Guardians </v>
      </c>
      <c r="H155" s="2">
        <v>-41599308</v>
      </c>
    </row>
    <row r="156" spans="7:8" x14ac:dyDescent="0.25">
      <c r="G156" s="2" t="str">
        <f ca="1">IFERROR(__xludf.DUMMYFUNCTION("""COMPUTED_VALUE"""),"Fun with Dick and Jane ")</f>
        <v>Fun with Dick and Jane </v>
      </c>
      <c r="H156" s="2">
        <v>10332737</v>
      </c>
    </row>
    <row r="157" spans="7:8" x14ac:dyDescent="0.25">
      <c r="G157" s="2" t="str">
        <f ca="1">IFERROR(__xludf.DUMMYFUNCTION("""COMPUTED_VALUE"""),"The Last Samurai ")</f>
        <v>The Last Samurai </v>
      </c>
      <c r="H157" s="2">
        <v>-28889425</v>
      </c>
    </row>
    <row r="158" spans="7:8" x14ac:dyDescent="0.25">
      <c r="G158" s="2" t="str">
        <f ca="1">IFERROR(__xludf.DUMMYFUNCTION("""COMPUTED_VALUE"""),"Exodus: Gods and Kings ")</f>
        <v>Exodus: Gods and Kings </v>
      </c>
      <c r="H158" s="2">
        <v>-74992955</v>
      </c>
    </row>
    <row r="159" spans="7:8" x14ac:dyDescent="0.25">
      <c r="G159" s="2" t="str">
        <f ca="1">IFERROR(__xludf.DUMMYFUNCTION("""COMPUTED_VALUE"""),"Star Trek ")</f>
        <v>Star Trek </v>
      </c>
      <c r="H159" s="2">
        <v>107704099</v>
      </c>
    </row>
    <row r="160" spans="7:8" x14ac:dyDescent="0.25">
      <c r="G160" s="2" t="str">
        <f ca="1">IFERROR(__xludf.DUMMYFUNCTION("""COMPUTED_VALUE"""),"Spider-Man ")</f>
        <v>Spider-Man </v>
      </c>
      <c r="H160" s="2">
        <v>264706375</v>
      </c>
    </row>
    <row r="161" spans="7:8" x14ac:dyDescent="0.25">
      <c r="G161" s="2" t="str">
        <f ca="1">IFERROR(__xludf.DUMMYFUNCTION("""COMPUTED_VALUE"""),"How to Train Your Dragon 2 ")</f>
        <v>How to Train Your Dragon 2 </v>
      </c>
      <c r="H161" s="2">
        <v>31997107</v>
      </c>
    </row>
    <row r="162" spans="7:8" x14ac:dyDescent="0.25">
      <c r="G162" s="2" t="str">
        <f ca="1">IFERROR(__xludf.DUMMYFUNCTION("""COMPUTED_VALUE"""),"Gods of Egypt ")</f>
        <v>Gods of Egypt </v>
      </c>
      <c r="H162" s="2">
        <v>-108858926</v>
      </c>
    </row>
    <row r="163" spans="7:8" x14ac:dyDescent="0.25">
      <c r="G163" s="2" t="str">
        <f ca="1">IFERROR(__xludf.DUMMYFUNCTION("""COMPUTED_VALUE"""),"Stealth ")</f>
        <v>Stealth </v>
      </c>
      <c r="H163" s="2">
        <v>-103295584</v>
      </c>
    </row>
    <row r="164" spans="7:8" x14ac:dyDescent="0.25">
      <c r="G164" s="2" t="str">
        <f ca="1">IFERROR(__xludf.DUMMYFUNCTION("""COMPUTED_VALUE"""),"Watchmen ")</f>
        <v>Watchmen </v>
      </c>
      <c r="H164" s="2">
        <v>-22496684</v>
      </c>
    </row>
    <row r="165" spans="7:8" x14ac:dyDescent="0.25">
      <c r="G165" s="2" t="str">
        <f ca="1">IFERROR(__xludf.DUMMYFUNCTION("""COMPUTED_VALUE"""),"Lethal Weapon 4 ")</f>
        <v>Lethal Weapon 4 </v>
      </c>
      <c r="H165" s="2">
        <v>-10265197</v>
      </c>
    </row>
    <row r="166" spans="7:8" x14ac:dyDescent="0.25">
      <c r="G166" s="2" t="str">
        <f ca="1">IFERROR(__xludf.DUMMYFUNCTION("""COMPUTED_VALUE"""),"Hulk ")</f>
        <v>Hulk </v>
      </c>
      <c r="H166" s="2">
        <v>-4877005</v>
      </c>
    </row>
    <row r="167" spans="7:8" x14ac:dyDescent="0.25">
      <c r="G167" s="2" t="str">
        <f ca="1">IFERROR(__xludf.DUMMYFUNCTION("""COMPUTED_VALUE"""),"G.I. Joe: Retaliation ")</f>
        <v>G.I. Joe: Retaliation </v>
      </c>
      <c r="H167" s="2">
        <v>-7487948</v>
      </c>
    </row>
    <row r="168" spans="7:8" x14ac:dyDescent="0.25">
      <c r="G168" s="2" t="str">
        <f ca="1">IFERROR(__xludf.DUMMYFUNCTION("""COMPUTED_VALUE"""),"Sahara ")</f>
        <v>Sahara </v>
      </c>
      <c r="H168" s="2">
        <v>-61357548</v>
      </c>
    </row>
    <row r="169" spans="7:8" x14ac:dyDescent="0.25">
      <c r="G169" s="2" t="str">
        <f ca="1">IFERROR(__xludf.DUMMYFUNCTION("""COMPUTED_VALUE"""),"Final Fantasy: The Spirits Within ")</f>
        <v>Final Fantasy: The Spirits Within </v>
      </c>
      <c r="H169" s="2">
        <v>-104868170</v>
      </c>
    </row>
    <row r="170" spans="7:8" x14ac:dyDescent="0.25">
      <c r="G170" s="2" t="str">
        <f ca="1">IFERROR(__xludf.DUMMYFUNCTION("""COMPUTED_VALUE"""),"Captain America: The First Avenger ")</f>
        <v>Captain America: The First Avenger </v>
      </c>
      <c r="H170" s="2">
        <v>36636816</v>
      </c>
    </row>
    <row r="171" spans="7:8" x14ac:dyDescent="0.25">
      <c r="G171" s="2" t="str">
        <f ca="1">IFERROR(__xludf.DUMMYFUNCTION("""COMPUTED_VALUE"""),"The World Is Not Enough ")</f>
        <v>The World Is Not Enough </v>
      </c>
      <c r="H171" s="2">
        <v>-8069340</v>
      </c>
    </row>
    <row r="172" spans="7:8" x14ac:dyDescent="0.25">
      <c r="G172" s="2" t="str">
        <f ca="1">IFERROR(__xludf.DUMMYFUNCTION("""COMPUTED_VALUE"""),"Master and Commander: The Far Side of the World ")</f>
        <v>Master and Commander: The Far Side of the World </v>
      </c>
      <c r="H172" s="2">
        <v>-56073614</v>
      </c>
    </row>
    <row r="173" spans="7:8" x14ac:dyDescent="0.25">
      <c r="G173" s="2" t="str">
        <f ca="1">IFERROR(__xludf.DUMMYFUNCTION("""COMPUTED_VALUE"""),"The Twilight Saga: Breaking Dawn - Part 2 ")</f>
        <v>The Twilight Saga: Breaking Dawn - Part 2 </v>
      </c>
      <c r="H173" s="2">
        <v>172298923</v>
      </c>
    </row>
    <row r="174" spans="7:8" x14ac:dyDescent="0.25">
      <c r="G174" s="2" t="str">
        <f ca="1">IFERROR(__xludf.DUMMYFUNCTION("""COMPUTED_VALUE"""),"Happy Feet 2 ")</f>
        <v>Happy Feet 2 </v>
      </c>
      <c r="H174" s="2">
        <v>-71007672</v>
      </c>
    </row>
    <row r="175" spans="7:8" x14ac:dyDescent="0.25">
      <c r="G175" s="2" t="str">
        <f ca="1">IFERROR(__xludf.DUMMYFUNCTION("""COMPUTED_VALUE"""),"The Incredible Hulk ")</f>
        <v>The Incredible Hulk </v>
      </c>
      <c r="H175" s="2">
        <v>-15481610</v>
      </c>
    </row>
    <row r="176" spans="7:8" x14ac:dyDescent="0.25">
      <c r="G176" s="2" t="str">
        <f ca="1">IFERROR(__xludf.DUMMYFUNCTION("""COMPUTED_VALUE"""),"The BFG ")</f>
        <v>The BFG </v>
      </c>
      <c r="H176" s="2">
        <v>-87207693</v>
      </c>
    </row>
    <row r="177" spans="7:8" x14ac:dyDescent="0.25">
      <c r="G177" s="2" t="str">
        <f ca="1">IFERROR(__xludf.DUMMYFUNCTION("""COMPUTED_VALUE"""),"The Revenant ")</f>
        <v>The Revenant </v>
      </c>
      <c r="H177" s="2">
        <v>48635922</v>
      </c>
    </row>
    <row r="178" spans="7:8" x14ac:dyDescent="0.25">
      <c r="G178" s="2" t="str">
        <f ca="1">IFERROR(__xludf.DUMMYFUNCTION("""COMPUTED_VALUE"""),"Turbo ")</f>
        <v>Turbo </v>
      </c>
      <c r="H178" s="2">
        <v>-51975100</v>
      </c>
    </row>
    <row r="179" spans="7:8" x14ac:dyDescent="0.25">
      <c r="G179" s="2" t="str">
        <f ca="1">IFERROR(__xludf.DUMMYFUNCTION("""COMPUTED_VALUE"""),"Rango ")</f>
        <v>Rango </v>
      </c>
      <c r="H179" s="2">
        <v>-11792806</v>
      </c>
    </row>
    <row r="180" spans="7:8" x14ac:dyDescent="0.25">
      <c r="G180" s="2" t="str">
        <f ca="1">IFERROR(__xludf.DUMMYFUNCTION("""COMPUTED_VALUE"""),"Penguins of Madagascar ")</f>
        <v>Penguins of Madagascar </v>
      </c>
      <c r="H180" s="2">
        <v>-48651080</v>
      </c>
    </row>
    <row r="181" spans="7:8" x14ac:dyDescent="0.25">
      <c r="G181" s="2" t="str">
        <f ca="1">IFERROR(__xludf.DUMMYFUNCTION("""COMPUTED_VALUE"""),"The Bourne Ultimatum ")</f>
        <v>The Bourne Ultimatum </v>
      </c>
      <c r="H181" s="2">
        <v>117137090</v>
      </c>
    </row>
    <row r="182" spans="7:8" x14ac:dyDescent="0.25">
      <c r="G182" s="2" t="str">
        <f ca="1">IFERROR(__xludf.DUMMYFUNCTION("""COMPUTED_VALUE"""),"Kung Fu Panda ")</f>
        <v>Kung Fu Panda </v>
      </c>
      <c r="H182" s="2">
        <v>85395021</v>
      </c>
    </row>
    <row r="183" spans="7:8" x14ac:dyDescent="0.25">
      <c r="G183" s="2" t="str">
        <f ca="1">IFERROR(__xludf.DUMMYFUNCTION("""COMPUTED_VALUE"""),"Ant-Man ")</f>
        <v>Ant-Man </v>
      </c>
      <c r="H183" s="2">
        <v>50191634</v>
      </c>
    </row>
    <row r="184" spans="7:8" x14ac:dyDescent="0.25">
      <c r="G184" s="2" t="str">
        <f ca="1">IFERROR(__xludf.DUMMYFUNCTION("""COMPUTED_VALUE"""),"The Hunger Games: Catching Fire ")</f>
        <v>The Hunger Games: Catching Fire </v>
      </c>
      <c r="H184" s="2">
        <v>294645577</v>
      </c>
    </row>
    <row r="185" spans="7:8" x14ac:dyDescent="0.25">
      <c r="G185" s="2" t="str">
        <f ca="1">IFERROR(__xludf.DUMMYFUNCTION("""COMPUTED_VALUE"""),"Home ")</f>
        <v>Home </v>
      </c>
      <c r="H185" s="2">
        <v>42343675</v>
      </c>
    </row>
    <row r="186" spans="7:8" x14ac:dyDescent="0.25">
      <c r="G186" s="2" t="str">
        <f ca="1">IFERROR(__xludf.DUMMYFUNCTION("""COMPUTED_VALUE"""),"War of the Worlds ")</f>
        <v>War of the Worlds </v>
      </c>
      <c r="H186" s="2">
        <v>102277056</v>
      </c>
    </row>
    <row r="187" spans="7:8" x14ac:dyDescent="0.25">
      <c r="G187" s="2" t="str">
        <f ca="1">IFERROR(__xludf.DUMMYFUNCTION("""COMPUTED_VALUE"""),"Bad Boys II ")</f>
        <v>Bad Boys II </v>
      </c>
      <c r="H187" s="2">
        <v>8396624</v>
      </c>
    </row>
    <row r="188" spans="7:8" x14ac:dyDescent="0.25">
      <c r="G188" s="2" t="str">
        <f ca="1">IFERROR(__xludf.DUMMYFUNCTION("""COMPUTED_VALUE"""),"Puss in Boots ")</f>
        <v>Puss in Boots </v>
      </c>
      <c r="H188" s="2">
        <v>19234747</v>
      </c>
    </row>
    <row r="189" spans="7:8" x14ac:dyDescent="0.25">
      <c r="G189" s="2" t="str">
        <f ca="1">IFERROR(__xludf.DUMMYFUNCTION("""COMPUTED_VALUE"""),"Salt ")</f>
        <v>Salt </v>
      </c>
      <c r="H189" s="2">
        <v>8311368</v>
      </c>
    </row>
    <row r="190" spans="7:8" x14ac:dyDescent="0.25">
      <c r="G190" s="2" t="str">
        <f ca="1">IFERROR(__xludf.DUMMYFUNCTION("""COMPUTED_VALUE"""),"Noah ")</f>
        <v>Noah </v>
      </c>
      <c r="H190" s="2">
        <v>-23839471</v>
      </c>
    </row>
    <row r="191" spans="7:8" x14ac:dyDescent="0.25">
      <c r="G191" s="2" t="str">
        <f ca="1">IFERROR(__xludf.DUMMYFUNCTION("""COMPUTED_VALUE"""),"The Adventures of Tintin ")</f>
        <v>The Adventures of Tintin </v>
      </c>
      <c r="H191" s="2">
        <v>-57435963</v>
      </c>
    </row>
    <row r="192" spans="7:8" x14ac:dyDescent="0.25">
      <c r="G192" s="2" t="str">
        <f ca="1">IFERROR(__xludf.DUMMYFUNCTION("""COMPUTED_VALUE"""),"Harry Potter and the Prisoner of Azkaban ")</f>
        <v>Harry Potter and the Prisoner of Azkaban </v>
      </c>
      <c r="H192" s="2">
        <v>119358727</v>
      </c>
    </row>
    <row r="193" spans="7:8" x14ac:dyDescent="0.25">
      <c r="G193" s="2" t="str">
        <f ca="1">IFERROR(__xludf.DUMMYFUNCTION("""COMPUTED_VALUE"""),"Australia ")</f>
        <v>Australia </v>
      </c>
      <c r="H193" s="2">
        <v>-80448338</v>
      </c>
    </row>
    <row r="194" spans="7:8" x14ac:dyDescent="0.25">
      <c r="G194" s="2" t="str">
        <f ca="1">IFERROR(__xludf.DUMMYFUNCTION("""COMPUTED_VALUE"""),"After Earth ")</f>
        <v>After Earth </v>
      </c>
      <c r="H194" s="2">
        <v>-69477903</v>
      </c>
    </row>
    <row r="195" spans="7:8" x14ac:dyDescent="0.25">
      <c r="G195" s="2" t="str">
        <f ca="1">IFERROR(__xludf.DUMMYFUNCTION("""COMPUTED_VALUE"""),"Dinosaur ")</f>
        <v>Dinosaur </v>
      </c>
      <c r="H195" s="2">
        <v>10248063</v>
      </c>
    </row>
    <row r="196" spans="7:8" x14ac:dyDescent="0.25">
      <c r="G196" s="2" t="str">
        <f ca="1">IFERROR(__xludf.DUMMYFUNCTION("""COMPUTED_VALUE"""),"Night at the Museum: Secret of the Tomb ")</f>
        <v>Night at the Museum: Secret of the Tomb </v>
      </c>
      <c r="H196" s="2">
        <v>-13266274</v>
      </c>
    </row>
    <row r="197" spans="7:8" x14ac:dyDescent="0.25">
      <c r="G197" s="2" t="str">
        <f ca="1">IFERROR(__xludf.DUMMYFUNCTION("""COMPUTED_VALUE"""),"Megamind ")</f>
        <v>Megamind </v>
      </c>
      <c r="H197" s="2">
        <v>18337537</v>
      </c>
    </row>
    <row r="198" spans="7:8" x14ac:dyDescent="0.25">
      <c r="G198" s="2" t="str">
        <f ca="1">IFERROR(__xludf.DUMMYFUNCTION("""COMPUTED_VALUE"""),"Harry Potter and the Sorcerer's Stone ")</f>
        <v>Harry Potter and the Sorcerer's Stone </v>
      </c>
      <c r="H198" s="2">
        <v>192557891</v>
      </c>
    </row>
    <row r="199" spans="7:8" x14ac:dyDescent="0.25">
      <c r="G199" s="2" t="str">
        <f ca="1">IFERROR(__xludf.DUMMYFUNCTION("""COMPUTED_VALUE"""),"R.I.P.D. ")</f>
        <v>R.I.P.D. </v>
      </c>
      <c r="H199" s="2">
        <v>-96407585</v>
      </c>
    </row>
    <row r="200" spans="7:8" x14ac:dyDescent="0.25">
      <c r="G200" s="2" t="str">
        <f ca="1">IFERROR(__xludf.DUMMYFUNCTION("""COMPUTED_VALUE"""),"Pirates of the Caribbean: The Curse of the Black Pearl ")</f>
        <v>Pirates of the Caribbean: The Curse of the Black Pearl </v>
      </c>
      <c r="H200" s="2">
        <v>165388685</v>
      </c>
    </row>
    <row r="201" spans="7:8" x14ac:dyDescent="0.25">
      <c r="G201" s="2" t="str">
        <f ca="1">IFERROR(__xludf.DUMMYFUNCTION("""COMPUTED_VALUE"""),"The Hunger Games: Mockingjay - Part 1 ")</f>
        <v>The Hunger Games: Mockingjay - Part 1 </v>
      </c>
      <c r="H201" s="2">
        <v>212103873</v>
      </c>
    </row>
    <row r="202" spans="7:8" x14ac:dyDescent="0.25">
      <c r="G202" s="2" t="str">
        <f ca="1">IFERROR(__xludf.DUMMYFUNCTION("""COMPUTED_VALUE"""),"The Da Vinci Code ")</f>
        <v>The Da Vinci Code </v>
      </c>
      <c r="H202" s="2">
        <v>92536138</v>
      </c>
    </row>
    <row r="203" spans="7:8" x14ac:dyDescent="0.25">
      <c r="G203" s="2" t="str">
        <f ca="1">IFERROR(__xludf.DUMMYFUNCTION("""COMPUTED_VALUE"""),"Rio 2 ")</f>
        <v>Rio 2 </v>
      </c>
      <c r="H203" s="2">
        <v>28536019</v>
      </c>
    </row>
    <row r="204" spans="7:8" x14ac:dyDescent="0.25">
      <c r="G204" s="2" t="str">
        <f ca="1">IFERROR(__xludf.DUMMYFUNCTION("""COMPUTED_VALUE"""),"X-Men 2 ")</f>
        <v>X-Men 2 </v>
      </c>
      <c r="H204" s="2">
        <v>104948780</v>
      </c>
    </row>
    <row r="205" spans="7:8" x14ac:dyDescent="0.25">
      <c r="G205" s="2" t="str">
        <f ca="1">IFERROR(__xludf.DUMMYFUNCTION("""COMPUTED_VALUE"""),"Fast Five ")</f>
        <v>Fast Five </v>
      </c>
      <c r="H205" s="2">
        <v>84805005</v>
      </c>
    </row>
    <row r="206" spans="7:8" x14ac:dyDescent="0.25">
      <c r="G206" s="2" t="str">
        <f ca="1">IFERROR(__xludf.DUMMYFUNCTION("""COMPUTED_VALUE"""),"Sherlock Holmes: A Game of Shadows ")</f>
        <v>Sherlock Holmes: A Game of Shadows </v>
      </c>
      <c r="H206" s="2">
        <v>61830669</v>
      </c>
    </row>
    <row r="207" spans="7:8" x14ac:dyDescent="0.25">
      <c r="G207" s="2" t="str">
        <f ca="1">IFERROR(__xludf.DUMMYFUNCTION("""COMPUTED_VALUE"""),"Clash of the Titans ")</f>
        <v>Clash of the Titans </v>
      </c>
      <c r="H207" s="2">
        <v>38192114</v>
      </c>
    </row>
    <row r="208" spans="7:8" x14ac:dyDescent="0.25">
      <c r="G208" s="2" t="str">
        <f ca="1">IFERROR(__xludf.DUMMYFUNCTION("""COMPUTED_VALUE"""),"Total Recall ")</f>
        <v>Total Recall </v>
      </c>
      <c r="H208" s="2">
        <v>54412921</v>
      </c>
    </row>
    <row r="209" spans="7:8" x14ac:dyDescent="0.25">
      <c r="G209" s="2" t="str">
        <f ca="1">IFERROR(__xludf.DUMMYFUNCTION("""COMPUTED_VALUE"""),"The 13th Warrior ")</f>
        <v>The 13th Warrior </v>
      </c>
      <c r="H209" s="2">
        <v>-52305212</v>
      </c>
    </row>
    <row r="210" spans="7:8" x14ac:dyDescent="0.25">
      <c r="G210" s="2" t="str">
        <f ca="1">IFERROR(__xludf.DUMMYFUNCTION("""COMPUTED_VALUE"""),"The Bourne Legacy ")</f>
        <v>The Bourne Legacy </v>
      </c>
      <c r="H210" s="2">
        <v>-11834365</v>
      </c>
    </row>
    <row r="211" spans="7:8" x14ac:dyDescent="0.25">
      <c r="G211" s="2" t="str">
        <f ca="1">IFERROR(__xludf.DUMMYFUNCTION("""COMPUTED_VALUE"""),"Batman &amp; Robin ")</f>
        <v>Batman &amp; Robin </v>
      </c>
      <c r="H211" s="2">
        <v>-17714996</v>
      </c>
    </row>
    <row r="212" spans="7:8" x14ac:dyDescent="0.25">
      <c r="G212" s="2" t="str">
        <f ca="1">IFERROR(__xludf.DUMMYFUNCTION("""COMPUTED_VALUE"""),"How the Grinch Stole Christmas ")</f>
        <v>How the Grinch Stole Christmas </v>
      </c>
      <c r="H212" s="2">
        <v>137031035</v>
      </c>
    </row>
    <row r="213" spans="7:8" x14ac:dyDescent="0.25">
      <c r="G213" s="2" t="str">
        <f ca="1">IFERROR(__xludf.DUMMYFUNCTION("""COMPUTED_VALUE"""),"The Day After Tomorrow ")</f>
        <v>The Day After Tomorrow </v>
      </c>
      <c r="H213" s="2">
        <v>61739919</v>
      </c>
    </row>
    <row r="214" spans="7:8" x14ac:dyDescent="0.25">
      <c r="G214" s="2" t="str">
        <f ca="1">IFERROR(__xludf.DUMMYFUNCTION("""COMPUTED_VALUE"""),"Mission: Impossible II ")</f>
        <v>Mission: Impossible II </v>
      </c>
      <c r="H214" s="2">
        <v>90397307</v>
      </c>
    </row>
    <row r="215" spans="7:8" x14ac:dyDescent="0.25">
      <c r="G215" s="2" t="str">
        <f ca="1">IFERROR(__xludf.DUMMYFUNCTION("""COMPUTED_VALUE"""),"The Perfect Storm ")</f>
        <v>The Perfect Storm </v>
      </c>
      <c r="H215" s="2">
        <v>42618434</v>
      </c>
    </row>
    <row r="216" spans="7:8" x14ac:dyDescent="0.25">
      <c r="G216" s="2" t="str">
        <f ca="1">IFERROR(__xludf.DUMMYFUNCTION("""COMPUTED_VALUE"""),"Fantastic 4: Rise of the Silver Surfer ")</f>
        <v>Fantastic 4: Rise of the Silver Surfer </v>
      </c>
      <c r="H216" s="2">
        <v>1920333</v>
      </c>
    </row>
    <row r="217" spans="7:8" x14ac:dyDescent="0.25">
      <c r="G217" s="2" t="str">
        <f ca="1">IFERROR(__xludf.DUMMYFUNCTION("""COMPUTED_VALUE"""),"Life of Pi ")</f>
        <v>Life of Pi </v>
      </c>
      <c r="H217" s="2">
        <v>4976634</v>
      </c>
    </row>
    <row r="218" spans="7:8" x14ac:dyDescent="0.25">
      <c r="G218" s="2" t="str">
        <f ca="1">IFERROR(__xludf.DUMMYFUNCTION("""COMPUTED_VALUE"""),"Ghost Rider ")</f>
        <v>Ghost Rider </v>
      </c>
      <c r="H218" s="2">
        <v>5802596</v>
      </c>
    </row>
    <row r="219" spans="7:8" x14ac:dyDescent="0.25">
      <c r="G219" s="2" t="str">
        <f ca="1">IFERROR(__xludf.DUMMYFUNCTION("""COMPUTED_VALUE"""),"Jason Bourne ")</f>
        <v>Jason Bourne </v>
      </c>
      <c r="H219" s="2">
        <v>-11478165</v>
      </c>
    </row>
    <row r="220" spans="7:8" x14ac:dyDescent="0.25">
      <c r="G220" s="2" t="str">
        <f ca="1">IFERROR(__xludf.DUMMYFUNCTION("""COMPUTED_VALUE"""),"Charlie's Angels: Full Throttle ")</f>
        <v>Charlie's Angels: Full Throttle </v>
      </c>
      <c r="H220" s="2">
        <v>-19314120</v>
      </c>
    </row>
    <row r="221" spans="7:8" x14ac:dyDescent="0.25">
      <c r="G221" s="2" t="str">
        <f ca="1">IFERROR(__xludf.DUMMYFUNCTION("""COMPUTED_VALUE"""),"Prometheus ")</f>
        <v>Prometheus </v>
      </c>
      <c r="H221" s="2">
        <v>-3535096</v>
      </c>
    </row>
    <row r="222" spans="7:8" x14ac:dyDescent="0.25">
      <c r="G222" s="2" t="str">
        <f ca="1">IFERROR(__xludf.DUMMYFUNCTION("""COMPUTED_VALUE"""),"Stuart Little 2 ")</f>
        <v>Stuart Little 2 </v>
      </c>
      <c r="H222" s="2">
        <v>-55263886</v>
      </c>
    </row>
    <row r="223" spans="7:8" x14ac:dyDescent="0.25">
      <c r="G223" s="2" t="str">
        <f ca="1">IFERROR(__xludf.DUMMYFUNCTION("""COMPUTED_VALUE"""),"Elysium ")</f>
        <v>Elysium </v>
      </c>
      <c r="H223" s="2">
        <v>-21949883</v>
      </c>
    </row>
    <row r="224" spans="7:8" x14ac:dyDescent="0.25">
      <c r="G224" s="2" t="str">
        <f ca="1">IFERROR(__xludf.DUMMYFUNCTION("""COMPUTED_VALUE"""),"The Chronicles of Riddick ")</f>
        <v>The Chronicles of Riddick </v>
      </c>
      <c r="H224" s="2">
        <v>-47362515</v>
      </c>
    </row>
    <row r="225" spans="7:8" x14ac:dyDescent="0.25">
      <c r="G225" s="2" t="str">
        <f ca="1">IFERROR(__xludf.DUMMYFUNCTION("""COMPUTED_VALUE"""),"RoboCop ")</f>
        <v>RoboCop </v>
      </c>
      <c r="H225" s="2">
        <v>-41392993</v>
      </c>
    </row>
    <row r="226" spans="7:8" x14ac:dyDescent="0.25">
      <c r="G226" s="2" t="str">
        <f ca="1">IFERROR(__xludf.DUMMYFUNCTION("""COMPUTED_VALUE"""),"Speed Racer ")</f>
        <v>Speed Racer </v>
      </c>
      <c r="H226" s="2">
        <v>-76070659</v>
      </c>
    </row>
    <row r="227" spans="7:8" x14ac:dyDescent="0.25">
      <c r="G227" s="2" t="str">
        <f ca="1">IFERROR(__xludf.DUMMYFUNCTION("""COMPUTED_VALUE"""),"How Do You Know ")</f>
        <v>How Do You Know </v>
      </c>
      <c r="H227" s="2">
        <v>-89787380</v>
      </c>
    </row>
    <row r="228" spans="7:8" x14ac:dyDescent="0.25">
      <c r="G228" s="2" t="str">
        <f ca="1">IFERROR(__xludf.DUMMYFUNCTION("""COMPUTED_VALUE"""),"Knight and Day ")</f>
        <v>Knight and Day </v>
      </c>
      <c r="H228" s="2">
        <v>-40581346</v>
      </c>
    </row>
    <row r="229" spans="7:8" x14ac:dyDescent="0.25">
      <c r="G229" s="2" t="str">
        <f ca="1">IFERROR(__xludf.DUMMYFUNCTION("""COMPUTED_VALUE"""),"Oblivion ")</f>
        <v>Oblivion </v>
      </c>
      <c r="H229" s="2">
        <v>-30978265</v>
      </c>
    </row>
    <row r="230" spans="7:8" x14ac:dyDescent="0.25">
      <c r="G230" s="2" t="str">
        <f ca="1">IFERROR(__xludf.DUMMYFUNCTION("""COMPUTED_VALUE"""),"Star Wars: Episode III - Revenge of the Sith ")</f>
        <v>Star Wars: Episode III - Revenge of the Sith </v>
      </c>
      <c r="H230" s="2">
        <v>267262555</v>
      </c>
    </row>
    <row r="231" spans="7:8" x14ac:dyDescent="0.25">
      <c r="G231" s="2" t="str">
        <f ca="1">IFERROR(__xludf.DUMMYFUNCTION("""COMPUTED_VALUE"""),"Star Wars: Episode II - Attack of the Clones ")</f>
        <v>Star Wars: Episode II - Attack of the Clones </v>
      </c>
      <c r="H231" s="2">
        <v>195675583</v>
      </c>
    </row>
    <row r="232" spans="7:8" x14ac:dyDescent="0.25">
      <c r="G232" s="2" t="str">
        <f ca="1">IFERROR(__xludf.DUMMYFUNCTION("""COMPUTED_VALUE"""),"Monsters, Inc. ")</f>
        <v>Monsters, Inc. </v>
      </c>
      <c r="H232" s="2">
        <v>174907418</v>
      </c>
    </row>
    <row r="233" spans="7:8" x14ac:dyDescent="0.25">
      <c r="G233" s="2" t="str">
        <f ca="1">IFERROR(__xludf.DUMMYFUNCTION("""COMPUTED_VALUE"""),"The Wolverine ")</f>
        <v>The Wolverine </v>
      </c>
      <c r="H233" s="2">
        <v>12550960</v>
      </c>
    </row>
    <row r="234" spans="7:8" x14ac:dyDescent="0.25">
      <c r="G234" s="2" t="str">
        <f ca="1">IFERROR(__xludf.DUMMYFUNCTION("""COMPUTED_VALUE"""),"Star Wars: Episode I - The Phantom Menace ")</f>
        <v>Star Wars: Episode I - The Phantom Menace </v>
      </c>
      <c r="H234" s="2">
        <v>359544677</v>
      </c>
    </row>
    <row r="235" spans="7:8" x14ac:dyDescent="0.25">
      <c r="G235" s="2" t="str">
        <f ca="1">IFERROR(__xludf.DUMMYFUNCTION("""COMPUTED_VALUE"""),"The Croods ")</f>
        <v>The Croods </v>
      </c>
      <c r="H235" s="2">
        <v>52165546</v>
      </c>
    </row>
    <row r="236" spans="7:8" x14ac:dyDescent="0.25">
      <c r="G236" s="2" t="str">
        <f ca="1">IFERROR(__xludf.DUMMYFUNCTION("""COMPUTED_VALUE"""),"Windtalkers ")</f>
        <v>Windtalkers </v>
      </c>
      <c r="H236" s="2">
        <v>-74088170</v>
      </c>
    </row>
    <row r="237" spans="7:8" x14ac:dyDescent="0.25">
      <c r="G237" s="2" t="str">
        <f ca="1">IFERROR(__xludf.DUMMYFUNCTION("""COMPUTED_VALUE"""),"The Huntsman: Winter's War ")</f>
        <v>The Huntsman: Winter's War </v>
      </c>
      <c r="H237" s="2">
        <v>-67047980</v>
      </c>
    </row>
    <row r="238" spans="7:8" x14ac:dyDescent="0.25">
      <c r="G238" s="2" t="str">
        <f ca="1">IFERROR(__xludf.DUMMYFUNCTION("""COMPUTED_VALUE"""),"Teenage Mutant Ninja Turtles ")</f>
        <v>Teenage Mutant Ninja Turtles </v>
      </c>
      <c r="H238" s="2">
        <v>65871240</v>
      </c>
    </row>
    <row r="239" spans="7:8" x14ac:dyDescent="0.25">
      <c r="G239" s="2" t="str">
        <f ca="1">IFERROR(__xludf.DUMMYFUNCTION("""COMPUTED_VALUE"""),"Gravity ")</f>
        <v>Gravity </v>
      </c>
      <c r="H239" s="2">
        <v>174084951</v>
      </c>
    </row>
    <row r="240" spans="7:8" x14ac:dyDescent="0.25">
      <c r="G240" s="2" t="str">
        <f ca="1">IFERROR(__xludf.DUMMYFUNCTION("""COMPUTED_VALUE"""),"Dante's Peak ")</f>
        <v>Dante's Peak </v>
      </c>
      <c r="H240" s="2">
        <v>-48844258</v>
      </c>
    </row>
    <row r="241" spans="7:8" x14ac:dyDescent="0.25">
      <c r="G241" s="2" t="str">
        <f ca="1">IFERROR(__xludf.DUMMYFUNCTION("""COMPUTED_VALUE"""),"Teenage Mutant Ninja Turtles: Out of the Shadows ")</f>
        <v>Teenage Mutant Ninja Turtles: Out of the Shadows </v>
      </c>
      <c r="H241" s="2">
        <v>-53361326</v>
      </c>
    </row>
    <row r="242" spans="7:8" x14ac:dyDescent="0.25">
      <c r="G242" s="2" t="str">
        <f ca="1">IFERROR(__xludf.DUMMYFUNCTION("""COMPUTED_VALUE"""),"Fantastic Four ")</f>
        <v>Fantastic Four </v>
      </c>
      <c r="H242" s="2">
        <v>-63885779</v>
      </c>
    </row>
    <row r="243" spans="7:8" x14ac:dyDescent="0.25">
      <c r="G243" s="2" t="str">
        <f ca="1">IFERROR(__xludf.DUMMYFUNCTION("""COMPUTED_VALUE"""),"Night at the Museum ")</f>
        <v>Night at the Museum </v>
      </c>
      <c r="H243" s="2">
        <v>140863268</v>
      </c>
    </row>
    <row r="244" spans="7:8" x14ac:dyDescent="0.25">
      <c r="G244" s="2" t="str">
        <f ca="1">IFERROR(__xludf.DUMMYFUNCTION("""COMPUTED_VALUE"""),"San Andreas ")</f>
        <v>San Andreas </v>
      </c>
      <c r="H244" s="2">
        <v>45181732</v>
      </c>
    </row>
    <row r="245" spans="7:8" x14ac:dyDescent="0.25">
      <c r="G245" s="2" t="str">
        <f ca="1">IFERROR(__xludf.DUMMYFUNCTION("""COMPUTED_VALUE"""),"Tomorrow Never Dies ")</f>
        <v>Tomorrow Never Dies </v>
      </c>
      <c r="H245" s="2">
        <v>15332007</v>
      </c>
    </row>
    <row r="246" spans="7:8" x14ac:dyDescent="0.25">
      <c r="G246" s="2" t="str">
        <f ca="1">IFERROR(__xludf.DUMMYFUNCTION("""COMPUTED_VALUE"""),"The Patriot ")</f>
        <v>The Patriot </v>
      </c>
      <c r="H246" s="2">
        <v>3330342</v>
      </c>
    </row>
    <row r="247" spans="7:8" x14ac:dyDescent="0.25">
      <c r="G247" s="2" t="str">
        <f ca="1">IFERROR(__xludf.DUMMYFUNCTION("""COMPUTED_VALUE"""),"Ocean's Twelve ")</f>
        <v>Ocean's Twelve </v>
      </c>
      <c r="H247" s="2">
        <v>15531634</v>
      </c>
    </row>
    <row r="248" spans="7:8" x14ac:dyDescent="0.25">
      <c r="G248" s="2" t="str">
        <f ca="1">IFERROR(__xludf.DUMMYFUNCTION("""COMPUTED_VALUE"""),"Mr. &amp; Mrs. Smith ")</f>
        <v>Mr. &amp; Mrs. Smith </v>
      </c>
      <c r="H248" s="2">
        <v>66336103</v>
      </c>
    </row>
    <row r="249" spans="7:8" x14ac:dyDescent="0.25">
      <c r="G249" s="2" t="str">
        <f ca="1">IFERROR(__xludf.DUMMYFUNCTION("""COMPUTED_VALUE"""),"Insurgent ")</f>
        <v>Insurgent </v>
      </c>
      <c r="H249" s="2">
        <v>19995817</v>
      </c>
    </row>
    <row r="250" spans="7:8" x14ac:dyDescent="0.25">
      <c r="G250" s="2" t="str">
        <f ca="1">IFERROR(__xludf.DUMMYFUNCTION("""COMPUTED_VALUE"""),"The Aviator ")</f>
        <v>The Aviator </v>
      </c>
      <c r="H250" s="2">
        <v>-7391173</v>
      </c>
    </row>
    <row r="251" spans="7:8" x14ac:dyDescent="0.25">
      <c r="G251" s="2" t="str">
        <f ca="1">IFERROR(__xludf.DUMMYFUNCTION("""COMPUTED_VALUE"""),"Gulliver's Travels ")</f>
        <v>Gulliver's Travels </v>
      </c>
      <c r="H251" s="2">
        <v>-69223741</v>
      </c>
    </row>
    <row r="252" spans="7:8" x14ac:dyDescent="0.25">
      <c r="G252" s="2" t="str">
        <f ca="1">IFERROR(__xludf.DUMMYFUNCTION("""COMPUTED_VALUE"""),"The Green Hornet ")</f>
        <v>The Green Hornet </v>
      </c>
      <c r="H252" s="2">
        <v>-21219958</v>
      </c>
    </row>
    <row r="253" spans="7:8" x14ac:dyDescent="0.25">
      <c r="G253" s="2" t="str">
        <f ca="1">IFERROR(__xludf.DUMMYFUNCTION("""COMPUTED_VALUE"""),"300: Rise of an Empire ")</f>
        <v>300: Rise of an Empire </v>
      </c>
      <c r="H253" s="2">
        <v>-3630883</v>
      </c>
    </row>
    <row r="254" spans="7:8" x14ac:dyDescent="0.25">
      <c r="G254" s="2" t="str">
        <f ca="1">IFERROR(__xludf.DUMMYFUNCTION("""COMPUTED_VALUE"""),"The Smurfs ")</f>
        <v>The Smurfs </v>
      </c>
      <c r="H254" s="2">
        <v>32614158</v>
      </c>
    </row>
    <row r="255" spans="7:8" x14ac:dyDescent="0.25">
      <c r="G255" s="2" t="str">
        <f ca="1">IFERROR(__xludf.DUMMYFUNCTION("""COMPUTED_VALUE"""),"Home on the Range ")</f>
        <v>Home on the Range </v>
      </c>
      <c r="H255" s="2">
        <v>-59973647</v>
      </c>
    </row>
    <row r="256" spans="7:8" x14ac:dyDescent="0.25">
      <c r="G256" s="2" t="str">
        <f ca="1">IFERROR(__xludf.DUMMYFUNCTION("""COMPUTED_VALUE"""),"Allegiant ")</f>
        <v>Allegiant </v>
      </c>
      <c r="H256" s="2">
        <v>-43997807</v>
      </c>
    </row>
    <row r="257" spans="7:8" x14ac:dyDescent="0.25">
      <c r="G257" s="2" t="str">
        <f ca="1">IFERROR(__xludf.DUMMYFUNCTION("""COMPUTED_VALUE"""),"Real Steel ")</f>
        <v>Real Steel </v>
      </c>
      <c r="H257" s="2">
        <v>-24536691</v>
      </c>
    </row>
    <row r="258" spans="7:8" x14ac:dyDescent="0.25">
      <c r="G258" s="2" t="str">
        <f ca="1">IFERROR(__xludf.DUMMYFUNCTION("""COMPUTED_VALUE"""),"The Smurfs 2 ")</f>
        <v>The Smurfs 2 </v>
      </c>
      <c r="H258" s="2">
        <v>-33982216</v>
      </c>
    </row>
    <row r="259" spans="7:8" x14ac:dyDescent="0.25">
      <c r="G259" s="2" t="str">
        <f ca="1">IFERROR(__xludf.DUMMYFUNCTION("""COMPUTED_VALUE"""),"Speed 2: Cruise Control ")</f>
        <v>Speed 2: Cruise Control </v>
      </c>
      <c r="H259" s="2">
        <v>-111931604</v>
      </c>
    </row>
    <row r="260" spans="7:8" x14ac:dyDescent="0.25">
      <c r="G260" s="2" t="str">
        <f ca="1">IFERROR(__xludf.DUMMYFUNCTION("""COMPUTED_VALUE"""),"Ender's Game ")</f>
        <v>Ender's Game </v>
      </c>
      <c r="H260" s="2">
        <v>-48343151</v>
      </c>
    </row>
    <row r="261" spans="7:8" x14ac:dyDescent="0.25">
      <c r="G261" s="2" t="str">
        <f ca="1">IFERROR(__xludf.DUMMYFUNCTION("""COMPUTED_VALUE"""),"Live Free or Die Hard ")</f>
        <v>Live Free or Die Hard </v>
      </c>
      <c r="H261" s="2">
        <v>24520804</v>
      </c>
    </row>
    <row r="262" spans="7:8" x14ac:dyDescent="0.25">
      <c r="G262" s="2" t="str">
        <f ca="1">IFERROR(__xludf.DUMMYFUNCTION("""COMPUTED_VALUE"""),"The Lord of the Rings: The Fellowship of the Ring ")</f>
        <v>The Lord of the Rings: The Fellowship of the Ring </v>
      </c>
      <c r="H262" s="2">
        <v>220837577</v>
      </c>
    </row>
    <row r="263" spans="7:8" x14ac:dyDescent="0.25">
      <c r="G263" s="2" t="str">
        <f ca="1">IFERROR(__xludf.DUMMYFUNCTION("""COMPUTED_VALUE"""),"Around the World in 80 Days ")</f>
        <v>Around the World in 80 Days </v>
      </c>
      <c r="H263" s="2">
        <v>-85995841</v>
      </c>
    </row>
    <row r="264" spans="7:8" x14ac:dyDescent="0.25">
      <c r="G264" s="2" t="str">
        <f ca="1">IFERROR(__xludf.DUMMYFUNCTION("""COMPUTED_VALUE"""),"Ali ")</f>
        <v>Ali </v>
      </c>
      <c r="H264" s="2">
        <v>-48816034</v>
      </c>
    </row>
    <row r="265" spans="7:8" x14ac:dyDescent="0.25">
      <c r="G265" s="2" t="str">
        <f ca="1">IFERROR(__xludf.DUMMYFUNCTION("""COMPUTED_VALUE"""),"The Cat in the Hat ")</f>
        <v>The Cat in the Hat </v>
      </c>
      <c r="H265" s="2">
        <v>-8553105</v>
      </c>
    </row>
    <row r="266" spans="7:8" x14ac:dyDescent="0.25">
      <c r="G266" s="2" t="str">
        <f ca="1">IFERROR(__xludf.DUMMYFUNCTION("""COMPUTED_VALUE"""),"I, Robot ")</f>
        <v>I, Robot </v>
      </c>
      <c r="H266" s="2">
        <v>24795350</v>
      </c>
    </row>
    <row r="267" spans="7:8" x14ac:dyDescent="0.25">
      <c r="G267" s="2" t="str">
        <f ca="1">IFERROR(__xludf.DUMMYFUNCTION("""COMPUTED_VALUE"""),"Kingdom of Heaven ")</f>
        <v>Kingdom of Heaven </v>
      </c>
      <c r="H267" s="2">
        <v>-82603302</v>
      </c>
    </row>
    <row r="268" spans="7:8" x14ac:dyDescent="0.25">
      <c r="G268" s="2" t="str">
        <f ca="1">IFERROR(__xludf.DUMMYFUNCTION("""COMPUTED_VALUE"""),"Stuart Little ")</f>
        <v>Stuart Little </v>
      </c>
      <c r="H268" s="2">
        <v>7015224</v>
      </c>
    </row>
    <row r="269" spans="7:8" x14ac:dyDescent="0.25">
      <c r="G269" s="2" t="str">
        <f ca="1">IFERROR(__xludf.DUMMYFUNCTION("""COMPUTED_VALUE"""),"The Princess and the Frog ")</f>
        <v>The Princess and the Frog </v>
      </c>
      <c r="H269" s="2">
        <v>-625893</v>
      </c>
    </row>
    <row r="270" spans="7:8" x14ac:dyDescent="0.25">
      <c r="G270" s="2" t="str">
        <f ca="1">IFERROR(__xludf.DUMMYFUNCTION("""COMPUTED_VALUE"""),"The Martian ")</f>
        <v>The Martian </v>
      </c>
      <c r="H270" s="2">
        <v>120430993</v>
      </c>
    </row>
    <row r="271" spans="7:8" x14ac:dyDescent="0.25">
      <c r="G271" s="2" t="str">
        <f ca="1">IFERROR(__xludf.DUMMYFUNCTION("""COMPUTED_VALUE"""),"The Island ")</f>
        <v>The Island </v>
      </c>
      <c r="H271" s="2">
        <v>-90200974</v>
      </c>
    </row>
    <row r="272" spans="7:8" x14ac:dyDescent="0.25">
      <c r="G272" s="2" t="str">
        <f ca="1">IFERROR(__xludf.DUMMYFUNCTION("""COMPUTED_VALUE"""),"Town &amp; Country ")</f>
        <v>Town &amp; Country </v>
      </c>
      <c r="H272" s="2">
        <v>-83287549</v>
      </c>
    </row>
    <row r="273" spans="7:8" x14ac:dyDescent="0.25">
      <c r="G273" s="2" t="str">
        <f ca="1">IFERROR(__xludf.DUMMYFUNCTION("""COMPUTED_VALUE"""),"Gone in Sixty Seconds ")</f>
        <v>Gone in Sixty Seconds </v>
      </c>
      <c r="H273" s="2">
        <v>11643008</v>
      </c>
    </row>
    <row r="274" spans="7:8" x14ac:dyDescent="0.25">
      <c r="G274" s="2" t="str">
        <f ca="1">IFERROR(__xludf.DUMMYFUNCTION("""COMPUTED_VALUE"""),"Gladiator ")</f>
        <v>Gladiator </v>
      </c>
      <c r="H274" s="2">
        <v>84670866</v>
      </c>
    </row>
    <row r="275" spans="7:8" x14ac:dyDescent="0.25">
      <c r="G275" s="2" t="str">
        <f ca="1">IFERROR(__xludf.DUMMYFUNCTION("""COMPUTED_VALUE"""),"Minority Report ")</f>
        <v>Minority Report </v>
      </c>
      <c r="H275" s="2">
        <v>30014112</v>
      </c>
    </row>
    <row r="276" spans="7:8" x14ac:dyDescent="0.25">
      <c r="G276" s="2" t="str">
        <f ca="1">IFERROR(__xludf.DUMMYFUNCTION("""COMPUTED_VALUE"""),"Harry Potter and the Chamber of Secrets ")</f>
        <v>Harry Potter and the Chamber of Secrets </v>
      </c>
      <c r="H276" s="2">
        <v>161970615</v>
      </c>
    </row>
    <row r="277" spans="7:8" x14ac:dyDescent="0.25">
      <c r="G277" s="2" t="str">
        <f ca="1">IFERROR(__xludf.DUMMYFUNCTION("""COMPUTED_VALUE"""),"Casino Royale ")</f>
        <v>Casino Royale </v>
      </c>
      <c r="H277" s="2">
        <v>17007184</v>
      </c>
    </row>
    <row r="278" spans="7:8" x14ac:dyDescent="0.25">
      <c r="G278" s="2" t="str">
        <f ca="1">IFERROR(__xludf.DUMMYFUNCTION("""COMPUTED_VALUE"""),"Planet of the Apes ")</f>
        <v>Planet of the Apes </v>
      </c>
      <c r="H278" s="2">
        <v>80011740</v>
      </c>
    </row>
    <row r="279" spans="7:8" x14ac:dyDescent="0.25">
      <c r="G279" s="2" t="str">
        <f ca="1">IFERROR(__xludf.DUMMYFUNCTION("""COMPUTED_VALUE"""),"Terminator 2: Judgment Day ")</f>
        <v>Terminator 2: Judgment Day </v>
      </c>
      <c r="H279" s="2">
        <v>102843350</v>
      </c>
    </row>
    <row r="280" spans="7:8" x14ac:dyDescent="0.25">
      <c r="G280" s="2" t="str">
        <f ca="1">IFERROR(__xludf.DUMMYFUNCTION("""COMPUTED_VALUE"""),"Public Enemies ")</f>
        <v>Public Enemies </v>
      </c>
      <c r="H280" s="2">
        <v>-2969275</v>
      </c>
    </row>
    <row r="281" spans="7:8" x14ac:dyDescent="0.25">
      <c r="G281" s="2" t="str">
        <f ca="1">IFERROR(__xludf.DUMMYFUNCTION("""COMPUTED_VALUE"""),"American Gangster ")</f>
        <v>American Gangster </v>
      </c>
      <c r="H281" s="2">
        <v>30127620</v>
      </c>
    </row>
    <row r="282" spans="7:8" x14ac:dyDescent="0.25">
      <c r="G282" s="2" t="str">
        <f ca="1">IFERROR(__xludf.DUMMYFUNCTION("""COMPUTED_VALUE"""),"True Lies ")</f>
        <v>True Lies </v>
      </c>
      <c r="H282" s="2">
        <v>31282411</v>
      </c>
    </row>
    <row r="283" spans="7:8" x14ac:dyDescent="0.25">
      <c r="G283" s="2" t="str">
        <f ca="1">IFERROR(__xludf.DUMMYFUNCTION("""COMPUTED_VALUE"""),"The Taking of Pelham 1 2 3 ")</f>
        <v>The Taking of Pelham 1 2 3 </v>
      </c>
      <c r="H283" s="2">
        <v>-34547688</v>
      </c>
    </row>
    <row r="284" spans="7:8" x14ac:dyDescent="0.25">
      <c r="G284" s="2" t="str">
        <f ca="1">IFERROR(__xludf.DUMMYFUNCTION("""COMPUTED_VALUE"""),"Little Fockers ")</f>
        <v>Little Fockers </v>
      </c>
      <c r="H284" s="2">
        <v>48383780</v>
      </c>
    </row>
    <row r="285" spans="7:8" x14ac:dyDescent="0.25">
      <c r="G285" s="2" t="str">
        <f ca="1">IFERROR(__xludf.DUMMYFUNCTION("""COMPUTED_VALUE"""),"The Other Guys ")</f>
        <v>The Other Guys </v>
      </c>
      <c r="H285" s="2">
        <v>19219978</v>
      </c>
    </row>
    <row r="286" spans="7:8" x14ac:dyDescent="0.25">
      <c r="G286" s="2" t="str">
        <f ca="1">IFERROR(__xludf.DUMMYFUNCTION("""COMPUTED_VALUE"""),"Eraser ")</f>
        <v>Eraser </v>
      </c>
      <c r="H286" s="2">
        <v>1228120</v>
      </c>
    </row>
    <row r="287" spans="7:8" x14ac:dyDescent="0.25">
      <c r="G287" s="2" t="str">
        <f ca="1">IFERROR(__xludf.DUMMYFUNCTION("""COMPUTED_VALUE"""),"Django Unchained ")</f>
        <v>Django Unchained </v>
      </c>
      <c r="H287" s="2">
        <v>62804648</v>
      </c>
    </row>
    <row r="288" spans="7:8" x14ac:dyDescent="0.25">
      <c r="G288" s="2" t="str">
        <f ca="1">IFERROR(__xludf.DUMMYFUNCTION("""COMPUTED_VALUE"""),"The Hunchback of Notre Dame ")</f>
        <v>The Hunchback of Notre Dame </v>
      </c>
      <c r="H288" s="2">
        <v>117603</v>
      </c>
    </row>
    <row r="289" spans="7:8" x14ac:dyDescent="0.25">
      <c r="G289" s="2" t="str">
        <f ca="1">IFERROR(__xludf.DUMMYFUNCTION("""COMPUTED_VALUE"""),"The Emperor's New Groove ")</f>
        <v>The Emperor's New Groove </v>
      </c>
      <c r="H289" s="2">
        <v>-10703427</v>
      </c>
    </row>
    <row r="290" spans="7:8" x14ac:dyDescent="0.25">
      <c r="G290" s="2" t="str">
        <f ca="1">IFERROR(__xludf.DUMMYFUNCTION("""COMPUTED_VALUE"""),"The Expendables 2 ")</f>
        <v>The Expendables 2 </v>
      </c>
      <c r="H290" s="2">
        <v>-6982599</v>
      </c>
    </row>
    <row r="291" spans="7:8" x14ac:dyDescent="0.25">
      <c r="G291" s="2" t="str">
        <f ca="1">IFERROR(__xludf.DUMMYFUNCTION("""COMPUTED_VALUE"""),"National Treasure ")</f>
        <v>National Treasure </v>
      </c>
      <c r="H291" s="2">
        <v>73005002</v>
      </c>
    </row>
    <row r="292" spans="7:8" x14ac:dyDescent="0.25">
      <c r="G292" s="2" t="str">
        <f ca="1">IFERROR(__xludf.DUMMYFUNCTION("""COMPUTED_VALUE"""),"Eragon ")</f>
        <v>Eragon </v>
      </c>
      <c r="H292" s="2">
        <v>-24969837</v>
      </c>
    </row>
    <row r="293" spans="7:8" x14ac:dyDescent="0.25">
      <c r="G293" s="2" t="str">
        <f ca="1">IFERROR(__xludf.DUMMYFUNCTION("""COMPUTED_VALUE"""),"Where the Wild Things Are ")</f>
        <v>Where the Wild Things Are </v>
      </c>
      <c r="H293" s="2">
        <v>-22777816</v>
      </c>
    </row>
    <row r="294" spans="7:8" x14ac:dyDescent="0.25">
      <c r="G294" s="2" t="str">
        <f ca="1">IFERROR(__xludf.DUMMYFUNCTION("""COMPUTED_VALUE"""),"Epic ")</f>
        <v>Epic </v>
      </c>
      <c r="H294" s="2">
        <v>7515297</v>
      </c>
    </row>
    <row r="295" spans="7:8" x14ac:dyDescent="0.25">
      <c r="G295" s="2" t="str">
        <f ca="1">IFERROR(__xludf.DUMMYFUNCTION("""COMPUTED_VALUE"""),"The Tourist ")</f>
        <v>The Tourist </v>
      </c>
      <c r="H295" s="2">
        <v>-32368843</v>
      </c>
    </row>
    <row r="296" spans="7:8" x14ac:dyDescent="0.25">
      <c r="G296" s="2" t="str">
        <f ca="1">IFERROR(__xludf.DUMMYFUNCTION("""COMPUTED_VALUE"""),"End of Days ")</f>
        <v>End of Days </v>
      </c>
      <c r="H296" s="2">
        <v>-16137932</v>
      </c>
    </row>
    <row r="297" spans="7:8" x14ac:dyDescent="0.25">
      <c r="G297" s="2" t="str">
        <f ca="1">IFERROR(__xludf.DUMMYFUNCTION("""COMPUTED_VALUE"""),"Blood Diamond ")</f>
        <v>Blood Diamond </v>
      </c>
      <c r="H297" s="2">
        <v>-42633738</v>
      </c>
    </row>
    <row r="298" spans="7:8" x14ac:dyDescent="0.25">
      <c r="G298" s="2" t="str">
        <f ca="1">IFERROR(__xludf.DUMMYFUNCTION("""COMPUTED_VALUE"""),"The Wolf of Wall Street ")</f>
        <v>The Wolf of Wall Street </v>
      </c>
      <c r="H298" s="2">
        <v>16866727</v>
      </c>
    </row>
    <row r="299" spans="7:8" x14ac:dyDescent="0.25">
      <c r="G299" s="2" t="str">
        <f ca="1">IFERROR(__xludf.DUMMYFUNCTION("""COMPUTED_VALUE"""),"Batman Forever ")</f>
        <v>Batman Forever </v>
      </c>
      <c r="H299" s="2">
        <v>84031112</v>
      </c>
    </row>
    <row r="300" spans="7:8" x14ac:dyDescent="0.25">
      <c r="G300" s="2" t="str">
        <f ca="1">IFERROR(__xludf.DUMMYFUNCTION("""COMPUTED_VALUE"""),"Starship Troopers ")</f>
        <v>Starship Troopers </v>
      </c>
      <c r="H300" s="2">
        <v>-50299935</v>
      </c>
    </row>
    <row r="301" spans="7:8" x14ac:dyDescent="0.25">
      <c r="G301" s="2" t="str">
        <f ca="1">IFERROR(__xludf.DUMMYFUNCTION("""COMPUTED_VALUE"""),"Cloud Atlas ")</f>
        <v>Cloud Atlas </v>
      </c>
      <c r="H301" s="2">
        <v>-74901420</v>
      </c>
    </row>
    <row r="302" spans="7:8" x14ac:dyDescent="0.25">
      <c r="G302" s="2" t="str">
        <f ca="1">IFERROR(__xludf.DUMMYFUNCTION("""COMPUTED_VALUE"""),"Legend of the Guardians: The Owls of Ga'Hoole ")</f>
        <v>Legend of the Guardians: The Owls of Ga'Hoole </v>
      </c>
      <c r="H302" s="2">
        <v>-24326667</v>
      </c>
    </row>
    <row r="303" spans="7:8" x14ac:dyDescent="0.25">
      <c r="G303" s="2" t="str">
        <f ca="1">IFERROR(__xludf.DUMMYFUNCTION("""COMPUTED_VALUE"""),"Catwoman ")</f>
        <v>Catwoman </v>
      </c>
      <c r="H303" s="2">
        <v>-59801290</v>
      </c>
    </row>
    <row r="304" spans="7:8" x14ac:dyDescent="0.25">
      <c r="G304" s="2" t="str">
        <f ca="1">IFERROR(__xludf.DUMMYFUNCTION("""COMPUTED_VALUE"""),"Hercules ")</f>
        <v>Hercules </v>
      </c>
      <c r="H304" s="2">
        <v>-27339971</v>
      </c>
    </row>
    <row r="305" spans="7:8" x14ac:dyDescent="0.25">
      <c r="G305" s="2" t="str">
        <f ca="1">IFERROR(__xludf.DUMMYFUNCTION("""COMPUTED_VALUE"""),"Treasure Planet ")</f>
        <v>Treasure Planet </v>
      </c>
      <c r="H305" s="2">
        <v>-101879446</v>
      </c>
    </row>
    <row r="306" spans="7:8" x14ac:dyDescent="0.25">
      <c r="G306" s="2" t="str">
        <f ca="1">IFERROR(__xludf.DUMMYFUNCTION("""COMPUTED_VALUE"""),"Land of the Lost ")</f>
        <v>Land of the Lost </v>
      </c>
      <c r="H306" s="2">
        <v>-50607905</v>
      </c>
    </row>
    <row r="307" spans="7:8" x14ac:dyDescent="0.25">
      <c r="G307" s="2" t="str">
        <f ca="1">IFERROR(__xludf.DUMMYFUNCTION("""COMPUTED_VALUE"""),"The Expendables 3 ")</f>
        <v>The Expendables 3 </v>
      </c>
      <c r="H307" s="2">
        <v>-50707978</v>
      </c>
    </row>
    <row r="308" spans="7:8" x14ac:dyDescent="0.25">
      <c r="G308" s="2" t="str">
        <f ca="1">IFERROR(__xludf.DUMMYFUNCTION("""COMPUTED_VALUE"""),"Point Break ")</f>
        <v>Point Break </v>
      </c>
      <c r="H308" s="2">
        <v>-76227778</v>
      </c>
    </row>
    <row r="309" spans="7:8" x14ac:dyDescent="0.25">
      <c r="G309" s="2" t="str">
        <f ca="1">IFERROR(__xludf.DUMMYFUNCTION("""COMPUTED_VALUE"""),"Son of the Mask ")</f>
        <v>Son of the Mask </v>
      </c>
      <c r="H309" s="2">
        <v>-66989354</v>
      </c>
    </row>
    <row r="310" spans="7:8" x14ac:dyDescent="0.25">
      <c r="G310" s="2" t="str">
        <f ca="1">IFERROR(__xludf.DUMMYFUNCTION("""COMPUTED_VALUE"""),"In the Heart of the Sea ")</f>
        <v>In the Heart of the Sea </v>
      </c>
      <c r="H310" s="2">
        <v>-75014388</v>
      </c>
    </row>
    <row r="311" spans="7:8" x14ac:dyDescent="0.25">
      <c r="G311" s="2" t="str">
        <f ca="1">IFERROR(__xludf.DUMMYFUNCTION("""COMPUTED_VALUE"""),"The Adventures of Pluto Nash ")</f>
        <v>The Adventures of Pluto Nash </v>
      </c>
      <c r="H311" s="2">
        <v>-95588898</v>
      </c>
    </row>
    <row r="312" spans="7:8" x14ac:dyDescent="0.25">
      <c r="G312" s="2" t="str">
        <f ca="1">IFERROR(__xludf.DUMMYFUNCTION("""COMPUTED_VALUE"""),"Green Zone ")</f>
        <v>Green Zone </v>
      </c>
      <c r="H312" s="2">
        <v>-64975525</v>
      </c>
    </row>
    <row r="313" spans="7:8" x14ac:dyDescent="0.25">
      <c r="G313" s="2" t="str">
        <f ca="1">IFERROR(__xludf.DUMMYFUNCTION("""COMPUTED_VALUE"""),"The Peanuts Movie ")</f>
        <v>The Peanuts Movie </v>
      </c>
      <c r="H313" s="2">
        <v>31174897</v>
      </c>
    </row>
    <row r="314" spans="7:8" x14ac:dyDescent="0.25">
      <c r="G314" s="2" t="str">
        <f ca="1">IFERROR(__xludf.DUMMYFUNCTION("""COMPUTED_VALUE"""),"The Spanish Prisoner ")</f>
        <v>The Spanish Prisoner </v>
      </c>
      <c r="H314" s="2">
        <v>200000</v>
      </c>
    </row>
    <row r="315" spans="7:8" x14ac:dyDescent="0.25">
      <c r="G315" s="2" t="str">
        <f ca="1">IFERROR(__xludf.DUMMYFUNCTION("""COMPUTED_VALUE"""),"The Mummy Returns ")</f>
        <v>The Mummy Returns </v>
      </c>
      <c r="H315" s="2">
        <v>104007640</v>
      </c>
    </row>
    <row r="316" spans="7:8" x14ac:dyDescent="0.25">
      <c r="G316" s="2" t="str">
        <f ca="1">IFERROR(__xludf.DUMMYFUNCTION("""COMPUTED_VALUE"""),"Gangs of New York ")</f>
        <v>Gangs of New York </v>
      </c>
      <c r="H316" s="2">
        <v>-22320362</v>
      </c>
    </row>
    <row r="317" spans="7:8" x14ac:dyDescent="0.25">
      <c r="G317" s="2" t="str">
        <f ca="1">IFERROR(__xludf.DUMMYFUNCTION("""COMPUTED_VALUE"""),"The Flowers of War ")</f>
        <v>The Flowers of War </v>
      </c>
      <c r="H317" s="2">
        <v>-93990787</v>
      </c>
    </row>
    <row r="318" spans="7:8" x14ac:dyDescent="0.25">
      <c r="G318" s="2" t="str">
        <f ca="1">IFERROR(__xludf.DUMMYFUNCTION("""COMPUTED_VALUE"""),"Surf's Up ")</f>
        <v>Surf's Up </v>
      </c>
      <c r="H318" s="2">
        <v>-41132306</v>
      </c>
    </row>
    <row r="319" spans="7:8" x14ac:dyDescent="0.25">
      <c r="G319" s="2" t="str">
        <f ca="1">IFERROR(__xludf.DUMMYFUNCTION("""COMPUTED_VALUE"""),"The Stepford Wives ")</f>
        <v>The Stepford Wives </v>
      </c>
      <c r="H319" s="2">
        <v>-30524377</v>
      </c>
    </row>
    <row r="320" spans="7:8" x14ac:dyDescent="0.25">
      <c r="G320" s="2" t="str">
        <f ca="1">IFERROR(__xludf.DUMMYFUNCTION("""COMPUTED_VALUE"""),"Black Hawk Down ")</f>
        <v>Black Hawk Down </v>
      </c>
      <c r="H320" s="2">
        <v>16638745</v>
      </c>
    </row>
    <row r="321" spans="7:8" x14ac:dyDescent="0.25">
      <c r="G321" s="2" t="str">
        <f ca="1">IFERROR(__xludf.DUMMYFUNCTION("""COMPUTED_VALUE"""),"The Campaign ")</f>
        <v>The Campaign </v>
      </c>
      <c r="H321" s="2">
        <v>-8102818</v>
      </c>
    </row>
    <row r="322" spans="7:8" x14ac:dyDescent="0.25">
      <c r="G322" s="2" t="str">
        <f ca="1">IFERROR(__xludf.DUMMYFUNCTION("""COMPUTED_VALUE"""),"The Fifth Element ")</f>
        <v>The Fifth Element </v>
      </c>
      <c r="H322" s="2">
        <v>-29459980</v>
      </c>
    </row>
    <row r="323" spans="7:8" x14ac:dyDescent="0.25">
      <c r="G323" s="2" t="str">
        <f ca="1">IFERROR(__xludf.DUMMYFUNCTION("""COMPUTED_VALUE"""),"Sex and the City 2 ")</f>
        <v>Sex and the City 2 </v>
      </c>
      <c r="H323" s="2">
        <v>-4671063</v>
      </c>
    </row>
    <row r="324" spans="7:8" x14ac:dyDescent="0.25">
      <c r="G324" s="2" t="str">
        <f ca="1">IFERROR(__xludf.DUMMYFUNCTION("""COMPUTED_VALUE"""),"The Road to El Dorado ")</f>
        <v>The Road to El Dorado </v>
      </c>
      <c r="H324" s="2">
        <v>-44197339</v>
      </c>
    </row>
    <row r="325" spans="7:8" x14ac:dyDescent="0.25">
      <c r="G325" s="2" t="str">
        <f ca="1">IFERROR(__xludf.DUMMYFUNCTION("""COMPUTED_VALUE"""),"Ice Age: Continental Drift ")</f>
        <v>Ice Age: Continental Drift </v>
      </c>
      <c r="H325" s="2">
        <v>66317423</v>
      </c>
    </row>
    <row r="326" spans="7:8" x14ac:dyDescent="0.25">
      <c r="G326" s="2" t="str">
        <f ca="1">IFERROR(__xludf.DUMMYFUNCTION("""COMPUTED_VALUE"""),"Cinderella ")</f>
        <v>Cinderella </v>
      </c>
      <c r="H326" s="2">
        <v>106148159</v>
      </c>
    </row>
    <row r="327" spans="7:8" x14ac:dyDescent="0.25">
      <c r="G327" s="2" t="str">
        <f ca="1">IFERROR(__xludf.DUMMYFUNCTION("""COMPUTED_VALUE"""),"The Lovely Bones ")</f>
        <v>The Lovely Bones </v>
      </c>
      <c r="H327" s="2">
        <v>-21017158</v>
      </c>
    </row>
    <row r="328" spans="7:8" x14ac:dyDescent="0.25">
      <c r="G328" s="2" t="str">
        <f ca="1">IFERROR(__xludf.DUMMYFUNCTION("""COMPUTED_VALUE"""),"Finding Nemo ")</f>
        <v>Finding Nemo </v>
      </c>
      <c r="H328" s="2">
        <v>286838870</v>
      </c>
    </row>
    <row r="329" spans="7:8" x14ac:dyDescent="0.25">
      <c r="G329" s="2" t="str">
        <f ca="1">IFERROR(__xludf.DUMMYFUNCTION("""COMPUTED_VALUE"""),"The Lord of the Rings: The Return of the King ")</f>
        <v>The Lord of the Rings: The Return of the King </v>
      </c>
      <c r="H329" s="2">
        <v>283019252</v>
      </c>
    </row>
    <row r="330" spans="7:8" x14ac:dyDescent="0.25">
      <c r="G330" s="2" t="str">
        <f ca="1">IFERROR(__xludf.DUMMYFUNCTION("""COMPUTED_VALUE"""),"The Lord of the Rings: The Two Towers ")</f>
        <v>The Lord of the Rings: The Two Towers </v>
      </c>
      <c r="H330" s="2">
        <v>246478898</v>
      </c>
    </row>
    <row r="331" spans="7:8" x14ac:dyDescent="0.25">
      <c r="G331" s="2" t="str">
        <f ca="1">IFERROR(__xludf.DUMMYFUNCTION("""COMPUTED_VALUE"""),"Seventh Son ")</f>
        <v>Seventh Son </v>
      </c>
      <c r="H331" s="2">
        <v>-77823100</v>
      </c>
    </row>
    <row r="332" spans="7:8" x14ac:dyDescent="0.25">
      <c r="G332" s="2" t="str">
        <f ca="1">IFERROR(__xludf.DUMMYFUNCTION("""COMPUTED_VALUE"""),"Lara Croft: Tomb Raider ")</f>
        <v>Lara Croft: Tomb Raider </v>
      </c>
      <c r="H332" s="2">
        <v>16144183</v>
      </c>
    </row>
    <row r="333" spans="7:8" x14ac:dyDescent="0.25">
      <c r="G333" s="2" t="str">
        <f ca="1">IFERROR(__xludf.DUMMYFUNCTION("""COMPUTED_VALUE"""),"Transcendence ")</f>
        <v>Transcendence </v>
      </c>
      <c r="H333" s="2">
        <v>-76985496</v>
      </c>
    </row>
    <row r="334" spans="7:8" x14ac:dyDescent="0.25">
      <c r="G334" s="2" t="str">
        <f ca="1">IFERROR(__xludf.DUMMYFUNCTION("""COMPUTED_VALUE"""),"Jurassic Park III ")</f>
        <v>Jurassic Park III </v>
      </c>
      <c r="H334" s="2">
        <v>88166115</v>
      </c>
    </row>
    <row r="335" spans="7:8" x14ac:dyDescent="0.25">
      <c r="G335" s="2" t="str">
        <f ca="1">IFERROR(__xludf.DUMMYFUNCTION("""COMPUTED_VALUE"""),"Rise of the Planet of the Apes ")</f>
        <v>Rise of the Planet of the Apes </v>
      </c>
      <c r="H335" s="2">
        <v>83740650</v>
      </c>
    </row>
    <row r="336" spans="7:8" x14ac:dyDescent="0.25">
      <c r="G336" s="2" t="str">
        <f ca="1">IFERROR(__xludf.DUMMYFUNCTION("""COMPUTED_VALUE"""),"The Spiderwick Chronicles ")</f>
        <v>The Spiderwick Chronicles </v>
      </c>
      <c r="H336" s="2">
        <v>-18851301</v>
      </c>
    </row>
    <row r="337" spans="7:8" x14ac:dyDescent="0.25">
      <c r="G337" s="2" t="str">
        <f ca="1">IFERROR(__xludf.DUMMYFUNCTION("""COMPUTED_VALUE"""),"A Good Day to Die Hard ")</f>
        <v>A Good Day to Die Hard </v>
      </c>
      <c r="H337" s="2">
        <v>-24655608</v>
      </c>
    </row>
    <row r="338" spans="7:8" x14ac:dyDescent="0.25">
      <c r="G338" s="2" t="str">
        <f ca="1">IFERROR(__xludf.DUMMYFUNCTION("""COMPUTED_VALUE"""),"The Alamo ")</f>
        <v>The Alamo </v>
      </c>
      <c r="H338" s="2">
        <v>-84593638</v>
      </c>
    </row>
    <row r="339" spans="7:8" x14ac:dyDescent="0.25">
      <c r="G339" s="2" t="str">
        <f ca="1">IFERROR(__xludf.DUMMYFUNCTION("""COMPUTED_VALUE"""),"The Incredibles ")</f>
        <v>The Incredibles </v>
      </c>
      <c r="H339" s="2">
        <v>169437578</v>
      </c>
    </row>
    <row r="340" spans="7:8" x14ac:dyDescent="0.25">
      <c r="G340" s="2" t="str">
        <f ca="1">IFERROR(__xludf.DUMMYFUNCTION("""COMPUTED_VALUE"""),"Cutthroat Island ")</f>
        <v>Cutthroat Island </v>
      </c>
      <c r="H340" s="2">
        <v>-87000000</v>
      </c>
    </row>
    <row r="341" spans="7:8" x14ac:dyDescent="0.25">
      <c r="G341" s="2" t="str">
        <f ca="1">IFERROR(__xludf.DUMMYFUNCTION("""COMPUTED_VALUE"""),"Percy Jackson &amp; the Olympians: The Lightning Thief ")</f>
        <v>Percy Jackson &amp; the Olympians: The Lightning Thief </v>
      </c>
      <c r="H341" s="2">
        <v>-6238280</v>
      </c>
    </row>
    <row r="342" spans="7:8" x14ac:dyDescent="0.25">
      <c r="G342" s="2" t="str">
        <f ca="1">IFERROR(__xludf.DUMMYFUNCTION("""COMPUTED_VALUE"""),"Men in Black ")</f>
        <v>Men in Black </v>
      </c>
      <c r="H342" s="2">
        <v>160147615</v>
      </c>
    </row>
    <row r="343" spans="7:8" x14ac:dyDescent="0.25">
      <c r="G343" s="2" t="str">
        <f ca="1">IFERROR(__xludf.DUMMYFUNCTION("""COMPUTED_VALUE"""),"Toy Story 2 ")</f>
        <v>Toy Story 2 </v>
      </c>
      <c r="H343" s="2">
        <v>155823397</v>
      </c>
    </row>
    <row r="344" spans="7:8" x14ac:dyDescent="0.25">
      <c r="G344" s="2" t="str">
        <f ca="1">IFERROR(__xludf.DUMMYFUNCTION("""COMPUTED_VALUE"""),"Unstoppable ")</f>
        <v>Unstoppable </v>
      </c>
      <c r="H344" s="2">
        <v>-18442521</v>
      </c>
    </row>
    <row r="345" spans="7:8" x14ac:dyDescent="0.25">
      <c r="G345" s="2" t="str">
        <f ca="1">IFERROR(__xludf.DUMMYFUNCTION("""COMPUTED_VALUE"""),"Rush Hour 2 ")</f>
        <v>Rush Hour 2 </v>
      </c>
      <c r="H345" s="2">
        <v>136138454</v>
      </c>
    </row>
    <row r="346" spans="7:8" x14ac:dyDescent="0.25">
      <c r="G346" s="2" t="str">
        <f ca="1">IFERROR(__xludf.DUMMYFUNCTION("""COMPUTED_VALUE"""),"What Lies Beneath ")</f>
        <v>What Lies Beneath </v>
      </c>
      <c r="H346" s="2">
        <v>55370362</v>
      </c>
    </row>
    <row r="347" spans="7:8" x14ac:dyDescent="0.25">
      <c r="G347" s="2" t="str">
        <f ca="1">IFERROR(__xludf.DUMMYFUNCTION("""COMPUTED_VALUE"""),"Cloudy with a Chance of Meatballs ")</f>
        <v>Cloudy with a Chance of Meatballs </v>
      </c>
      <c r="H347" s="2">
        <v>24870275</v>
      </c>
    </row>
    <row r="348" spans="7:8" x14ac:dyDescent="0.25">
      <c r="G348" s="2" t="str">
        <f ca="1">IFERROR(__xludf.DUMMYFUNCTION("""COMPUTED_VALUE"""),"Ice Age: Dawn of the Dinosaurs ")</f>
        <v>Ice Age: Dawn of the Dinosaurs </v>
      </c>
      <c r="H348" s="2">
        <v>106573705</v>
      </c>
    </row>
    <row r="349" spans="7:8" x14ac:dyDescent="0.25">
      <c r="G349" s="2" t="str">
        <f ca="1">IFERROR(__xludf.DUMMYFUNCTION("""COMPUTED_VALUE"""),"The Secret Life of Walter Mitty ")</f>
        <v>The Secret Life of Walter Mitty </v>
      </c>
      <c r="H349" s="2">
        <v>-31770880</v>
      </c>
    </row>
    <row r="350" spans="7:8" x14ac:dyDescent="0.25">
      <c r="G350" s="2" t="str">
        <f ca="1">IFERROR(__xludf.DUMMYFUNCTION("""COMPUTED_VALUE"""),"Charlie's Angels ")</f>
        <v>Charlie's Angels </v>
      </c>
      <c r="H350" s="2">
        <v>33305545</v>
      </c>
    </row>
    <row r="351" spans="7:8" x14ac:dyDescent="0.25">
      <c r="G351" s="2" t="str">
        <f ca="1">IFERROR(__xludf.DUMMYFUNCTION("""COMPUTED_VALUE"""),"The Departed ")</f>
        <v>The Departed </v>
      </c>
      <c r="H351" s="2">
        <v>42373442</v>
      </c>
    </row>
    <row r="352" spans="7:8" x14ac:dyDescent="0.25">
      <c r="G352" s="2" t="str">
        <f ca="1">IFERROR(__xludf.DUMMYFUNCTION("""COMPUTED_VALUE"""),"Mulan ")</f>
        <v>Mulan </v>
      </c>
      <c r="H352" s="2">
        <v>30618403</v>
      </c>
    </row>
    <row r="353" spans="7:8" x14ac:dyDescent="0.25">
      <c r="G353" s="2" t="str">
        <f ca="1">IFERROR(__xludf.DUMMYFUNCTION("""COMPUTED_VALUE"""),"Tropic Thunder ")</f>
        <v>Tropic Thunder </v>
      </c>
      <c r="H353" s="2">
        <v>18416702</v>
      </c>
    </row>
    <row r="354" spans="7:8" x14ac:dyDescent="0.25">
      <c r="G354" s="2" t="str">
        <f ca="1">IFERROR(__xludf.DUMMYFUNCTION("""COMPUTED_VALUE"""),"The Girl with the Dragon Tattoo ")</f>
        <v>The Girl with the Dragon Tattoo </v>
      </c>
      <c r="H354" s="2">
        <v>12515793</v>
      </c>
    </row>
    <row r="355" spans="7:8" x14ac:dyDescent="0.25">
      <c r="G355" s="2" t="str">
        <f ca="1">IFERROR(__xludf.DUMMYFUNCTION("""COMPUTED_VALUE"""),"Die Hard with a Vengeance ")</f>
        <v>Die Hard with a Vengeance </v>
      </c>
      <c r="H355" s="2">
        <v>10012500</v>
      </c>
    </row>
    <row r="356" spans="7:8" x14ac:dyDescent="0.25">
      <c r="G356" s="2" t="str">
        <f ca="1">IFERROR(__xludf.DUMMYFUNCTION("""COMPUTED_VALUE"""),"Sherlock Holmes ")</f>
        <v>Sherlock Holmes </v>
      </c>
      <c r="H356" s="2">
        <v>119019489</v>
      </c>
    </row>
    <row r="357" spans="7:8" x14ac:dyDescent="0.25">
      <c r="G357" s="2" t="str">
        <f ca="1">IFERROR(__xludf.DUMMYFUNCTION("""COMPUTED_VALUE"""),"Atlantis: The Lost Empire ")</f>
        <v>Atlantis: The Lost Empire </v>
      </c>
      <c r="H357" s="2">
        <v>-35962961</v>
      </c>
    </row>
    <row r="358" spans="7:8" x14ac:dyDescent="0.25">
      <c r="G358" s="2" t="str">
        <f ca="1">IFERROR(__xludf.DUMMYFUNCTION("""COMPUTED_VALUE"""),"Alvin and the Chipmunks: The Road Chip ")</f>
        <v>Alvin and the Chipmunks: The Road Chip </v>
      </c>
      <c r="H358" s="2">
        <v>-4115185</v>
      </c>
    </row>
    <row r="359" spans="7:8" x14ac:dyDescent="0.25">
      <c r="G359" s="2" t="str">
        <f ca="1">IFERROR(__xludf.DUMMYFUNCTION("""COMPUTED_VALUE"""),"Valkyrie ")</f>
        <v>Valkyrie </v>
      </c>
      <c r="H359" s="2">
        <v>8077470</v>
      </c>
    </row>
    <row r="360" spans="7:8" x14ac:dyDescent="0.25">
      <c r="G360" s="2" t="str">
        <f ca="1">IFERROR(__xludf.DUMMYFUNCTION("""COMPUTED_VALUE"""),"You Don't Mess with the Zohan ")</f>
        <v>You Don't Mess with the Zohan </v>
      </c>
      <c r="H360" s="2">
        <v>10018837</v>
      </c>
    </row>
    <row r="361" spans="7:8" x14ac:dyDescent="0.25">
      <c r="G361" s="2" t="str">
        <f ca="1">IFERROR(__xludf.DUMMYFUNCTION("""COMPUTED_VALUE"""),"Pixels ")</f>
        <v>Pixels </v>
      </c>
      <c r="H361" s="2">
        <v>-9252415</v>
      </c>
    </row>
    <row r="362" spans="7:8" x14ac:dyDescent="0.25">
      <c r="G362" s="2" t="str">
        <f ca="1">IFERROR(__xludf.DUMMYFUNCTION("""COMPUTED_VALUE"""),"A.I. Artificial Intelligence ")</f>
        <v>A.I. Artificial Intelligence </v>
      </c>
      <c r="H362" s="2">
        <v>-21383311</v>
      </c>
    </row>
    <row r="363" spans="7:8" x14ac:dyDescent="0.25">
      <c r="G363" s="2" t="str">
        <f ca="1">IFERROR(__xludf.DUMMYFUNCTION("""COMPUTED_VALUE"""),"The Haunted Mansion ")</f>
        <v>The Haunted Mansion </v>
      </c>
      <c r="H363" s="2">
        <v>-14182006</v>
      </c>
    </row>
    <row r="364" spans="7:8" x14ac:dyDescent="0.25">
      <c r="G364" s="2" t="str">
        <f ca="1">IFERROR(__xludf.DUMMYFUNCTION("""COMPUTED_VALUE"""),"Contact ")</f>
        <v>Contact </v>
      </c>
      <c r="H364" s="2">
        <v>10853835</v>
      </c>
    </row>
    <row r="365" spans="7:8" x14ac:dyDescent="0.25">
      <c r="G365" s="2" t="str">
        <f ca="1">IFERROR(__xludf.DUMMYFUNCTION("""COMPUTED_VALUE"""),"Hollow Man ")</f>
        <v>Hollow Man </v>
      </c>
      <c r="H365" s="2">
        <v>-21790660</v>
      </c>
    </row>
    <row r="366" spans="7:8" x14ac:dyDescent="0.25">
      <c r="G366" s="2" t="str">
        <f ca="1">IFERROR(__xludf.DUMMYFUNCTION("""COMPUTED_VALUE"""),"The Interpreter ")</f>
        <v>The Interpreter </v>
      </c>
      <c r="H366" s="2">
        <v>-7484640</v>
      </c>
    </row>
    <row r="367" spans="7:8" x14ac:dyDescent="0.25">
      <c r="G367" s="2" t="str">
        <f ca="1">IFERROR(__xludf.DUMMYFUNCTION("""COMPUTED_VALUE"""),"Percy Jackson: Sea of Monsters ")</f>
        <v>Percy Jackson: Sea of Monsters </v>
      </c>
      <c r="H367" s="2">
        <v>-21441338</v>
      </c>
    </row>
    <row r="368" spans="7:8" x14ac:dyDescent="0.25">
      <c r="G368" s="2" t="str">
        <f ca="1">IFERROR(__xludf.DUMMYFUNCTION("""COMPUTED_VALUE"""),"Lara Croft Tomb Raider: The Cradle of Life ")</f>
        <v>Lara Croft Tomb Raider: The Cradle of Life </v>
      </c>
      <c r="H368" s="2">
        <v>-29346242</v>
      </c>
    </row>
    <row r="369" spans="7:8" x14ac:dyDescent="0.25">
      <c r="G369" s="2" t="str">
        <f ca="1">IFERROR(__xludf.DUMMYFUNCTION("""COMPUTED_VALUE"""),"Now You See Me 2 ")</f>
        <v>Now You See Me 2 </v>
      </c>
      <c r="H369" s="2">
        <v>-25314641</v>
      </c>
    </row>
    <row r="370" spans="7:8" x14ac:dyDescent="0.25">
      <c r="G370" s="2" t="str">
        <f ca="1">IFERROR(__xludf.DUMMYFUNCTION("""COMPUTED_VALUE"""),"The Saint ")</f>
        <v>The Saint </v>
      </c>
      <c r="H370" s="2">
        <v>-6644564</v>
      </c>
    </row>
    <row r="371" spans="7:8" x14ac:dyDescent="0.25">
      <c r="G371" s="2" t="str">
        <f ca="1">IFERROR(__xludf.DUMMYFUNCTION("""COMPUTED_VALUE"""),"Spy Game ")</f>
        <v>Spy Game </v>
      </c>
      <c r="H371" s="2">
        <v>-91973129</v>
      </c>
    </row>
    <row r="372" spans="7:8" x14ac:dyDescent="0.25">
      <c r="G372" s="2" t="str">
        <f ca="1">IFERROR(__xludf.DUMMYFUNCTION("""COMPUTED_VALUE"""),"Mission to Mars ")</f>
        <v>Mission to Mars </v>
      </c>
      <c r="H372" s="2">
        <v>-29125385</v>
      </c>
    </row>
    <row r="373" spans="7:8" x14ac:dyDescent="0.25">
      <c r="G373" s="2" t="str">
        <f ca="1">IFERROR(__xludf.DUMMYFUNCTION("""COMPUTED_VALUE"""),"Rio ")</f>
        <v>Rio </v>
      </c>
      <c r="H373" s="2">
        <v>53618384</v>
      </c>
    </row>
    <row r="374" spans="7:8" x14ac:dyDescent="0.25">
      <c r="G374" s="2" t="str">
        <f ca="1">IFERROR(__xludf.DUMMYFUNCTION("""COMPUTED_VALUE"""),"Bicentennial Man ")</f>
        <v>Bicentennial Man </v>
      </c>
      <c r="H374" s="2">
        <v>-41779224</v>
      </c>
    </row>
    <row r="375" spans="7:8" x14ac:dyDescent="0.25">
      <c r="G375" s="2" t="str">
        <f ca="1">IFERROR(__xludf.DUMMYFUNCTION("""COMPUTED_VALUE"""),"Volcano ")</f>
        <v>Volcano </v>
      </c>
      <c r="H375" s="2">
        <v>-42525888</v>
      </c>
    </row>
    <row r="376" spans="7:8" x14ac:dyDescent="0.25">
      <c r="G376" s="2" t="str">
        <f ca="1">IFERROR(__xludf.DUMMYFUNCTION("""COMPUTED_VALUE"""),"The Devil's Own ")</f>
        <v>The Devil's Own </v>
      </c>
      <c r="H376" s="2">
        <v>-43122835</v>
      </c>
    </row>
    <row r="377" spans="7:8" x14ac:dyDescent="0.25">
      <c r="G377" s="2" t="str">
        <f ca="1">IFERROR(__xludf.DUMMYFUNCTION("""COMPUTED_VALUE"""),"K-19: The Widowmaker ")</f>
        <v>K-19: The Widowmaker </v>
      </c>
      <c r="H377" s="2">
        <v>-64831323</v>
      </c>
    </row>
    <row r="378" spans="7:8" x14ac:dyDescent="0.25">
      <c r="G378" s="2" t="str">
        <f ca="1">IFERROR(__xludf.DUMMYFUNCTION("""COMPUTED_VALUE"""),"Conan the Barbarian ")</f>
        <v>Conan the Barbarian </v>
      </c>
      <c r="H378" s="2">
        <v>17567440</v>
      </c>
    </row>
    <row r="379" spans="7:8" x14ac:dyDescent="0.25">
      <c r="G379" s="2" t="str">
        <f ca="1">IFERROR(__xludf.DUMMYFUNCTION("""COMPUTED_VALUE"""),"Cinderella Man ")</f>
        <v>Cinderella Man </v>
      </c>
      <c r="H379" s="2">
        <v>-26355679</v>
      </c>
    </row>
    <row r="380" spans="7:8" x14ac:dyDescent="0.25">
      <c r="G380" s="2" t="str">
        <f ca="1">IFERROR(__xludf.DUMMYFUNCTION("""COMPUTED_VALUE"""),"The Nutcracker in 3D ")</f>
        <v>The Nutcracker in 3D </v>
      </c>
      <c r="H380" s="2">
        <v>-89809438</v>
      </c>
    </row>
    <row r="381" spans="7:8" x14ac:dyDescent="0.25">
      <c r="G381" s="2" t="str">
        <f ca="1">IFERROR(__xludf.DUMMYFUNCTION("""COMPUTED_VALUE"""),"Seabiscuit ")</f>
        <v>Seabiscuit </v>
      </c>
      <c r="H381" s="2">
        <v>33147445</v>
      </c>
    </row>
    <row r="382" spans="7:8" x14ac:dyDescent="0.25">
      <c r="G382" s="2" t="str">
        <f ca="1">IFERROR(__xludf.DUMMYFUNCTION("""COMPUTED_VALUE"""),"Twister ")</f>
        <v>Twister </v>
      </c>
      <c r="H382" s="2">
        <v>149688385</v>
      </c>
    </row>
    <row r="383" spans="7:8" x14ac:dyDescent="0.25">
      <c r="G383" s="2" t="str">
        <f ca="1">IFERROR(__xludf.DUMMYFUNCTION("""COMPUTED_VALUE"""),"Cast Away ")</f>
        <v>Cast Away </v>
      </c>
      <c r="H383" s="2">
        <v>143630478</v>
      </c>
    </row>
    <row r="384" spans="7:8" x14ac:dyDescent="0.25">
      <c r="G384" s="2" t="str">
        <f ca="1">IFERROR(__xludf.DUMMYFUNCTION("""COMPUTED_VALUE"""),"Happy Feet ")</f>
        <v>Happy Feet </v>
      </c>
      <c r="H384" s="2">
        <v>97992827</v>
      </c>
    </row>
    <row r="385" spans="7:8" x14ac:dyDescent="0.25">
      <c r="G385" s="2" t="str">
        <f ca="1">IFERROR(__xludf.DUMMYFUNCTION("""COMPUTED_VALUE"""),"The Bourne Supremacy ")</f>
        <v>The Bourne Supremacy </v>
      </c>
      <c r="H385" s="2">
        <v>101049130</v>
      </c>
    </row>
    <row r="386" spans="7:8" x14ac:dyDescent="0.25">
      <c r="G386" s="2" t="str">
        <f ca="1">IFERROR(__xludf.DUMMYFUNCTION("""COMPUTED_VALUE"""),"Air Force One ")</f>
        <v>Air Force One </v>
      </c>
      <c r="H386" s="2">
        <v>87620724</v>
      </c>
    </row>
    <row r="387" spans="7:8" x14ac:dyDescent="0.25">
      <c r="G387" s="2" t="str">
        <f ca="1">IFERROR(__xludf.DUMMYFUNCTION("""COMPUTED_VALUE"""),"Ocean's Eleven ")</f>
        <v>Ocean's Eleven </v>
      </c>
      <c r="H387" s="2">
        <v>98405771</v>
      </c>
    </row>
    <row r="388" spans="7:8" x14ac:dyDescent="0.25">
      <c r="G388" s="2" t="str">
        <f ca="1">IFERROR(__xludf.DUMMYFUNCTION("""COMPUTED_VALUE"""),"The Three Musketeers ")</f>
        <v>The Three Musketeers </v>
      </c>
      <c r="H388" s="2">
        <v>-54684676</v>
      </c>
    </row>
    <row r="389" spans="7:8" x14ac:dyDescent="0.25">
      <c r="G389" s="2" t="str">
        <f ca="1">IFERROR(__xludf.DUMMYFUNCTION("""COMPUTED_VALUE"""),"Hotel Transylvania ")</f>
        <v>Hotel Transylvania </v>
      </c>
      <c r="H389" s="2">
        <v>63313048</v>
      </c>
    </row>
    <row r="390" spans="7:8" x14ac:dyDescent="0.25">
      <c r="G390" s="2" t="str">
        <f ca="1">IFERROR(__xludf.DUMMYFUNCTION("""COMPUTED_VALUE"""),"Enchanted ")</f>
        <v>Enchanted </v>
      </c>
      <c r="H390" s="2">
        <v>42706877</v>
      </c>
    </row>
    <row r="391" spans="7:8" x14ac:dyDescent="0.25">
      <c r="G391" s="2" t="str">
        <f ca="1">IFERROR(__xludf.DUMMYFUNCTION("""COMPUTED_VALUE"""),"Safe House ")</f>
        <v>Safe House </v>
      </c>
      <c r="H391" s="2">
        <v>41149655</v>
      </c>
    </row>
    <row r="392" spans="7:8" x14ac:dyDescent="0.25">
      <c r="G392" s="2" t="str">
        <f ca="1">IFERROR(__xludf.DUMMYFUNCTION("""COMPUTED_VALUE"""),"102 Dalmatians ")</f>
        <v>102 Dalmatians </v>
      </c>
      <c r="H392" s="2">
        <v>-18058441</v>
      </c>
    </row>
    <row r="393" spans="7:8" x14ac:dyDescent="0.25">
      <c r="G393" s="2" t="str">
        <f ca="1">IFERROR(__xludf.DUMMYFUNCTION("""COMPUTED_VALUE"""),"Tower Heist ")</f>
        <v>Tower Heist </v>
      </c>
      <c r="H393" s="2">
        <v>3009155</v>
      </c>
    </row>
    <row r="394" spans="7:8" x14ac:dyDescent="0.25">
      <c r="G394" s="2" t="str">
        <f ca="1">IFERROR(__xludf.DUMMYFUNCTION("""COMPUTED_VALUE"""),"The Holiday ")</f>
        <v>The Holiday </v>
      </c>
      <c r="H394" s="2">
        <v>-21775151</v>
      </c>
    </row>
    <row r="395" spans="7:8" x14ac:dyDescent="0.25">
      <c r="G395" s="2" t="str">
        <f ca="1">IFERROR(__xludf.DUMMYFUNCTION("""COMPUTED_VALUE"""),"Enemy of the State ")</f>
        <v>Enemy of the State </v>
      </c>
      <c r="H395" s="2">
        <v>21544445</v>
      </c>
    </row>
    <row r="396" spans="7:8" x14ac:dyDescent="0.25">
      <c r="G396" s="2" t="str">
        <f ca="1">IFERROR(__xludf.DUMMYFUNCTION("""COMPUTED_VALUE"""),"It's Complicated ")</f>
        <v>It's Complicated </v>
      </c>
      <c r="H396" s="2">
        <v>27703470</v>
      </c>
    </row>
    <row r="397" spans="7:8" x14ac:dyDescent="0.25">
      <c r="G397" s="2" t="str">
        <f ca="1">IFERROR(__xludf.DUMMYFUNCTION("""COMPUTED_VALUE"""),"Ocean's Thirteen ")</f>
        <v>Ocean's Thirteen </v>
      </c>
      <c r="H397" s="2">
        <v>32144465</v>
      </c>
    </row>
    <row r="398" spans="7:8" x14ac:dyDescent="0.25">
      <c r="G398" s="2" t="str">
        <f ca="1">IFERROR(__xludf.DUMMYFUNCTION("""COMPUTED_VALUE"""),"Open Season ")</f>
        <v>Open Season </v>
      </c>
      <c r="H398" s="2">
        <v>-696442</v>
      </c>
    </row>
    <row r="399" spans="7:8" x14ac:dyDescent="0.25">
      <c r="G399" s="2" t="str">
        <f ca="1">IFERROR(__xludf.DUMMYFUNCTION("""COMPUTED_VALUE"""),"Divergent ")</f>
        <v>Divergent </v>
      </c>
      <c r="H399" s="2">
        <v>65832203</v>
      </c>
    </row>
    <row r="400" spans="7:8" x14ac:dyDescent="0.25">
      <c r="G400" s="2" t="str">
        <f ca="1">IFERROR(__xludf.DUMMYFUNCTION("""COMPUTED_VALUE"""),"Enemy at the Gates ")</f>
        <v>Enemy at the Gates </v>
      </c>
      <c r="H400" s="2">
        <v>-16603219</v>
      </c>
    </row>
    <row r="401" spans="7:8" x14ac:dyDescent="0.25">
      <c r="G401" s="2" t="str">
        <f ca="1">IFERROR(__xludf.DUMMYFUNCTION("""COMPUTED_VALUE"""),"The Rundown ")</f>
        <v>The Rundown </v>
      </c>
      <c r="H401" s="2">
        <v>-37407175</v>
      </c>
    </row>
    <row r="402" spans="7:8" x14ac:dyDescent="0.25">
      <c r="G402" s="2" t="str">
        <f ca="1">IFERROR(__xludf.DUMMYFUNCTION("""COMPUTED_VALUE"""),"Last Action Hero ")</f>
        <v>Last Action Hero </v>
      </c>
      <c r="H402" s="2">
        <v>-19983606</v>
      </c>
    </row>
    <row r="403" spans="7:8" x14ac:dyDescent="0.25">
      <c r="G403" s="2" t="str">
        <f ca="1">IFERROR(__xludf.DUMMYFUNCTION("""COMPUTED_VALUE"""),"Memoirs of a Geisha ")</f>
        <v>Memoirs of a Geisha </v>
      </c>
      <c r="H403" s="2">
        <v>-27989147</v>
      </c>
    </row>
    <row r="404" spans="7:8" x14ac:dyDescent="0.25">
      <c r="G404" s="2" t="str">
        <f ca="1">IFERROR(__xludf.DUMMYFUNCTION("""COMPUTED_VALUE"""),"The Fast and the Furious: Tokyo Drift ")</f>
        <v>The Fast and the Furious: Tokyo Drift </v>
      </c>
      <c r="H404" s="2">
        <v>-22505025</v>
      </c>
    </row>
    <row r="405" spans="7:8" x14ac:dyDescent="0.25">
      <c r="G405" s="2" t="str">
        <f ca="1">IFERROR(__xludf.DUMMYFUNCTION("""COMPUTED_VALUE"""),"Arthur Christmas ")</f>
        <v>Arthur Christmas </v>
      </c>
      <c r="H405" s="2">
        <v>-53559509</v>
      </c>
    </row>
    <row r="406" spans="7:8" x14ac:dyDescent="0.25">
      <c r="G406" s="2" t="str">
        <f ca="1">IFERROR(__xludf.DUMMYFUNCTION("""COMPUTED_VALUE"""),"Meet Joe Black ")</f>
        <v>Meet Joe Black </v>
      </c>
      <c r="H406" s="2">
        <v>-45393665</v>
      </c>
    </row>
    <row r="407" spans="7:8" x14ac:dyDescent="0.25">
      <c r="G407" s="2" t="str">
        <f ca="1">IFERROR(__xludf.DUMMYFUNCTION("""COMPUTED_VALUE"""),"Collateral Damage ")</f>
        <v>Collateral Damage </v>
      </c>
      <c r="H407" s="2">
        <v>-44951668</v>
      </c>
    </row>
    <row r="408" spans="7:8" x14ac:dyDescent="0.25">
      <c r="G408" s="2" t="str">
        <f ca="1">IFERROR(__xludf.DUMMYFUNCTION("""COMPUTED_VALUE"""),"Mirror Mirror ")</f>
        <v>Mirror Mirror </v>
      </c>
      <c r="H408" s="2">
        <v>-20066330</v>
      </c>
    </row>
    <row r="409" spans="7:8" x14ac:dyDescent="0.25">
      <c r="G409" s="2" t="str">
        <f ca="1">IFERROR(__xludf.DUMMYFUNCTION("""COMPUTED_VALUE"""),"Scott Pilgrim vs. the World ")</f>
        <v>Scott Pilgrim vs. the World </v>
      </c>
      <c r="H409" s="2">
        <v>-28505730</v>
      </c>
    </row>
    <row r="410" spans="7:8" x14ac:dyDescent="0.25">
      <c r="G410" s="2" t="str">
        <f ca="1">IFERROR(__xludf.DUMMYFUNCTION("""COMPUTED_VALUE"""),"The Core ")</f>
        <v>The Core </v>
      </c>
      <c r="H410" s="2">
        <v>-28888740</v>
      </c>
    </row>
    <row r="411" spans="7:8" x14ac:dyDescent="0.25">
      <c r="G411" s="2" t="str">
        <f ca="1">IFERROR(__xludf.DUMMYFUNCTION("""COMPUTED_VALUE"""),"Nutty Professor II: The Klumps ")</f>
        <v>Nutty Professor II: The Klumps </v>
      </c>
      <c r="H411" s="2">
        <v>58307945</v>
      </c>
    </row>
    <row r="412" spans="7:8" x14ac:dyDescent="0.25">
      <c r="G412" s="2" t="str">
        <f ca="1">IFERROR(__xludf.DUMMYFUNCTION("""COMPUTED_VALUE"""),"Scooby-Doo ")</f>
        <v>Scooby-Doo </v>
      </c>
      <c r="H412" s="2">
        <v>69288182</v>
      </c>
    </row>
    <row r="413" spans="7:8" x14ac:dyDescent="0.25">
      <c r="G413" s="2" t="str">
        <f ca="1">IFERROR(__xludf.DUMMYFUNCTION("""COMPUTED_VALUE"""),"Dredd ")</f>
        <v>Dredd </v>
      </c>
      <c r="H413" s="2">
        <v>-21598317</v>
      </c>
    </row>
    <row r="414" spans="7:8" x14ac:dyDescent="0.25">
      <c r="G414" s="2" t="str">
        <f ca="1">IFERROR(__xludf.DUMMYFUNCTION("""COMPUTED_VALUE"""),"Click ")</f>
        <v>Click </v>
      </c>
      <c r="H414" s="2">
        <v>67340146</v>
      </c>
    </row>
    <row r="415" spans="7:8" x14ac:dyDescent="0.25">
      <c r="G415" s="2" t="str">
        <f ca="1">IFERROR(__xludf.DUMMYFUNCTION("""COMPUTED_VALUE"""),"Cats &amp; Dogs: The Revenge of Kitty Galore ")</f>
        <v>Cats &amp; Dogs: The Revenge of Kitty Galore </v>
      </c>
      <c r="H415" s="2">
        <v>-41424284</v>
      </c>
    </row>
    <row r="416" spans="7:8" x14ac:dyDescent="0.25">
      <c r="G416" s="2" t="str">
        <f ca="1">IFERROR(__xludf.DUMMYFUNCTION("""COMPUTED_VALUE"""),"Jumper ")</f>
        <v>Jumper </v>
      </c>
      <c r="H416" s="2">
        <v>-4829854</v>
      </c>
    </row>
    <row r="417" spans="7:8" x14ac:dyDescent="0.25">
      <c r="G417" s="2" t="str">
        <f ca="1">IFERROR(__xludf.DUMMYFUNCTION("""COMPUTED_VALUE"""),"Hellboy II: The Golden Army ")</f>
        <v>Hellboy II: The Golden Army </v>
      </c>
      <c r="H417" s="2">
        <v>-9245330</v>
      </c>
    </row>
    <row r="418" spans="7:8" x14ac:dyDescent="0.25">
      <c r="G418" s="2" t="str">
        <f ca="1">IFERROR(__xludf.DUMMYFUNCTION("""COMPUTED_VALUE"""),"Zodiac ")</f>
        <v>Zodiac </v>
      </c>
      <c r="H418" s="2">
        <v>-31951647</v>
      </c>
    </row>
    <row r="419" spans="7:8" x14ac:dyDescent="0.25">
      <c r="G419" s="2" t="str">
        <f ca="1">IFERROR(__xludf.DUMMYFUNCTION("""COMPUTED_VALUE"""),"The 6th Day ")</f>
        <v>The 6th Day </v>
      </c>
      <c r="H419" s="2">
        <v>-47456299</v>
      </c>
    </row>
    <row r="420" spans="7:8" x14ac:dyDescent="0.25">
      <c r="G420" s="2" t="str">
        <f ca="1">IFERROR(__xludf.DUMMYFUNCTION("""COMPUTED_VALUE"""),"Bruce Almighty ")</f>
        <v>Bruce Almighty </v>
      </c>
      <c r="H420" s="2">
        <v>161589580</v>
      </c>
    </row>
    <row r="421" spans="7:8" x14ac:dyDescent="0.25">
      <c r="G421" s="2" t="str">
        <f ca="1">IFERROR(__xludf.DUMMYFUNCTION("""COMPUTED_VALUE"""),"The Expendables ")</f>
        <v>The Expendables </v>
      </c>
      <c r="H421" s="2">
        <v>22981571</v>
      </c>
    </row>
    <row r="422" spans="7:8" x14ac:dyDescent="0.25">
      <c r="G422" s="2" t="str">
        <f ca="1">IFERROR(__xludf.DUMMYFUNCTION("""COMPUTED_VALUE"""),"Mission: Impossible ")</f>
        <v>Mission: Impossible </v>
      </c>
      <c r="H422" s="2">
        <v>100965237</v>
      </c>
    </row>
    <row r="423" spans="7:8" x14ac:dyDescent="0.25">
      <c r="G423" s="2" t="str">
        <f ca="1">IFERROR(__xludf.DUMMYFUNCTION("""COMPUTED_VALUE"""),"The Hunger Games ")</f>
        <v>The Hunger Games </v>
      </c>
      <c r="H423" s="2">
        <v>329999255</v>
      </c>
    </row>
    <row r="424" spans="7:8" x14ac:dyDescent="0.25">
      <c r="G424" s="2" t="str">
        <f ca="1">IFERROR(__xludf.DUMMYFUNCTION("""COMPUTED_VALUE"""),"The Hangover Part II ")</f>
        <v>The Hangover Part II </v>
      </c>
      <c r="H424" s="2">
        <v>174455986</v>
      </c>
    </row>
    <row r="425" spans="7:8" x14ac:dyDescent="0.25">
      <c r="G425" s="2" t="str">
        <f ca="1">IFERROR(__xludf.DUMMYFUNCTION("""COMPUTED_VALUE"""),"Batman Returns ")</f>
        <v>Batman Returns </v>
      </c>
      <c r="H425" s="2">
        <v>82831698</v>
      </c>
    </row>
    <row r="426" spans="7:8" x14ac:dyDescent="0.25">
      <c r="G426" s="2" t="str">
        <f ca="1">IFERROR(__xludf.DUMMYFUNCTION("""COMPUTED_VALUE"""),"Over the Hedge ")</f>
        <v>Over the Hedge </v>
      </c>
      <c r="H426" s="2">
        <v>75019340</v>
      </c>
    </row>
    <row r="427" spans="7:8" x14ac:dyDescent="0.25">
      <c r="G427" s="2" t="str">
        <f ca="1">IFERROR(__xludf.DUMMYFUNCTION("""COMPUTED_VALUE"""),"Lilo &amp; Stitch ")</f>
        <v>Lilo &amp; Stitch </v>
      </c>
      <c r="H427" s="2">
        <v>65771527</v>
      </c>
    </row>
    <row r="428" spans="7:8" x14ac:dyDescent="0.25">
      <c r="G428" s="2" t="str">
        <f ca="1">IFERROR(__xludf.DUMMYFUNCTION("""COMPUTED_VALUE"""),"Deep Impact ")</f>
        <v>Deep Impact </v>
      </c>
      <c r="H428" s="2">
        <v>65459099</v>
      </c>
    </row>
    <row r="429" spans="7:8" x14ac:dyDescent="0.25">
      <c r="G429" s="2" t="str">
        <f ca="1">IFERROR(__xludf.DUMMYFUNCTION("""COMPUTED_VALUE"""),"RED 2 ")</f>
        <v>RED 2 </v>
      </c>
      <c r="H429" s="2">
        <v>-30784021</v>
      </c>
    </row>
    <row r="430" spans="7:8" x14ac:dyDescent="0.25">
      <c r="G430" s="2" t="str">
        <f ca="1">IFERROR(__xludf.DUMMYFUNCTION("""COMPUTED_VALUE"""),"The Longest Yard ")</f>
        <v>The Longest Yard </v>
      </c>
      <c r="H430" s="2">
        <v>76115031</v>
      </c>
    </row>
    <row r="431" spans="7:8" x14ac:dyDescent="0.25">
      <c r="G431" s="2" t="str">
        <f ca="1">IFERROR(__xludf.DUMMYFUNCTION("""COMPUTED_VALUE"""),"Alvin and the Chipmunks: Chipwrecked ")</f>
        <v>Alvin and the Chipmunks: Chipwrecked </v>
      </c>
      <c r="H431" s="2">
        <v>58103929</v>
      </c>
    </row>
    <row r="432" spans="7:8" x14ac:dyDescent="0.25">
      <c r="G432" s="2" t="str">
        <f ca="1">IFERROR(__xludf.DUMMYFUNCTION("""COMPUTED_VALUE"""),"Grown Ups 2 ")</f>
        <v>Grown Ups 2 </v>
      </c>
      <c r="H432" s="2">
        <v>53668525</v>
      </c>
    </row>
    <row r="433" spans="7:8" x14ac:dyDescent="0.25">
      <c r="G433" s="2" t="str">
        <f ca="1">IFERROR(__xludf.DUMMYFUNCTION("""COMPUTED_VALUE"""),"Get Smart ")</f>
        <v>Get Smart </v>
      </c>
      <c r="H433" s="2">
        <v>50313314</v>
      </c>
    </row>
    <row r="434" spans="7:8" x14ac:dyDescent="0.25">
      <c r="G434" s="2" t="str">
        <f ca="1">IFERROR(__xludf.DUMMYFUNCTION("""COMPUTED_VALUE"""),"Something's Gotta Give ")</f>
        <v>Something's Gotta Give </v>
      </c>
      <c r="H434" s="2">
        <v>44590960</v>
      </c>
    </row>
    <row r="435" spans="7:8" x14ac:dyDescent="0.25">
      <c r="G435" s="2" t="str">
        <f ca="1">IFERROR(__xludf.DUMMYFUNCTION("""COMPUTED_VALUE"""),"Shutter Island ")</f>
        <v>Shutter Island </v>
      </c>
      <c r="H435" s="2">
        <v>47968405</v>
      </c>
    </row>
    <row r="436" spans="7:8" x14ac:dyDescent="0.25">
      <c r="G436" s="2" t="str">
        <f ca="1">IFERROR(__xludf.DUMMYFUNCTION("""COMPUTED_VALUE"""),"Four Christmases ")</f>
        <v>Four Christmases </v>
      </c>
      <c r="H436" s="2">
        <v>40136047</v>
      </c>
    </row>
    <row r="437" spans="7:8" x14ac:dyDescent="0.25">
      <c r="G437" s="2" t="str">
        <f ca="1">IFERROR(__xludf.DUMMYFUNCTION("""COMPUTED_VALUE"""),"Robots ")</f>
        <v>Robots </v>
      </c>
      <c r="H437" s="2">
        <v>53200012</v>
      </c>
    </row>
    <row r="438" spans="7:8" x14ac:dyDescent="0.25">
      <c r="G438" s="2" t="str">
        <f ca="1">IFERROR(__xludf.DUMMYFUNCTION("""COMPUTED_VALUE"""),"Face/Off ")</f>
        <v>Face/Off </v>
      </c>
      <c r="H438" s="2">
        <v>32225777</v>
      </c>
    </row>
    <row r="439" spans="7:8" x14ac:dyDescent="0.25">
      <c r="G439" s="2" t="str">
        <f ca="1">IFERROR(__xludf.DUMMYFUNCTION("""COMPUTED_VALUE"""),"Bedtime Stories ")</f>
        <v>Bedtime Stories </v>
      </c>
      <c r="H439" s="2">
        <v>29993847</v>
      </c>
    </row>
    <row r="440" spans="7:8" x14ac:dyDescent="0.25">
      <c r="G440" s="2" t="str">
        <f ca="1">IFERROR(__xludf.DUMMYFUNCTION("""COMPUTED_VALUE"""),"Road to Perdition ")</f>
        <v>Road to Perdition </v>
      </c>
      <c r="H440" s="2">
        <v>24054514</v>
      </c>
    </row>
    <row r="441" spans="7:8" x14ac:dyDescent="0.25">
      <c r="G441" s="2" t="str">
        <f ca="1">IFERROR(__xludf.DUMMYFUNCTION("""COMPUTED_VALUE"""),"Just Go with It ")</f>
        <v>Just Go with It </v>
      </c>
      <c r="H441" s="2">
        <v>23028109</v>
      </c>
    </row>
    <row r="442" spans="7:8" x14ac:dyDescent="0.25">
      <c r="G442" s="2" t="str">
        <f ca="1">IFERROR(__xludf.DUMMYFUNCTION("""COMPUTED_VALUE"""),"Con Air ")</f>
        <v>Con Air </v>
      </c>
      <c r="H442" s="2">
        <v>26087161</v>
      </c>
    </row>
    <row r="443" spans="7:8" x14ac:dyDescent="0.25">
      <c r="G443" s="2" t="str">
        <f ca="1">IFERROR(__xludf.DUMMYFUNCTION("""COMPUTED_VALUE"""),"Eagle Eye ")</f>
        <v>Eagle Eye </v>
      </c>
      <c r="H443" s="2">
        <v>21111837</v>
      </c>
    </row>
    <row r="444" spans="7:8" x14ac:dyDescent="0.25">
      <c r="G444" s="2" t="str">
        <f ca="1">IFERROR(__xludf.DUMMYFUNCTION("""COMPUTED_VALUE"""),"Cold Mountain ")</f>
        <v>Cold Mountain </v>
      </c>
      <c r="H444" s="2">
        <v>16632614</v>
      </c>
    </row>
    <row r="445" spans="7:8" x14ac:dyDescent="0.25">
      <c r="G445" s="2" t="str">
        <f ca="1">IFERROR(__xludf.DUMMYFUNCTION("""COMPUTED_VALUE"""),"The Book of Eli ")</f>
        <v>The Book of Eli </v>
      </c>
      <c r="H445" s="2">
        <v>14822707</v>
      </c>
    </row>
    <row r="446" spans="7:8" x14ac:dyDescent="0.25">
      <c r="G446" s="2" t="str">
        <f ca="1">IFERROR(__xludf.DUMMYFUNCTION("""COMPUTED_VALUE"""),"Flubber ")</f>
        <v>Flubber </v>
      </c>
      <c r="H446" s="2">
        <v>12969824</v>
      </c>
    </row>
    <row r="447" spans="7:8" x14ac:dyDescent="0.25">
      <c r="G447" s="2" t="str">
        <f ca="1">IFERROR(__xludf.DUMMYFUNCTION("""COMPUTED_VALUE"""),"The Haunting ")</f>
        <v>The Haunting </v>
      </c>
      <c r="H447" s="2">
        <v>11188905</v>
      </c>
    </row>
    <row r="448" spans="7:8" x14ac:dyDescent="0.25">
      <c r="G448" s="2" t="str">
        <f ca="1">IFERROR(__xludf.DUMMYFUNCTION("""COMPUTED_VALUE"""),"Space Jam ")</f>
        <v>Space Jam </v>
      </c>
      <c r="H448" s="2">
        <v>10443603</v>
      </c>
    </row>
    <row r="449" spans="7:8" x14ac:dyDescent="0.25">
      <c r="G449" s="2" t="str">
        <f ca="1">IFERROR(__xludf.DUMMYFUNCTION("""COMPUTED_VALUE"""),"The Pink Panther ")</f>
        <v>The Pink Panther </v>
      </c>
      <c r="H449" s="2">
        <v>17226474</v>
      </c>
    </row>
    <row r="450" spans="7:8" x14ac:dyDescent="0.25">
      <c r="G450" s="2" t="str">
        <f ca="1">IFERROR(__xludf.DUMMYFUNCTION("""COMPUTED_VALUE"""),"The Day the Earth Stood Still ")</f>
        <v>The Day the Earth Stood Still </v>
      </c>
      <c r="H450" s="2">
        <v>-636215</v>
      </c>
    </row>
    <row r="451" spans="7:8" x14ac:dyDescent="0.25">
      <c r="G451" s="2" t="str">
        <f ca="1">IFERROR(__xludf.DUMMYFUNCTION("""COMPUTED_VALUE"""),"Conspiracy Theory ")</f>
        <v>Conspiracy Theory </v>
      </c>
      <c r="H451" s="2">
        <v>1081498</v>
      </c>
    </row>
    <row r="452" spans="7:8" x14ac:dyDescent="0.25">
      <c r="G452" s="2" t="str">
        <f ca="1">IFERROR(__xludf.DUMMYFUNCTION("""COMPUTED_VALUE"""),"Fury ")</f>
        <v>Fury </v>
      </c>
      <c r="H452" s="2">
        <v>17707116</v>
      </c>
    </row>
    <row r="453" spans="7:8" x14ac:dyDescent="0.25">
      <c r="G453" s="2" t="str">
        <f ca="1">IFERROR(__xludf.DUMMYFUNCTION("""COMPUTED_VALUE"""),"Six Days Seven Nights ")</f>
        <v>Six Days Seven Nights </v>
      </c>
      <c r="H453" s="2">
        <v>4329966</v>
      </c>
    </row>
    <row r="454" spans="7:8" x14ac:dyDescent="0.25">
      <c r="G454" s="2" t="str">
        <f ca="1">IFERROR(__xludf.DUMMYFUNCTION("""COMPUTED_VALUE"""),"Yogi Bear ")</f>
        <v>Yogi Bear </v>
      </c>
      <c r="H454" s="2">
        <v>20169068</v>
      </c>
    </row>
    <row r="455" spans="7:8" x14ac:dyDescent="0.25">
      <c r="G455" s="2" t="str">
        <f ca="1">IFERROR(__xludf.DUMMYFUNCTION("""COMPUTED_VALUE"""),"Spirit: Stallion of the Cimarron ")</f>
        <v>Spirit: Stallion of the Cimarron </v>
      </c>
      <c r="H455" s="2">
        <v>-6784690</v>
      </c>
    </row>
    <row r="456" spans="7:8" x14ac:dyDescent="0.25">
      <c r="G456" s="2" t="str">
        <f ca="1">IFERROR(__xludf.DUMMYFUNCTION("""COMPUTED_VALUE"""),"Zookeeper ")</f>
        <v>Zookeeper </v>
      </c>
      <c r="H456" s="2">
        <v>360866</v>
      </c>
    </row>
    <row r="457" spans="7:8" x14ac:dyDescent="0.25">
      <c r="G457" s="2" t="str">
        <f ca="1">IFERROR(__xludf.DUMMYFUNCTION("""COMPUTED_VALUE"""),"Lost in Space ")</f>
        <v>Lost in Space </v>
      </c>
      <c r="H457" s="2">
        <v>-10897090</v>
      </c>
    </row>
    <row r="458" spans="7:8" x14ac:dyDescent="0.25">
      <c r="G458" s="2" t="str">
        <f ca="1">IFERROR(__xludf.DUMMYFUNCTION("""COMPUTED_VALUE"""),"The Manchurian Candidate ")</f>
        <v>The Manchurian Candidate </v>
      </c>
      <c r="H458" s="2">
        <v>-14051289</v>
      </c>
    </row>
    <row r="459" spans="7:8" x14ac:dyDescent="0.25">
      <c r="G459" s="2" t="str">
        <f ca="1">IFERROR(__xludf.DUMMYFUNCTION("""COMPUTED_VALUE"""),"Hotel Transylvania 2 ")</f>
        <v>Hotel Transylvania 2 </v>
      </c>
      <c r="H459" s="2">
        <v>89692572</v>
      </c>
    </row>
    <row r="460" spans="7:8" x14ac:dyDescent="0.25">
      <c r="G460" s="2" t="str">
        <f ca="1">IFERROR(__xludf.DUMMYFUNCTION("""COMPUTED_VALUE"""),"Fantasia 2000 ")</f>
        <v>Fantasia 2000 </v>
      </c>
      <c r="H460" s="2">
        <v>-19492772</v>
      </c>
    </row>
    <row r="461" spans="7:8" x14ac:dyDescent="0.25">
      <c r="G461" s="2" t="str">
        <f ca="1">IFERROR(__xludf.DUMMYFUNCTION("""COMPUTED_VALUE"""),"The Time Machine ")</f>
        <v>The Time Machine </v>
      </c>
      <c r="H461" s="2">
        <v>-23315181</v>
      </c>
    </row>
    <row r="462" spans="7:8" x14ac:dyDescent="0.25">
      <c r="G462" s="2" t="str">
        <f ca="1">IFERROR(__xludf.DUMMYFUNCTION("""COMPUTED_VALUE"""),"Mighty Joe Young ")</f>
        <v>Mighty Joe Young </v>
      </c>
      <c r="H462" s="2">
        <v>-39371991</v>
      </c>
    </row>
    <row r="463" spans="7:8" x14ac:dyDescent="0.25">
      <c r="G463" s="2" t="str">
        <f ca="1">IFERROR(__xludf.DUMMYFUNCTION("""COMPUTED_VALUE"""),"Swordfish ")</f>
        <v>Swordfish </v>
      </c>
      <c r="H463" s="2">
        <v>-10227031</v>
      </c>
    </row>
    <row r="464" spans="7:8" x14ac:dyDescent="0.25">
      <c r="G464" s="2" t="str">
        <f ca="1">IFERROR(__xludf.DUMMYFUNCTION("""COMPUTED_VALUE"""),"The Legend of Zorro ")</f>
        <v>The Legend of Zorro </v>
      </c>
      <c r="H464" s="2">
        <v>-29643614</v>
      </c>
    </row>
    <row r="465" spans="7:8" x14ac:dyDescent="0.25">
      <c r="G465" s="2" t="str">
        <f ca="1">IFERROR(__xludf.DUMMYFUNCTION("""COMPUTED_VALUE"""),"What Dreams May Come ")</f>
        <v>What Dreams May Come </v>
      </c>
      <c r="H465" s="2">
        <v>-29649103</v>
      </c>
    </row>
    <row r="466" spans="7:8" x14ac:dyDescent="0.25">
      <c r="G466" s="2" t="str">
        <f ca="1">IFERROR(__xludf.DUMMYFUNCTION("""COMPUTED_VALUE"""),"Little Nicky ")</f>
        <v>Little Nicky </v>
      </c>
      <c r="H466" s="2">
        <v>-40557129</v>
      </c>
    </row>
    <row r="467" spans="7:8" x14ac:dyDescent="0.25">
      <c r="G467" s="2" t="str">
        <f ca="1">IFERROR(__xludf.DUMMYFUNCTION("""COMPUTED_VALUE"""),"The Brothers Grimm ")</f>
        <v>The Brothers Grimm </v>
      </c>
      <c r="H467" s="2">
        <v>-50100362</v>
      </c>
    </row>
    <row r="468" spans="7:8" x14ac:dyDescent="0.25">
      <c r="G468" s="2" t="str">
        <f ca="1">IFERROR(__xludf.DUMMYFUNCTION("""COMPUTED_VALUE"""),"Mars Attacks! ")</f>
        <v>Mars Attacks! </v>
      </c>
      <c r="H468" s="2">
        <v>-32245792</v>
      </c>
    </row>
    <row r="469" spans="7:8" x14ac:dyDescent="0.25">
      <c r="G469" s="2" t="str">
        <f ca="1">IFERROR(__xludf.DUMMYFUNCTION("""COMPUTED_VALUE"""),"Surrogates ")</f>
        <v>Surrogates </v>
      </c>
      <c r="H469" s="2">
        <v>-41457582</v>
      </c>
    </row>
    <row r="470" spans="7:8" x14ac:dyDescent="0.25">
      <c r="G470" s="2" t="str">
        <f ca="1">IFERROR(__xludf.DUMMYFUNCTION("""COMPUTED_VALUE"""),"Thirteen Days ")</f>
        <v>Thirteen Days </v>
      </c>
      <c r="H470" s="2">
        <v>-45433254</v>
      </c>
    </row>
    <row r="471" spans="7:8" x14ac:dyDescent="0.25">
      <c r="G471" s="2" t="str">
        <f ca="1">IFERROR(__xludf.DUMMYFUNCTION("""COMPUTED_VALUE"""),"Daylight ")</f>
        <v>Daylight </v>
      </c>
      <c r="H471" s="2">
        <v>-47114435</v>
      </c>
    </row>
    <row r="472" spans="7:8" x14ac:dyDescent="0.25">
      <c r="G472" s="2" t="str">
        <f ca="1">IFERROR(__xludf.DUMMYFUNCTION("""COMPUTED_VALUE"""),"Walking with Dinosaurs 3D ")</f>
        <v>Walking with Dinosaurs 3D </v>
      </c>
      <c r="H472" s="2">
        <v>-43926768</v>
      </c>
    </row>
    <row r="473" spans="7:8" x14ac:dyDescent="0.25">
      <c r="G473" s="2" t="str">
        <f ca="1">IFERROR(__xludf.DUMMYFUNCTION("""COMPUTED_VALUE"""),"Battlefield Earth ")</f>
        <v>Battlefield Earth </v>
      </c>
      <c r="H473" s="2">
        <v>-22528315</v>
      </c>
    </row>
    <row r="474" spans="7:8" x14ac:dyDescent="0.25">
      <c r="G474" s="2" t="str">
        <f ca="1">IFERROR(__xludf.DUMMYFUNCTION("""COMPUTED_VALUE"""),"Looney Tunes: Back in Action ")</f>
        <v>Looney Tunes: Back in Action </v>
      </c>
      <c r="H474" s="2">
        <v>-59049180</v>
      </c>
    </row>
    <row r="475" spans="7:8" x14ac:dyDescent="0.25">
      <c r="G475" s="2" t="str">
        <f ca="1">IFERROR(__xludf.DUMMYFUNCTION("""COMPUTED_VALUE"""),"Nine ")</f>
        <v>Nine </v>
      </c>
      <c r="H475" s="2">
        <v>-60326576</v>
      </c>
    </row>
    <row r="476" spans="7:8" x14ac:dyDescent="0.25">
      <c r="G476" s="2" t="str">
        <f ca="1">IFERROR(__xludf.DUMMYFUNCTION("""COMPUTED_VALUE"""),"Timeline ")</f>
        <v>Timeline </v>
      </c>
      <c r="H476" s="2">
        <v>-60519261</v>
      </c>
    </row>
    <row r="477" spans="7:8" x14ac:dyDescent="0.25">
      <c r="G477" s="2" t="str">
        <f ca="1">IFERROR(__xludf.DUMMYFUNCTION("""COMPUTED_VALUE"""),"The Postman ")</f>
        <v>The Postman </v>
      </c>
      <c r="H477" s="2">
        <v>-62406609</v>
      </c>
    </row>
    <row r="478" spans="7:8" x14ac:dyDescent="0.25">
      <c r="G478" s="2" t="str">
        <f ca="1">IFERROR(__xludf.DUMMYFUNCTION("""COMPUTED_VALUE"""),"Babe: Pig in the City ")</f>
        <v>Babe: Pig in the City </v>
      </c>
      <c r="H478" s="2">
        <v>-61682000</v>
      </c>
    </row>
    <row r="479" spans="7:8" x14ac:dyDescent="0.25">
      <c r="G479" s="2" t="str">
        <f ca="1">IFERROR(__xludf.DUMMYFUNCTION("""COMPUTED_VALUE"""),"The Last Witch Hunter ")</f>
        <v>The Last Witch Hunter </v>
      </c>
      <c r="H479" s="2">
        <v>-62643910</v>
      </c>
    </row>
    <row r="480" spans="7:8" x14ac:dyDescent="0.25">
      <c r="G480" s="2" t="str">
        <f ca="1">IFERROR(__xludf.DUMMYFUNCTION("""COMPUTED_VALUE"""),"Red Planet ")</f>
        <v>Red Planet </v>
      </c>
      <c r="H480" s="2">
        <v>-52526755</v>
      </c>
    </row>
    <row r="481" spans="7:8" x14ac:dyDescent="0.25">
      <c r="G481" s="2" t="str">
        <f ca="1">IFERROR(__xludf.DUMMYFUNCTION("""COMPUTED_VALUE"""),"Arthur and the Invisibles ")</f>
        <v>Arthur and the Invisibles </v>
      </c>
      <c r="H481" s="2">
        <v>-70868670</v>
      </c>
    </row>
    <row r="482" spans="7:8" x14ac:dyDescent="0.25">
      <c r="G482" s="2" t="str">
        <f ca="1">IFERROR(__xludf.DUMMYFUNCTION("""COMPUTED_VALUE"""),"Oceans ")</f>
        <v>Oceans </v>
      </c>
      <c r="H482" s="2">
        <v>-20593594</v>
      </c>
    </row>
    <row r="483" spans="7:8" x14ac:dyDescent="0.25">
      <c r="G483" s="2" t="str">
        <f ca="1">IFERROR(__xludf.DUMMYFUNCTION("""COMPUTED_VALUE"""),"A Sound of Thunder ")</f>
        <v>A Sound of Thunder </v>
      </c>
      <c r="H483" s="2">
        <v>-50108179</v>
      </c>
    </row>
    <row r="484" spans="7:8" x14ac:dyDescent="0.25">
      <c r="G484" s="2" t="str">
        <f ca="1">IFERROR(__xludf.DUMMYFUNCTION("""COMPUTED_VALUE"""),"Pompeii ")</f>
        <v>Pompeii </v>
      </c>
      <c r="H484" s="2">
        <v>-56780252</v>
      </c>
    </row>
    <row r="485" spans="7:8" x14ac:dyDescent="0.25">
      <c r="G485" s="2" t="str">
        <f ca="1">IFERROR(__xludf.DUMMYFUNCTION("""COMPUTED_VALUE"""),"A Beautiful Mind ")</f>
        <v>A Beautiful Mind </v>
      </c>
      <c r="H485" s="2">
        <v>112708996</v>
      </c>
    </row>
    <row r="486" spans="7:8" x14ac:dyDescent="0.25">
      <c r="G486" s="2" t="str">
        <f ca="1">IFERROR(__xludf.DUMMYFUNCTION("""COMPUTED_VALUE"""),"The Lion King ")</f>
        <v>The Lion King </v>
      </c>
      <c r="H486" s="2">
        <v>377783777</v>
      </c>
    </row>
    <row r="487" spans="7:8" x14ac:dyDescent="0.25">
      <c r="G487" s="2" t="str">
        <f ca="1">IFERROR(__xludf.DUMMYFUNCTION("""COMPUTED_VALUE"""),"Journey 2: The Mysterious Island ")</f>
        <v>Journey 2: The Mysterious Island </v>
      </c>
      <c r="H487" s="2">
        <v>24812241</v>
      </c>
    </row>
    <row r="488" spans="7:8" x14ac:dyDescent="0.25">
      <c r="G488" s="2" t="str">
        <f ca="1">IFERROR(__xludf.DUMMYFUNCTION("""COMPUTED_VALUE"""),"Cloudy with a Chance of Meatballs 2 ")</f>
        <v>Cloudy with a Chance of Meatballs 2 </v>
      </c>
      <c r="H488" s="2">
        <v>41793567</v>
      </c>
    </row>
    <row r="489" spans="7:8" x14ac:dyDescent="0.25">
      <c r="G489" s="2" t="str">
        <f ca="1">IFERROR(__xludf.DUMMYFUNCTION("""COMPUTED_VALUE"""),"Red Dragon ")</f>
        <v>Red Dragon </v>
      </c>
      <c r="H489" s="2">
        <v>14930005</v>
      </c>
    </row>
    <row r="490" spans="7:8" x14ac:dyDescent="0.25">
      <c r="G490" s="2" t="str">
        <f ca="1">IFERROR(__xludf.DUMMYFUNCTION("""COMPUTED_VALUE"""),"Hidalgo ")</f>
        <v>Hidalgo </v>
      </c>
      <c r="H490" s="2">
        <v>-32713269</v>
      </c>
    </row>
    <row r="491" spans="7:8" x14ac:dyDescent="0.25">
      <c r="G491" s="2" t="str">
        <f ca="1">IFERROR(__xludf.DUMMYFUNCTION("""COMPUTED_VALUE"""),"Jack and Jill ")</f>
        <v>Jack and Jill </v>
      </c>
      <c r="H491" s="2">
        <v>-4841843</v>
      </c>
    </row>
    <row r="492" spans="7:8" x14ac:dyDescent="0.25">
      <c r="G492" s="2" t="str">
        <f ca="1">IFERROR(__xludf.DUMMYFUNCTION("""COMPUTED_VALUE"""),"2 Fast 2 Furious ")</f>
        <v>2 Fast 2 Furious </v>
      </c>
      <c r="H492" s="2">
        <v>51083765</v>
      </c>
    </row>
    <row r="493" spans="7:8" x14ac:dyDescent="0.25">
      <c r="G493" s="2" t="str">
        <f ca="1">IFERROR(__xludf.DUMMYFUNCTION("""COMPUTED_VALUE"""),"The Little Prince ")</f>
        <v>The Little Prince </v>
      </c>
      <c r="H493" s="2">
        <v>-79860848</v>
      </c>
    </row>
    <row r="494" spans="7:8" x14ac:dyDescent="0.25">
      <c r="G494" s="2" t="str">
        <f ca="1">IFERROR(__xludf.DUMMYFUNCTION("""COMPUTED_VALUE"""),"The Invasion ")</f>
        <v>The Invasion </v>
      </c>
      <c r="H494" s="2">
        <v>-64928486</v>
      </c>
    </row>
    <row r="495" spans="7:8" x14ac:dyDescent="0.25">
      <c r="G495" s="2" t="str">
        <f ca="1">IFERROR(__xludf.DUMMYFUNCTION("""COMPUTED_VALUE"""),"The Adventures of Rocky &amp; Bullwinkle ")</f>
        <v>The Adventures of Rocky &amp; Bullwinkle </v>
      </c>
      <c r="H495" s="2">
        <v>-49999390</v>
      </c>
    </row>
    <row r="496" spans="7:8" x14ac:dyDescent="0.25">
      <c r="G496" s="2" t="str">
        <f ca="1">IFERROR(__xludf.DUMMYFUNCTION("""COMPUTED_VALUE"""),"The Secret Life of Pets ")</f>
        <v>The Secret Life of Pets </v>
      </c>
      <c r="H496" s="2">
        <v>248505540</v>
      </c>
    </row>
    <row r="497" spans="7:8" x14ac:dyDescent="0.25">
      <c r="G497" s="2" t="str">
        <f ca="1">IFERROR(__xludf.DUMMYFUNCTION("""COMPUTED_VALUE"""),"The League of Extraordinary Gentlemen ")</f>
        <v>The League of Extraordinary Gentlemen </v>
      </c>
      <c r="H497" s="2">
        <v>-11537400</v>
      </c>
    </row>
    <row r="498" spans="7:8" x14ac:dyDescent="0.25">
      <c r="G498" s="2" t="str">
        <f ca="1">IFERROR(__xludf.DUMMYFUNCTION("""COMPUTED_VALUE"""),"Despicable Me 2 ")</f>
        <v>Despicable Me 2 </v>
      </c>
      <c r="H498" s="2">
        <v>292049635</v>
      </c>
    </row>
    <row r="499" spans="7:8" x14ac:dyDescent="0.25">
      <c r="G499" s="2" t="str">
        <f ca="1">IFERROR(__xludf.DUMMYFUNCTION("""COMPUTED_VALUE"""),"Independence Day ")</f>
        <v>Independence Day </v>
      </c>
      <c r="H499" s="2">
        <v>231124059</v>
      </c>
    </row>
    <row r="500" spans="7:8" x14ac:dyDescent="0.25">
      <c r="G500" s="2" t="str">
        <f ca="1">IFERROR(__xludf.DUMMYFUNCTION("""COMPUTED_VALUE"""),"The Lost World: Jurassic Park ")</f>
        <v>The Lost World: Jurassic Park </v>
      </c>
      <c r="H500" s="2">
        <v>156074524</v>
      </c>
    </row>
    <row r="501" spans="7:8" x14ac:dyDescent="0.25">
      <c r="G501" s="2" t="str">
        <f ca="1">IFERROR(__xludf.DUMMYFUNCTION("""COMPUTED_VALUE"""),"Madagascar ")</f>
        <v>Madagascar </v>
      </c>
      <c r="H501" s="2">
        <v>118136719</v>
      </c>
    </row>
    <row r="502" spans="7:8" x14ac:dyDescent="0.25">
      <c r="G502" s="2" t="str">
        <f ca="1">IFERROR(__xludf.DUMMYFUNCTION("""COMPUTED_VALUE"""),"Children of Men ")</f>
        <v>Children of Men </v>
      </c>
      <c r="H502" s="2">
        <v>-40713572</v>
      </c>
    </row>
    <row r="503" spans="7:8" x14ac:dyDescent="0.25">
      <c r="G503" s="2" t="str">
        <f ca="1">IFERROR(__xludf.DUMMYFUNCTION("""COMPUTED_VALUE"""),"X-Men ")</f>
        <v>X-Men </v>
      </c>
      <c r="H503" s="2">
        <v>82299717</v>
      </c>
    </row>
    <row r="504" spans="7:8" x14ac:dyDescent="0.25">
      <c r="G504" s="2" t="str">
        <f ca="1">IFERROR(__xludf.DUMMYFUNCTION("""COMPUTED_VALUE"""),"Wanted ")</f>
        <v>Wanted </v>
      </c>
      <c r="H504" s="2">
        <v>59568845</v>
      </c>
    </row>
    <row r="505" spans="7:8" x14ac:dyDescent="0.25">
      <c r="G505" s="2" t="str">
        <f ca="1">IFERROR(__xludf.DUMMYFUNCTION("""COMPUTED_VALUE"""),"The Rock ")</f>
        <v>The Rock </v>
      </c>
      <c r="H505" s="2">
        <v>59006721</v>
      </c>
    </row>
    <row r="506" spans="7:8" x14ac:dyDescent="0.25">
      <c r="G506" s="2" t="str">
        <f ca="1">IFERROR(__xludf.DUMMYFUNCTION("""COMPUTED_VALUE"""),"Ice Age: The Meltdown ")</f>
        <v>Ice Age: The Meltdown </v>
      </c>
      <c r="H506" s="2">
        <v>115329763</v>
      </c>
    </row>
    <row r="507" spans="7:8" x14ac:dyDescent="0.25">
      <c r="G507" s="2" t="str">
        <f ca="1">IFERROR(__xludf.DUMMYFUNCTION("""COMPUTED_VALUE"""),"50 First Dates ")</f>
        <v>50 First Dates </v>
      </c>
      <c r="H507" s="2">
        <v>45776832</v>
      </c>
    </row>
    <row r="508" spans="7:8" x14ac:dyDescent="0.25">
      <c r="G508" s="2" t="str">
        <f ca="1">IFERROR(__xludf.DUMMYFUNCTION("""COMPUTED_VALUE"""),"Hairspray ")</f>
        <v>Hairspray </v>
      </c>
      <c r="H508" s="2">
        <v>43823091</v>
      </c>
    </row>
    <row r="509" spans="7:8" x14ac:dyDescent="0.25">
      <c r="G509" s="2" t="str">
        <f ca="1">IFERROR(__xludf.DUMMYFUNCTION("""COMPUTED_VALUE"""),"Exorcist: The Beginning ")</f>
        <v>Exorcist: The Beginning </v>
      </c>
      <c r="H509" s="2">
        <v>-8185137</v>
      </c>
    </row>
    <row r="510" spans="7:8" x14ac:dyDescent="0.25">
      <c r="G510" s="2" t="str">
        <f ca="1">IFERROR(__xludf.DUMMYFUNCTION("""COMPUTED_VALUE"""),"Inspector Gadget ")</f>
        <v>Inspector Gadget </v>
      </c>
      <c r="H510" s="2">
        <v>22360069</v>
      </c>
    </row>
    <row r="511" spans="7:8" x14ac:dyDescent="0.25">
      <c r="G511" s="2" t="str">
        <f ca="1">IFERROR(__xludf.DUMMYFUNCTION("""COMPUTED_VALUE"""),"Now You See Me ")</f>
        <v>Now You See Me </v>
      </c>
      <c r="H511" s="2">
        <v>42698894</v>
      </c>
    </row>
    <row r="512" spans="7:8" x14ac:dyDescent="0.25">
      <c r="G512" s="2" t="str">
        <f ca="1">IFERROR(__xludf.DUMMYFUNCTION("""COMPUTED_VALUE"""),"Grown Ups ")</f>
        <v>Grown Ups </v>
      </c>
      <c r="H512" s="2">
        <v>82001186</v>
      </c>
    </row>
    <row r="513" spans="7:8" x14ac:dyDescent="0.25">
      <c r="G513" s="2" t="str">
        <f ca="1">IFERROR(__xludf.DUMMYFUNCTION("""COMPUTED_VALUE"""),"The Terminal ")</f>
        <v>The Terminal </v>
      </c>
      <c r="H513" s="2">
        <v>17032279</v>
      </c>
    </row>
    <row r="514" spans="7:8" x14ac:dyDescent="0.25">
      <c r="G514" s="2" t="str">
        <f ca="1">IFERROR(__xludf.DUMMYFUNCTION("""COMPUTED_VALUE"""),"Hotel for Dogs ")</f>
        <v>Hotel for Dogs </v>
      </c>
      <c r="H514" s="2">
        <v>38023275</v>
      </c>
    </row>
    <row r="515" spans="7:8" x14ac:dyDescent="0.25">
      <c r="G515" s="2" t="str">
        <f ca="1">IFERROR(__xludf.DUMMYFUNCTION("""COMPUTED_VALUE"""),"Vertical Limit ")</f>
        <v>Vertical Limit </v>
      </c>
      <c r="H515" s="2">
        <v>-6526640</v>
      </c>
    </row>
    <row r="516" spans="7:8" x14ac:dyDescent="0.25">
      <c r="G516" s="2" t="str">
        <f ca="1">IFERROR(__xludf.DUMMYFUNCTION("""COMPUTED_VALUE"""),"Charlie Wilson's War ")</f>
        <v>Charlie Wilson's War </v>
      </c>
      <c r="H516" s="2">
        <v>-8363615</v>
      </c>
    </row>
    <row r="517" spans="7:8" x14ac:dyDescent="0.25">
      <c r="G517" s="2" t="str">
        <f ca="1">IFERROR(__xludf.DUMMYFUNCTION("""COMPUTED_VALUE"""),"Shark Tale ")</f>
        <v>Shark Tale </v>
      </c>
      <c r="H517" s="2">
        <v>85762022</v>
      </c>
    </row>
    <row r="518" spans="7:8" x14ac:dyDescent="0.25">
      <c r="G518" s="2" t="str">
        <f ca="1">IFERROR(__xludf.DUMMYFUNCTION("""COMPUTED_VALUE"""),"Dreamgirls ")</f>
        <v>Dreamgirls </v>
      </c>
      <c r="H518" s="2">
        <v>33338338</v>
      </c>
    </row>
    <row r="519" spans="7:8" x14ac:dyDescent="0.25">
      <c r="G519" s="2" t="str">
        <f ca="1">IFERROR(__xludf.DUMMYFUNCTION("""COMPUTED_VALUE"""),"Be Cool ")</f>
        <v>Be Cool </v>
      </c>
      <c r="H519" s="2">
        <v>2808744</v>
      </c>
    </row>
    <row r="520" spans="7:8" x14ac:dyDescent="0.25">
      <c r="G520" s="2" t="str">
        <f ca="1">IFERROR(__xludf.DUMMYFUNCTION("""COMPUTED_VALUE"""),"Munich ")</f>
        <v>Munich </v>
      </c>
      <c r="H520" s="2">
        <v>-22620910</v>
      </c>
    </row>
    <row r="521" spans="7:8" x14ac:dyDescent="0.25">
      <c r="G521" s="2" t="str">
        <f ca="1">IFERROR(__xludf.DUMMYFUNCTION("""COMPUTED_VALUE"""),"Tears of the Sun ")</f>
        <v>Tears of the Sun </v>
      </c>
      <c r="H521" s="2">
        <v>-26573039</v>
      </c>
    </row>
    <row r="522" spans="7:8" x14ac:dyDescent="0.25">
      <c r="G522" s="2" t="str">
        <f ca="1">IFERROR(__xludf.DUMMYFUNCTION("""COMPUTED_VALUE"""),"Killers ")</f>
        <v>Killers </v>
      </c>
      <c r="H522" s="2">
        <v>-27999515</v>
      </c>
    </row>
    <row r="523" spans="7:8" x14ac:dyDescent="0.25">
      <c r="G523" s="2" t="str">
        <f ca="1">IFERROR(__xludf.DUMMYFUNCTION("""COMPUTED_VALUE"""),"The Man from U.N.C.L.E. ")</f>
        <v>The Man from U.N.C.L.E. </v>
      </c>
      <c r="H523" s="2">
        <v>-29565557</v>
      </c>
    </row>
    <row r="524" spans="7:8" x14ac:dyDescent="0.25">
      <c r="G524" s="2" t="str">
        <f ca="1">IFERROR(__xludf.DUMMYFUNCTION("""COMPUTED_VALUE"""),"Spanglish ")</f>
        <v>Spanglish </v>
      </c>
      <c r="H524" s="2">
        <v>-37955679</v>
      </c>
    </row>
    <row r="525" spans="7:8" x14ac:dyDescent="0.25">
      <c r="G525" s="2" t="str">
        <f ca="1">IFERROR(__xludf.DUMMYFUNCTION("""COMPUTED_VALUE"""),"Monster House ")</f>
        <v>Monster House </v>
      </c>
      <c r="H525" s="2">
        <v>-1338990</v>
      </c>
    </row>
    <row r="526" spans="7:8" x14ac:dyDescent="0.25">
      <c r="G526" s="2" t="str">
        <f ca="1">IFERROR(__xludf.DUMMYFUNCTION("""COMPUTED_VALUE"""),"Bandits ")</f>
        <v>Bandits </v>
      </c>
      <c r="H526" s="2">
        <v>-38476729</v>
      </c>
    </row>
    <row r="527" spans="7:8" x14ac:dyDescent="0.25">
      <c r="G527" s="2" t="str">
        <f ca="1">IFERROR(__xludf.DUMMYFUNCTION("""COMPUTED_VALUE"""),"First Knight ")</f>
        <v>First Knight </v>
      </c>
      <c r="H527" s="2">
        <v>-17399565</v>
      </c>
    </row>
    <row r="528" spans="7:8" x14ac:dyDescent="0.25">
      <c r="G528" s="2" t="str">
        <f ca="1">IFERROR(__xludf.DUMMYFUNCTION("""COMPUTED_VALUE"""),"Anna and the King ")</f>
        <v>Anna and the King </v>
      </c>
      <c r="H528" s="2">
        <v>-35748872</v>
      </c>
    </row>
    <row r="529" spans="7:8" x14ac:dyDescent="0.25">
      <c r="G529" s="2" t="str">
        <f ca="1">IFERROR(__xludf.DUMMYFUNCTION("""COMPUTED_VALUE"""),"Immortals ")</f>
        <v>Immortals </v>
      </c>
      <c r="H529" s="2">
        <v>8503161</v>
      </c>
    </row>
    <row r="530" spans="7:8" x14ac:dyDescent="0.25">
      <c r="G530" s="2" t="str">
        <f ca="1">IFERROR(__xludf.DUMMYFUNCTION("""COMPUTED_VALUE"""),"Hostage ")</f>
        <v>Hostage </v>
      </c>
      <c r="H530" s="2">
        <v>-17363557</v>
      </c>
    </row>
    <row r="531" spans="7:8" x14ac:dyDescent="0.25">
      <c r="G531" s="2" t="str">
        <f ca="1">IFERROR(__xludf.DUMMYFUNCTION("""COMPUTED_VALUE"""),"Titan A.E. ")</f>
        <v>Titan A.E. </v>
      </c>
      <c r="H531" s="2">
        <v>-52248021</v>
      </c>
    </row>
    <row r="532" spans="7:8" x14ac:dyDescent="0.25">
      <c r="G532" s="2" t="str">
        <f ca="1">IFERROR(__xludf.DUMMYFUNCTION("""COMPUTED_VALUE"""),"Hollywood Homicide ")</f>
        <v>Hollywood Homicide </v>
      </c>
      <c r="H532" s="2">
        <v>-44986654</v>
      </c>
    </row>
    <row r="533" spans="7:8" x14ac:dyDescent="0.25">
      <c r="G533" s="2" t="str">
        <f ca="1">IFERROR(__xludf.DUMMYFUNCTION("""COMPUTED_VALUE"""),"Soldier ")</f>
        <v>Soldier </v>
      </c>
      <c r="H533" s="2">
        <v>-60432117</v>
      </c>
    </row>
    <row r="534" spans="7:8" x14ac:dyDescent="0.25">
      <c r="G534" s="2" t="str">
        <f ca="1">IFERROR(__xludf.DUMMYFUNCTION("""COMPUTED_VALUE"""),"Monkeybone ")</f>
        <v>Monkeybone </v>
      </c>
      <c r="H534" s="2">
        <v>-69590483</v>
      </c>
    </row>
    <row r="535" spans="7:8" x14ac:dyDescent="0.25">
      <c r="G535" s="2" t="str">
        <f ca="1">IFERROR(__xludf.DUMMYFUNCTION("""COMPUTED_VALUE"""),"Flight of the Phoenix ")</f>
        <v>Flight of the Phoenix </v>
      </c>
      <c r="H535" s="2">
        <v>-23990820</v>
      </c>
    </row>
    <row r="536" spans="7:8" x14ac:dyDescent="0.25">
      <c r="G536" s="2" t="str">
        <f ca="1">IFERROR(__xludf.DUMMYFUNCTION("""COMPUTED_VALUE"""),"Unbreakable ")</f>
        <v>Unbreakable </v>
      </c>
      <c r="H536" s="2">
        <v>19999143</v>
      </c>
    </row>
    <row r="537" spans="7:8" x14ac:dyDescent="0.25">
      <c r="G537" s="2" t="str">
        <f ca="1">IFERROR(__xludf.DUMMYFUNCTION("""COMPUTED_VALUE"""),"Minions ")</f>
        <v>Minions </v>
      </c>
      <c r="H537" s="2">
        <v>262029560</v>
      </c>
    </row>
    <row r="538" spans="7:8" x14ac:dyDescent="0.25">
      <c r="G538" s="2" t="str">
        <f ca="1">IFERROR(__xludf.DUMMYFUNCTION("""COMPUTED_VALUE"""),"Sucker Punch ")</f>
        <v>Sucker Punch </v>
      </c>
      <c r="H538" s="2">
        <v>-45618284</v>
      </c>
    </row>
    <row r="539" spans="7:8" x14ac:dyDescent="0.25">
      <c r="G539" s="2" t="str">
        <f ca="1">IFERROR(__xludf.DUMMYFUNCTION("""COMPUTED_VALUE"""),"Snake Eyes ")</f>
        <v>Snake Eyes </v>
      </c>
      <c r="H539" s="2">
        <v>-13414611</v>
      </c>
    </row>
    <row r="540" spans="7:8" x14ac:dyDescent="0.25">
      <c r="G540" s="2" t="str">
        <f ca="1">IFERROR(__xludf.DUMMYFUNCTION("""COMPUTED_VALUE"""),"Sphere ")</f>
        <v>Sphere </v>
      </c>
      <c r="H540" s="2">
        <v>-38023633</v>
      </c>
    </row>
    <row r="541" spans="7:8" x14ac:dyDescent="0.25">
      <c r="G541" s="2" t="str">
        <f ca="1">IFERROR(__xludf.DUMMYFUNCTION("""COMPUTED_VALUE"""),"The Angry Birds Movie ")</f>
        <v>The Angry Birds Movie </v>
      </c>
      <c r="H541" s="2">
        <v>34225164</v>
      </c>
    </row>
    <row r="542" spans="7:8" x14ac:dyDescent="0.25">
      <c r="G542" s="2" t="str">
        <f ca="1">IFERROR(__xludf.DUMMYFUNCTION("""COMPUTED_VALUE"""),"Fool's Gold ")</f>
        <v>Fool's Gold </v>
      </c>
      <c r="H542" s="2">
        <v>224196</v>
      </c>
    </row>
    <row r="543" spans="7:8" x14ac:dyDescent="0.25">
      <c r="G543" s="2" t="str">
        <f ca="1">IFERROR(__xludf.DUMMYFUNCTION("""COMPUTED_VALUE"""),"Funny People ")</f>
        <v>Funny People </v>
      </c>
      <c r="H543" s="2">
        <v>-23185810</v>
      </c>
    </row>
    <row r="544" spans="7:8" x14ac:dyDescent="0.25">
      <c r="G544" s="2" t="str">
        <f ca="1">IFERROR(__xludf.DUMMYFUNCTION("""COMPUTED_VALUE"""),"The Kingdom ")</f>
        <v>The Kingdom </v>
      </c>
      <c r="H544" s="2">
        <v>-22543550</v>
      </c>
    </row>
    <row r="545" spans="7:8" x14ac:dyDescent="0.25">
      <c r="G545" s="2" t="str">
        <f ca="1">IFERROR(__xludf.DUMMYFUNCTION("""COMPUTED_VALUE"""),"Talladega Nights: The Ballad of Ricky Bobby ")</f>
        <v>Talladega Nights: The Ballad of Ricky Bobby </v>
      </c>
      <c r="H545" s="2">
        <v>75213377</v>
      </c>
    </row>
    <row r="546" spans="7:8" x14ac:dyDescent="0.25">
      <c r="G546" s="2" t="str">
        <f ca="1">IFERROR(__xludf.DUMMYFUNCTION("""COMPUTED_VALUE"""),"Dr. Dolittle 2 ")</f>
        <v>Dr. Dolittle 2 </v>
      </c>
      <c r="H546" s="2">
        <v>40950721</v>
      </c>
    </row>
    <row r="547" spans="7:8" x14ac:dyDescent="0.25">
      <c r="G547" s="2" t="str">
        <f ca="1">IFERROR(__xludf.DUMMYFUNCTION("""COMPUTED_VALUE"""),"Braveheart ")</f>
        <v>Braveheart </v>
      </c>
      <c r="H547" s="2">
        <v>3600000</v>
      </c>
    </row>
    <row r="548" spans="7:8" x14ac:dyDescent="0.25">
      <c r="G548" s="2" t="str">
        <f ca="1">IFERROR(__xludf.DUMMYFUNCTION("""COMPUTED_VALUE"""),"Jarhead ")</f>
        <v>Jarhead </v>
      </c>
      <c r="H548" s="2">
        <v>-7352460</v>
      </c>
    </row>
    <row r="549" spans="7:8" x14ac:dyDescent="0.25">
      <c r="G549" s="2" t="str">
        <f ca="1">IFERROR(__xludf.DUMMYFUNCTION("""COMPUTED_VALUE"""),"The Simpsons Movie ")</f>
        <v>The Simpsons Movie </v>
      </c>
      <c r="H549" s="2">
        <v>108132370</v>
      </c>
    </row>
    <row r="550" spans="7:8" x14ac:dyDescent="0.25">
      <c r="G550" s="2" t="str">
        <f ca="1">IFERROR(__xludf.DUMMYFUNCTION("""COMPUTED_VALUE"""),"The Majestic ")</f>
        <v>The Majestic </v>
      </c>
      <c r="H550" s="2">
        <v>-44203958</v>
      </c>
    </row>
    <row r="551" spans="7:8" x14ac:dyDescent="0.25">
      <c r="G551" s="2" t="str">
        <f ca="1">IFERROR(__xludf.DUMMYFUNCTION("""COMPUTED_VALUE"""),"Driven ")</f>
        <v>Driven </v>
      </c>
      <c r="H551" s="2">
        <v>-39383131</v>
      </c>
    </row>
    <row r="552" spans="7:8" x14ac:dyDescent="0.25">
      <c r="G552" s="2" t="str">
        <f ca="1">IFERROR(__xludf.DUMMYFUNCTION("""COMPUTED_VALUE"""),"Two Brothers ")</f>
        <v>Two Brothers </v>
      </c>
      <c r="H552" s="2">
        <v>-40712370</v>
      </c>
    </row>
    <row r="553" spans="7:8" x14ac:dyDescent="0.25">
      <c r="G553" s="2" t="str">
        <f ca="1">IFERROR(__xludf.DUMMYFUNCTION("""COMPUTED_VALUE"""),"The Village ")</f>
        <v>The Village </v>
      </c>
      <c r="H553" s="2">
        <v>54195633</v>
      </c>
    </row>
    <row r="554" spans="7:8" x14ac:dyDescent="0.25">
      <c r="G554" s="2" t="str">
        <f ca="1">IFERROR(__xludf.DUMMYFUNCTION("""COMPUTED_VALUE"""),"Doctor Dolittle ")</f>
        <v>Doctor Dolittle </v>
      </c>
      <c r="H554" s="2">
        <v>72656464</v>
      </c>
    </row>
    <row r="555" spans="7:8" x14ac:dyDescent="0.25">
      <c r="G555" s="2" t="str">
        <f ca="1">IFERROR(__xludf.DUMMYFUNCTION("""COMPUTED_VALUE"""),"Signs ")</f>
        <v>Signs </v>
      </c>
      <c r="H555" s="2">
        <v>155965690</v>
      </c>
    </row>
    <row r="556" spans="7:8" x14ac:dyDescent="0.25">
      <c r="G556" s="2" t="str">
        <f ca="1">IFERROR(__xludf.DUMMYFUNCTION("""COMPUTED_VALUE"""),"Shrek 2 ")</f>
        <v>Shrek 2 </v>
      </c>
      <c r="H556" s="2">
        <v>286471036</v>
      </c>
    </row>
    <row r="557" spans="7:8" x14ac:dyDescent="0.25">
      <c r="G557" s="2" t="str">
        <f ca="1">IFERROR(__xludf.DUMMYFUNCTION("""COMPUTED_VALUE"""),"Cars ")</f>
        <v>Cars </v>
      </c>
      <c r="H557" s="2">
        <v>124052771</v>
      </c>
    </row>
    <row r="558" spans="7:8" x14ac:dyDescent="0.25">
      <c r="G558" s="2" t="str">
        <f ca="1">IFERROR(__xludf.DUMMYFUNCTION("""COMPUTED_VALUE"""),"Runaway Bride ")</f>
        <v>Runaway Bride </v>
      </c>
      <c r="H558" s="2">
        <v>82149590</v>
      </c>
    </row>
    <row r="559" spans="7:8" x14ac:dyDescent="0.25">
      <c r="G559" s="2" t="str">
        <f ca="1">IFERROR(__xludf.DUMMYFUNCTION("""COMPUTED_VALUE"""),"xXx ")</f>
        <v>xXx </v>
      </c>
      <c r="H559" s="2">
        <v>71204016</v>
      </c>
    </row>
    <row r="560" spans="7:8" x14ac:dyDescent="0.25">
      <c r="G560" s="2" t="str">
        <f ca="1">IFERROR(__xludf.DUMMYFUNCTION("""COMPUTED_VALUE"""),"The SpongeBob Movie: Sponge Out of Water ")</f>
        <v>The SpongeBob Movie: Sponge Out of Water </v>
      </c>
      <c r="H560" s="2">
        <v>88495848</v>
      </c>
    </row>
    <row r="561" spans="7:8" x14ac:dyDescent="0.25">
      <c r="G561" s="2" t="str">
        <f ca="1">IFERROR(__xludf.DUMMYFUNCTION("""COMPUTED_VALUE"""),"Ransom ")</f>
        <v>Ransom </v>
      </c>
      <c r="H561" s="2">
        <v>56448821</v>
      </c>
    </row>
    <row r="562" spans="7:8" x14ac:dyDescent="0.25">
      <c r="G562" s="2" t="str">
        <f ca="1">IFERROR(__xludf.DUMMYFUNCTION("""COMPUTED_VALUE"""),"Inglourious Basterds ")</f>
        <v>Inglourious Basterds </v>
      </c>
      <c r="H562" s="2">
        <v>45523073</v>
      </c>
    </row>
    <row r="563" spans="7:8" x14ac:dyDescent="0.25">
      <c r="G563" s="2" t="str">
        <f ca="1">IFERROR(__xludf.DUMMYFUNCTION("""COMPUTED_VALUE"""),"Hook ")</f>
        <v>Hook </v>
      </c>
      <c r="H563" s="2">
        <v>49654900</v>
      </c>
    </row>
    <row r="564" spans="7:8" x14ac:dyDescent="0.25">
      <c r="G564" s="2" t="str">
        <f ca="1">IFERROR(__xludf.DUMMYFUNCTION("""COMPUTED_VALUE"""),"Die Hard 2 ")</f>
        <v>Die Hard 2 </v>
      </c>
      <c r="H564" s="2">
        <v>47541000</v>
      </c>
    </row>
    <row r="565" spans="7:8" x14ac:dyDescent="0.25">
      <c r="G565" s="2" t="str">
        <f ca="1">IFERROR(__xludf.DUMMYFUNCTION("""COMPUTED_VALUE"""),"S.W.A.T. ")</f>
        <v>S.W.A.T. </v>
      </c>
      <c r="H565" s="2">
        <v>36643346</v>
      </c>
    </row>
    <row r="566" spans="7:8" x14ac:dyDescent="0.25">
      <c r="G566" s="2" t="str">
        <f ca="1">IFERROR(__xludf.DUMMYFUNCTION("""COMPUTED_VALUE"""),"Vanilla Sky ")</f>
        <v>Vanilla Sky </v>
      </c>
      <c r="H566" s="2">
        <v>32614858</v>
      </c>
    </row>
    <row r="567" spans="7:8" x14ac:dyDescent="0.25">
      <c r="G567" s="2" t="str">
        <f ca="1">IFERROR(__xludf.DUMMYFUNCTION("""COMPUTED_VALUE"""),"Lady in the Water ")</f>
        <v>Lady in the Water </v>
      </c>
      <c r="H567" s="2">
        <v>-27727253</v>
      </c>
    </row>
    <row r="568" spans="7:8" x14ac:dyDescent="0.25">
      <c r="G568" s="2" t="str">
        <f ca="1">IFERROR(__xludf.DUMMYFUNCTION("""COMPUTED_VALUE"""),"AVP: Alien vs. Predator ")</f>
        <v>AVP: Alien vs. Predator </v>
      </c>
      <c r="H568" s="2">
        <v>20281096</v>
      </c>
    </row>
    <row r="569" spans="7:8" x14ac:dyDescent="0.25">
      <c r="G569" s="2" t="str">
        <f ca="1">IFERROR(__xludf.DUMMYFUNCTION("""COMPUTED_VALUE"""),"Alvin and the Chipmunks: The Squeakquel ")</f>
        <v>Alvin and the Chipmunks: The Squeakquel </v>
      </c>
      <c r="H569" s="2">
        <v>144613391</v>
      </c>
    </row>
    <row r="570" spans="7:8" x14ac:dyDescent="0.25">
      <c r="G570" s="2" t="str">
        <f ca="1">IFERROR(__xludf.DUMMYFUNCTION("""COMPUTED_VALUE"""),"We Were Soldiers ")</f>
        <v>We Were Soldiers </v>
      </c>
      <c r="H570" s="2">
        <v>3120196</v>
      </c>
    </row>
    <row r="571" spans="7:8" x14ac:dyDescent="0.25">
      <c r="G571" s="2" t="str">
        <f ca="1">IFERROR(__xludf.DUMMYFUNCTION("""COMPUTED_VALUE"""),"Olympus Has Fallen ")</f>
        <v>Olympus Has Fallen </v>
      </c>
      <c r="H571" s="2">
        <v>28895417</v>
      </c>
    </row>
    <row r="572" spans="7:8" x14ac:dyDescent="0.25">
      <c r="G572" s="2" t="str">
        <f ca="1">IFERROR(__xludf.DUMMYFUNCTION("""COMPUTED_VALUE"""),"Star Trek: Insurrection ")</f>
        <v>Star Trek: Insurrection </v>
      </c>
      <c r="H572" s="2">
        <v>12117571</v>
      </c>
    </row>
    <row r="573" spans="7:8" x14ac:dyDescent="0.25">
      <c r="G573" s="2" t="str">
        <f ca="1">IFERROR(__xludf.DUMMYFUNCTION("""COMPUTED_VALUE"""),"Battle Los Angeles ")</f>
        <v>Battle Los Angeles </v>
      </c>
      <c r="H573" s="2">
        <v>13552429</v>
      </c>
    </row>
    <row r="574" spans="7:8" x14ac:dyDescent="0.25">
      <c r="G574" s="2" t="str">
        <f ca="1">IFERROR(__xludf.DUMMYFUNCTION("""COMPUTED_VALUE"""),"Big Fish ")</f>
        <v>Big Fish </v>
      </c>
      <c r="H574" s="2">
        <v>-3742998</v>
      </c>
    </row>
    <row r="575" spans="7:8" x14ac:dyDescent="0.25">
      <c r="G575" s="2" t="str">
        <f ca="1">IFERROR(__xludf.DUMMYFUNCTION("""COMPUTED_VALUE"""),"Wolf ")</f>
        <v>Wolf </v>
      </c>
      <c r="H575" s="2">
        <v>-4988000</v>
      </c>
    </row>
    <row r="576" spans="7:8" x14ac:dyDescent="0.25">
      <c r="G576" s="2" t="str">
        <f ca="1">IFERROR(__xludf.DUMMYFUNCTION("""COMPUTED_VALUE"""),"War Horse ")</f>
        <v>War Horse </v>
      </c>
      <c r="H576" s="2">
        <v>13883359</v>
      </c>
    </row>
    <row r="577" spans="7:8" x14ac:dyDescent="0.25">
      <c r="G577" s="2" t="str">
        <f ca="1">IFERROR(__xludf.DUMMYFUNCTION("""COMPUTED_VALUE"""),"The Monuments Men ")</f>
        <v>The Monuments Men </v>
      </c>
      <c r="H577" s="2">
        <v>8031620</v>
      </c>
    </row>
    <row r="578" spans="7:8" x14ac:dyDescent="0.25">
      <c r="G578" s="2" t="str">
        <f ca="1">IFERROR(__xludf.DUMMYFUNCTION("""COMPUTED_VALUE"""),"The Abyss ")</f>
        <v>The Abyss </v>
      </c>
      <c r="H578" s="2">
        <v>-15278000</v>
      </c>
    </row>
    <row r="579" spans="7:8" x14ac:dyDescent="0.25">
      <c r="G579" s="2" t="str">
        <f ca="1">IFERROR(__xludf.DUMMYFUNCTION("""COMPUTED_VALUE"""),"Wall Street: Money Never Sleeps ")</f>
        <v>Wall Street: Money Never Sleeps </v>
      </c>
      <c r="H579" s="2">
        <v>-17525384</v>
      </c>
    </row>
    <row r="580" spans="7:8" x14ac:dyDescent="0.25">
      <c r="G580" s="2" t="str">
        <f ca="1">IFERROR(__xludf.DUMMYFUNCTION("""COMPUTED_VALUE"""),"Dracula Untold ")</f>
        <v>Dracula Untold </v>
      </c>
      <c r="H580" s="2">
        <v>-14057170</v>
      </c>
    </row>
    <row r="581" spans="7:8" x14ac:dyDescent="0.25">
      <c r="G581" s="2" t="str">
        <f ca="1">IFERROR(__xludf.DUMMYFUNCTION("""COMPUTED_VALUE"""),"The Siege ")</f>
        <v>The Siege </v>
      </c>
      <c r="H581" s="2">
        <v>-29067628</v>
      </c>
    </row>
    <row r="582" spans="7:8" x14ac:dyDescent="0.25">
      <c r="G582" s="2" t="str">
        <f ca="1">IFERROR(__xludf.DUMMYFUNCTION("""COMPUTED_VALUE"""),"Stardust ")</f>
        <v>Stardust </v>
      </c>
      <c r="H582" s="2">
        <v>-31654597</v>
      </c>
    </row>
    <row r="583" spans="7:8" x14ac:dyDescent="0.25">
      <c r="G583" s="2" t="str">
        <f ca="1">IFERROR(__xludf.DUMMYFUNCTION("""COMPUTED_VALUE"""),"Seven Years in Tibet ")</f>
        <v>Seven Years in Tibet </v>
      </c>
      <c r="H583" s="2">
        <v>-32098491</v>
      </c>
    </row>
    <row r="584" spans="7:8" x14ac:dyDescent="0.25">
      <c r="G584" s="2" t="str">
        <f ca="1">IFERROR(__xludf.DUMMYFUNCTION("""COMPUTED_VALUE"""),"The Dilemma ")</f>
        <v>The Dilemma </v>
      </c>
      <c r="H584" s="2">
        <v>-21569645</v>
      </c>
    </row>
    <row r="585" spans="7:8" x14ac:dyDescent="0.25">
      <c r="G585" s="2" t="str">
        <f ca="1">IFERROR(__xludf.DUMMYFUNCTION("""COMPUTED_VALUE"""),"Bad Company ")</f>
        <v>Bad Company </v>
      </c>
      <c r="H585" s="2">
        <v>-39842984</v>
      </c>
    </row>
    <row r="586" spans="7:8" x14ac:dyDescent="0.25">
      <c r="G586" s="2" t="str">
        <f ca="1">IFERROR(__xludf.DUMMYFUNCTION("""COMPUTED_VALUE"""),"Doom ")</f>
        <v>Doom </v>
      </c>
      <c r="H586" s="2">
        <v>-31968750</v>
      </c>
    </row>
    <row r="587" spans="7:8" x14ac:dyDescent="0.25">
      <c r="G587" s="2" t="str">
        <f ca="1">IFERROR(__xludf.DUMMYFUNCTION("""COMPUTED_VALUE"""),"I Spy ")</f>
        <v>I Spy </v>
      </c>
      <c r="H587" s="2">
        <v>-36894400</v>
      </c>
    </row>
    <row r="588" spans="7:8" x14ac:dyDescent="0.25">
      <c r="G588" s="2" t="str">
        <f ca="1">IFERROR(__xludf.DUMMYFUNCTION("""COMPUTED_VALUE"""),"Underworld: Awakening ")</f>
        <v>Underworld: Awakening </v>
      </c>
      <c r="H588" s="2">
        <v>-7678961</v>
      </c>
    </row>
    <row r="589" spans="7:8" x14ac:dyDescent="0.25">
      <c r="G589" s="2" t="str">
        <f ca="1">IFERROR(__xludf.DUMMYFUNCTION("""COMPUTED_VALUE"""),"Rock of Ages ")</f>
        <v>Rock of Ages </v>
      </c>
      <c r="H589" s="2">
        <v>-36490658</v>
      </c>
    </row>
    <row r="590" spans="7:8" x14ac:dyDescent="0.25">
      <c r="G590" s="2" t="str">
        <f ca="1">IFERROR(__xludf.DUMMYFUNCTION("""COMPUTED_VALUE"""),"Hart's War ")</f>
        <v>Hart's War </v>
      </c>
      <c r="H590" s="2">
        <v>-40923185</v>
      </c>
    </row>
    <row r="591" spans="7:8" x14ac:dyDescent="0.25">
      <c r="G591" s="2" t="str">
        <f ca="1">IFERROR(__xludf.DUMMYFUNCTION("""COMPUTED_VALUE"""),"Killer Elite ")</f>
        <v>Killer Elite </v>
      </c>
      <c r="H591" s="2">
        <v>-9906393</v>
      </c>
    </row>
    <row r="592" spans="7:8" x14ac:dyDescent="0.25">
      <c r="G592" s="2" t="str">
        <f ca="1">IFERROR(__xludf.DUMMYFUNCTION("""COMPUTED_VALUE"""),"Rollerball ")</f>
        <v>Rollerball </v>
      </c>
      <c r="H592" s="2">
        <v>-51009458</v>
      </c>
    </row>
    <row r="593" spans="7:8" x14ac:dyDescent="0.25">
      <c r="G593" s="2" t="str">
        <f ca="1">IFERROR(__xludf.DUMMYFUNCTION("""COMPUTED_VALUE"""),"Ballistic: Ecks vs. Sever ")</f>
        <v>Ballistic: Ecks vs. Sever </v>
      </c>
      <c r="H593" s="2">
        <v>-55705158</v>
      </c>
    </row>
    <row r="594" spans="7:8" x14ac:dyDescent="0.25">
      <c r="G594" s="2" t="str">
        <f ca="1">IFERROR(__xludf.DUMMYFUNCTION("""COMPUTED_VALUE"""),"Hard Rain ")</f>
        <v>Hard Rain </v>
      </c>
      <c r="H594" s="2">
        <v>-50180506</v>
      </c>
    </row>
    <row r="595" spans="7:8" x14ac:dyDescent="0.25">
      <c r="G595" s="2" t="str">
        <f ca="1">IFERROR(__xludf.DUMMYFUNCTION("""COMPUTED_VALUE"""),"Osmosis Jones ")</f>
        <v>Osmosis Jones </v>
      </c>
      <c r="H595" s="2">
        <v>-56403089</v>
      </c>
    </row>
    <row r="596" spans="7:8" x14ac:dyDescent="0.25">
      <c r="G596" s="2" t="str">
        <f ca="1">IFERROR(__xludf.DUMMYFUNCTION("""COMPUTED_VALUE"""),"Legends of Oz: Dorothy's Return ")</f>
        <v>Legends of Oz: Dorothy's Return </v>
      </c>
      <c r="H596" s="2">
        <v>-61539010</v>
      </c>
    </row>
    <row r="597" spans="7:8" x14ac:dyDescent="0.25">
      <c r="G597" s="2" t="str">
        <f ca="1">IFERROR(__xludf.DUMMYFUNCTION("""COMPUTED_VALUE"""),"Blackhat ")</f>
        <v>Blackhat </v>
      </c>
      <c r="H597" s="2">
        <v>-62902875</v>
      </c>
    </row>
    <row r="598" spans="7:8" x14ac:dyDescent="0.25">
      <c r="G598" s="2" t="str">
        <f ca="1">IFERROR(__xludf.DUMMYFUNCTION("""COMPUTED_VALUE"""),"Sky Captain and the World of Tomorrow ")</f>
        <v>Sky Captain and the World of Tomorrow </v>
      </c>
      <c r="H598" s="2">
        <v>-32239920</v>
      </c>
    </row>
    <row r="599" spans="7:8" x14ac:dyDescent="0.25">
      <c r="G599" s="2" t="str">
        <f ca="1">IFERROR(__xludf.DUMMYFUNCTION("""COMPUTED_VALUE"""),"Basic Instinct 2 ")</f>
        <v>Basic Instinct 2 </v>
      </c>
      <c r="H599" s="2">
        <v>-64148812</v>
      </c>
    </row>
    <row r="600" spans="7:8" x14ac:dyDescent="0.25">
      <c r="G600" s="2" t="str">
        <f ca="1">IFERROR(__xludf.DUMMYFUNCTION("""COMPUTED_VALUE"""),"Escape Plan ")</f>
        <v>Escape Plan </v>
      </c>
      <c r="H600" s="2">
        <v>-24878709</v>
      </c>
    </row>
    <row r="601" spans="7:8" x14ac:dyDescent="0.25">
      <c r="G601" s="2" t="str">
        <f ca="1">IFERROR(__xludf.DUMMYFUNCTION("""COMPUTED_VALUE"""),"The Legend of Hercules ")</f>
        <v>The Legend of Hercules </v>
      </c>
      <c r="H601" s="2">
        <v>-51178721</v>
      </c>
    </row>
    <row r="602" spans="7:8" x14ac:dyDescent="0.25">
      <c r="G602" s="2" t="str">
        <f ca="1">IFERROR(__xludf.DUMMYFUNCTION("""COMPUTED_VALUE"""),"The Sum of All Fears ")</f>
        <v>The Sum of All Fears </v>
      </c>
      <c r="H602" s="2">
        <v>50471320</v>
      </c>
    </row>
    <row r="603" spans="7:8" x14ac:dyDescent="0.25">
      <c r="G603" s="2" t="str">
        <f ca="1">IFERROR(__xludf.DUMMYFUNCTION("""COMPUTED_VALUE"""),"The Twilight Saga: Eclipse ")</f>
        <v>The Twilight Saga: Eclipse </v>
      </c>
      <c r="H603" s="2">
        <v>232523113</v>
      </c>
    </row>
    <row r="604" spans="7:8" x14ac:dyDescent="0.25">
      <c r="G604" s="2" t="str">
        <f ca="1">IFERROR(__xludf.DUMMYFUNCTION("""COMPUTED_VALUE"""),"The Score ")</f>
        <v>The Score </v>
      </c>
      <c r="H604" s="2">
        <v>3069884</v>
      </c>
    </row>
    <row r="605" spans="7:8" x14ac:dyDescent="0.25">
      <c r="G605" s="2" t="str">
        <f ca="1">IFERROR(__xludf.DUMMYFUNCTION("""COMPUTED_VALUE"""),"Despicable Me ")</f>
        <v>Despicable Me </v>
      </c>
      <c r="H605" s="2">
        <v>182501645</v>
      </c>
    </row>
    <row r="606" spans="7:8" x14ac:dyDescent="0.25">
      <c r="G606" s="2" t="str">
        <f ca="1">IFERROR(__xludf.DUMMYFUNCTION("""COMPUTED_VALUE"""),"Money Train ")</f>
        <v>Money Train </v>
      </c>
      <c r="H606" s="2">
        <v>-32675768</v>
      </c>
    </row>
    <row r="607" spans="7:8" x14ac:dyDescent="0.25">
      <c r="G607" s="2" t="str">
        <f ca="1">IFERROR(__xludf.DUMMYFUNCTION("""COMPUTED_VALUE"""),"Ted 2 ")</f>
        <v>Ted 2 </v>
      </c>
      <c r="H607" s="2">
        <v>13257500</v>
      </c>
    </row>
    <row r="608" spans="7:8" x14ac:dyDescent="0.25">
      <c r="G608" s="2" t="str">
        <f ca="1">IFERROR(__xludf.DUMMYFUNCTION("""COMPUTED_VALUE"""),"Agora ")</f>
        <v>Agora </v>
      </c>
      <c r="H608" s="2">
        <v>-69382160</v>
      </c>
    </row>
    <row r="609" spans="7:8" x14ac:dyDescent="0.25">
      <c r="G609" s="2" t="str">
        <f ca="1">IFERROR(__xludf.DUMMYFUNCTION("""COMPUTED_VALUE"""),"Mystery Men ")</f>
        <v>Mystery Men </v>
      </c>
      <c r="H609" s="2">
        <v>-35344410</v>
      </c>
    </row>
    <row r="610" spans="7:8" x14ac:dyDescent="0.25">
      <c r="G610" s="2" t="str">
        <f ca="1">IFERROR(__xludf.DUMMYFUNCTION("""COMPUTED_VALUE"""),"Hall Pass ")</f>
        <v>Hall Pass </v>
      </c>
      <c r="H610" s="2">
        <v>9045037</v>
      </c>
    </row>
    <row r="611" spans="7:8" x14ac:dyDescent="0.25">
      <c r="G611" s="2" t="str">
        <f ca="1">IFERROR(__xludf.DUMMYFUNCTION("""COMPUTED_VALUE"""),"The Insider ")</f>
        <v>The Insider </v>
      </c>
      <c r="H611" s="2">
        <v>-39034803</v>
      </c>
    </row>
    <row r="612" spans="7:8" x14ac:dyDescent="0.25">
      <c r="G612" s="2" t="str">
        <f ca="1">IFERROR(__xludf.DUMMYFUNCTION("""COMPUTED_VALUE"""),"Body of Lies ")</f>
        <v>Body of Lies </v>
      </c>
      <c r="H612" s="2">
        <v>-30619558</v>
      </c>
    </row>
    <row r="613" spans="7:8" x14ac:dyDescent="0.25">
      <c r="G613" s="2" t="str">
        <f ca="1">IFERROR(__xludf.DUMMYFUNCTION("""COMPUTED_VALUE"""),"Abraham Lincoln: Vampire Hunter ")</f>
        <v>Abraham Lincoln: Vampire Hunter </v>
      </c>
      <c r="H613" s="2">
        <v>-31483987</v>
      </c>
    </row>
    <row r="614" spans="7:8" x14ac:dyDescent="0.25">
      <c r="G614" s="2" t="str">
        <f ca="1">IFERROR(__xludf.DUMMYFUNCTION("""COMPUTED_VALUE"""),"Entrapment ")</f>
        <v>Entrapment </v>
      </c>
      <c r="H614" s="2">
        <v>21704396</v>
      </c>
    </row>
    <row r="615" spans="7:8" x14ac:dyDescent="0.25">
      <c r="G615" s="2" t="str">
        <f ca="1">IFERROR(__xludf.DUMMYFUNCTION("""COMPUTED_VALUE"""),"The X Files ")</f>
        <v>The X Files </v>
      </c>
      <c r="H615" s="2">
        <v>17892374</v>
      </c>
    </row>
    <row r="616" spans="7:8" x14ac:dyDescent="0.25">
      <c r="G616" s="2" t="str">
        <f ca="1">IFERROR(__xludf.DUMMYFUNCTION("""COMPUTED_VALUE"""),"The Last Legion ")</f>
        <v>The Last Legion </v>
      </c>
      <c r="H616" s="2">
        <v>-29067940</v>
      </c>
    </row>
    <row r="617" spans="7:8" x14ac:dyDescent="0.25">
      <c r="G617" s="2" t="str">
        <f ca="1">IFERROR(__xludf.DUMMYFUNCTION("""COMPUTED_VALUE"""),"Saving Private Ryan ")</f>
        <v>Saving Private Ryan </v>
      </c>
      <c r="H617" s="2">
        <v>146119491</v>
      </c>
    </row>
    <row r="618" spans="7:8" x14ac:dyDescent="0.25">
      <c r="G618" s="2" t="str">
        <f ca="1">IFERROR(__xludf.DUMMYFUNCTION("""COMPUTED_VALUE"""),"Need for Speed ")</f>
        <v>Need for Speed </v>
      </c>
      <c r="H618" s="2">
        <v>-22431493</v>
      </c>
    </row>
    <row r="619" spans="7:8" x14ac:dyDescent="0.25">
      <c r="G619" s="2" t="str">
        <f ca="1">IFERROR(__xludf.DUMMYFUNCTION("""COMPUTED_VALUE"""),"What Women Want ")</f>
        <v>What Women Want </v>
      </c>
      <c r="H619" s="2">
        <v>112805123</v>
      </c>
    </row>
    <row r="620" spans="7:8" x14ac:dyDescent="0.25">
      <c r="G620" s="2" t="str">
        <f ca="1">IFERROR(__xludf.DUMMYFUNCTION("""COMPUTED_VALUE"""),"Ice Age ")</f>
        <v>Ice Age </v>
      </c>
      <c r="H620" s="2">
        <v>117387405</v>
      </c>
    </row>
    <row r="621" spans="7:8" x14ac:dyDescent="0.25">
      <c r="G621" s="2" t="str">
        <f ca="1">IFERROR(__xludf.DUMMYFUNCTION("""COMPUTED_VALUE"""),"Dreamcatcher ")</f>
        <v>Dreamcatcher </v>
      </c>
      <c r="H621" s="2">
        <v>-34314732</v>
      </c>
    </row>
    <row r="622" spans="7:8" x14ac:dyDescent="0.25">
      <c r="G622" s="2" t="str">
        <f ca="1">IFERROR(__xludf.DUMMYFUNCTION("""COMPUTED_VALUE"""),"Lincoln ")</f>
        <v>Lincoln </v>
      </c>
      <c r="H622" s="2">
        <v>117204440</v>
      </c>
    </row>
    <row r="623" spans="7:8" x14ac:dyDescent="0.25">
      <c r="G623" s="2" t="str">
        <f ca="1">IFERROR(__xludf.DUMMYFUNCTION("""COMPUTED_VALUE"""),"The Matrix ")</f>
        <v>The Matrix </v>
      </c>
      <c r="H623" s="2">
        <v>108383253</v>
      </c>
    </row>
    <row r="624" spans="7:8" x14ac:dyDescent="0.25">
      <c r="G624" s="2" t="str">
        <f ca="1">IFERROR(__xludf.DUMMYFUNCTION("""COMPUTED_VALUE"""),"Apollo 13 ")</f>
        <v>Apollo 13 </v>
      </c>
      <c r="H624" s="2">
        <v>110071312</v>
      </c>
    </row>
    <row r="625" spans="7:8" x14ac:dyDescent="0.25">
      <c r="G625" s="2" t="str">
        <f ca="1">IFERROR(__xludf.DUMMYFUNCTION("""COMPUTED_VALUE"""),"The Santa Clause 2 ")</f>
        <v>The Santa Clause 2 </v>
      </c>
      <c r="H625" s="2">
        <v>79225854</v>
      </c>
    </row>
    <row r="626" spans="7:8" x14ac:dyDescent="0.25">
      <c r="G626" s="2" t="str">
        <f ca="1">IFERROR(__xludf.DUMMYFUNCTION("""COMPUTED_VALUE"""),"Les Misérables ")</f>
        <v>Les Misérables </v>
      </c>
      <c r="H626" s="2">
        <v>87775460</v>
      </c>
    </row>
    <row r="627" spans="7:8" x14ac:dyDescent="0.25">
      <c r="G627" s="2" t="str">
        <f ca="1">IFERROR(__xludf.DUMMYFUNCTION("""COMPUTED_VALUE"""),"You've Got Mail ")</f>
        <v>You've Got Mail </v>
      </c>
      <c r="H627" s="2">
        <v>50731542</v>
      </c>
    </row>
    <row r="628" spans="7:8" x14ac:dyDescent="0.25">
      <c r="G628" s="2" t="str">
        <f ca="1">IFERROR(__xludf.DUMMYFUNCTION("""COMPUTED_VALUE"""),"Step Brothers ")</f>
        <v>Step Brothers </v>
      </c>
      <c r="H628" s="2">
        <v>35468793</v>
      </c>
    </row>
    <row r="629" spans="7:8" x14ac:dyDescent="0.25">
      <c r="G629" s="2" t="str">
        <f ca="1">IFERROR(__xludf.DUMMYFUNCTION("""COMPUTED_VALUE"""),"The Mask of Zorro ")</f>
        <v>The Mask of Zorro </v>
      </c>
      <c r="H629" s="2">
        <v>28771072</v>
      </c>
    </row>
    <row r="630" spans="7:8" x14ac:dyDescent="0.25">
      <c r="G630" s="2" t="str">
        <f ca="1">IFERROR(__xludf.DUMMYFUNCTION("""COMPUTED_VALUE"""),"Due Date ")</f>
        <v>Due Date </v>
      </c>
      <c r="H630" s="2">
        <v>35448498</v>
      </c>
    </row>
    <row r="631" spans="7:8" x14ac:dyDescent="0.25">
      <c r="G631" s="2" t="str">
        <f ca="1">IFERROR(__xludf.DUMMYFUNCTION("""COMPUTED_VALUE"""),"Unbroken ")</f>
        <v>Unbroken </v>
      </c>
      <c r="H631" s="2">
        <v>50603980</v>
      </c>
    </row>
    <row r="632" spans="7:8" x14ac:dyDescent="0.25">
      <c r="G632" s="2" t="str">
        <f ca="1">IFERROR(__xludf.DUMMYFUNCTION("""COMPUTED_VALUE"""),"Space Cowboys ")</f>
        <v>Space Cowboys </v>
      </c>
      <c r="H632" s="2">
        <v>25454043</v>
      </c>
    </row>
    <row r="633" spans="7:8" x14ac:dyDescent="0.25">
      <c r="G633" s="2" t="str">
        <f ca="1">IFERROR(__xludf.DUMMYFUNCTION("""COMPUTED_VALUE"""),"Cliffhanger ")</f>
        <v>Cliffhanger </v>
      </c>
      <c r="H633" s="2">
        <v>14049211</v>
      </c>
    </row>
    <row r="634" spans="7:8" x14ac:dyDescent="0.25">
      <c r="G634" s="2" t="str">
        <f ca="1">IFERROR(__xludf.DUMMYFUNCTION("""COMPUTED_VALUE"""),"Broken Arrow ")</f>
        <v>Broken Arrow </v>
      </c>
      <c r="H634" s="2">
        <v>20450000</v>
      </c>
    </row>
    <row r="635" spans="7:8" x14ac:dyDescent="0.25">
      <c r="G635" s="2" t="str">
        <f ca="1">IFERROR(__xludf.DUMMYFUNCTION("""COMPUTED_VALUE"""),"The Kid ")</f>
        <v>The Kid </v>
      </c>
      <c r="H635" s="2">
        <v>9688384</v>
      </c>
    </row>
    <row r="636" spans="7:8" x14ac:dyDescent="0.25">
      <c r="G636" s="2" t="str">
        <f ca="1">IFERROR(__xludf.DUMMYFUNCTION("""COMPUTED_VALUE"""),"World Trade Center ")</f>
        <v>World Trade Center </v>
      </c>
      <c r="H636" s="2">
        <v>7236496</v>
      </c>
    </row>
    <row r="637" spans="7:8" x14ac:dyDescent="0.25">
      <c r="G637" s="2" t="str">
        <f ca="1">IFERROR(__xludf.DUMMYFUNCTION("""COMPUTED_VALUE"""),"Mona Lisa Smile ")</f>
        <v>Mona Lisa Smile </v>
      </c>
      <c r="H637" s="2">
        <v>-1304240</v>
      </c>
    </row>
    <row r="638" spans="7:8" x14ac:dyDescent="0.25">
      <c r="G638" s="2" t="str">
        <f ca="1">IFERROR(__xludf.DUMMYFUNCTION("""COMPUTED_VALUE"""),"The Dictator ")</f>
        <v>The Dictator </v>
      </c>
      <c r="H638" s="2">
        <v>-5382932</v>
      </c>
    </row>
    <row r="639" spans="7:8" x14ac:dyDescent="0.25">
      <c r="G639" s="2" t="str">
        <f ca="1">IFERROR(__xludf.DUMMYFUNCTION("""COMPUTED_VALUE"""),"Eyes Wide Shut ")</f>
        <v>Eyes Wide Shut </v>
      </c>
      <c r="H639" s="2">
        <v>-9362320</v>
      </c>
    </row>
    <row r="640" spans="7:8" x14ac:dyDescent="0.25">
      <c r="G640" s="2" t="str">
        <f ca="1">IFERROR(__xludf.DUMMYFUNCTION("""COMPUTED_VALUE"""),"Annie ")</f>
        <v>Annie </v>
      </c>
      <c r="H640" s="2">
        <v>20911262</v>
      </c>
    </row>
    <row r="641" spans="7:8" x14ac:dyDescent="0.25">
      <c r="G641" s="2" t="str">
        <f ca="1">IFERROR(__xludf.DUMMYFUNCTION("""COMPUTED_VALUE"""),"Focus ")</f>
        <v>Focus </v>
      </c>
      <c r="H641" s="2">
        <v>3746915</v>
      </c>
    </row>
    <row r="642" spans="7:8" x14ac:dyDescent="0.25">
      <c r="G642" s="2" t="str">
        <f ca="1">IFERROR(__xludf.DUMMYFUNCTION("""COMPUTED_VALUE"""),"This Means War ")</f>
        <v>This Means War </v>
      </c>
      <c r="H642" s="2">
        <v>-10241539</v>
      </c>
    </row>
    <row r="643" spans="7:8" x14ac:dyDescent="0.25">
      <c r="G643" s="2" t="str">
        <f ca="1">IFERROR(__xludf.DUMMYFUNCTION("""COMPUTED_VALUE"""),"Blade: Trinity ")</f>
        <v>Blade: Trinity </v>
      </c>
      <c r="H643" s="2">
        <v>-12602611</v>
      </c>
    </row>
    <row r="644" spans="7:8" x14ac:dyDescent="0.25">
      <c r="G644" s="2" t="str">
        <f ca="1">IFERROR(__xludf.DUMMYFUNCTION("""COMPUTED_VALUE"""),"Primary Colors ")</f>
        <v>Primary Colors </v>
      </c>
      <c r="H644" s="2">
        <v>-26033943</v>
      </c>
    </row>
    <row r="645" spans="7:8" x14ac:dyDescent="0.25">
      <c r="G645" s="2" t="str">
        <f ca="1">IFERROR(__xludf.DUMMYFUNCTION("""COMPUTED_VALUE"""),"Resident Evil: Retribution ")</f>
        <v>Resident Evil: Retribution </v>
      </c>
      <c r="H645" s="2">
        <v>-22654469</v>
      </c>
    </row>
    <row r="646" spans="7:8" x14ac:dyDescent="0.25">
      <c r="G646" s="2" t="str">
        <f ca="1">IFERROR(__xludf.DUMMYFUNCTION("""COMPUTED_VALUE"""),"Death Race ")</f>
        <v>Death Race </v>
      </c>
      <c r="H646" s="2">
        <v>-8935090</v>
      </c>
    </row>
    <row r="647" spans="7:8" x14ac:dyDescent="0.25">
      <c r="G647" s="2" t="str">
        <f ca="1">IFERROR(__xludf.DUMMYFUNCTION("""COMPUTED_VALUE"""),"The Long Kiss Goodnight ")</f>
        <v>The Long Kiss Goodnight </v>
      </c>
      <c r="H647" s="2">
        <v>-31671949</v>
      </c>
    </row>
    <row r="648" spans="7:8" x14ac:dyDescent="0.25">
      <c r="G648" s="2" t="str">
        <f ca="1">IFERROR(__xludf.DUMMYFUNCTION("""COMPUTED_VALUE"""),"Proof of Life ")</f>
        <v>Proof of Life </v>
      </c>
      <c r="H648" s="2">
        <v>-32401069</v>
      </c>
    </row>
    <row r="649" spans="7:8" x14ac:dyDescent="0.25">
      <c r="G649" s="2" t="str">
        <f ca="1">IFERROR(__xludf.DUMMYFUNCTION("""COMPUTED_VALUE"""),"Zathura: A Space Adventure ")</f>
        <v>Zathura: A Space Adventure </v>
      </c>
      <c r="H649" s="2">
        <v>-36954460</v>
      </c>
    </row>
    <row r="650" spans="7:8" x14ac:dyDescent="0.25">
      <c r="G650" s="2" t="str">
        <f ca="1">IFERROR(__xludf.DUMMYFUNCTION("""COMPUTED_VALUE"""),"Fight Club ")</f>
        <v>Fight Club </v>
      </c>
      <c r="H650" s="2">
        <v>-25976605</v>
      </c>
    </row>
    <row r="651" spans="7:8" x14ac:dyDescent="0.25">
      <c r="G651" s="2" t="str">
        <f ca="1">IFERROR(__xludf.DUMMYFUNCTION("""COMPUTED_VALUE"""),"We Are Marshall ")</f>
        <v>We Are Marshall </v>
      </c>
      <c r="H651" s="2">
        <v>-21467706</v>
      </c>
    </row>
    <row r="652" spans="7:8" x14ac:dyDescent="0.25">
      <c r="G652" s="2" t="str">
        <f ca="1">IFERROR(__xludf.DUMMYFUNCTION("""COMPUTED_VALUE"""),"Hudson Hawk ")</f>
        <v>Hudson Hawk </v>
      </c>
      <c r="H652" s="2">
        <v>-52781920</v>
      </c>
    </row>
    <row r="653" spans="7:8" x14ac:dyDescent="0.25">
      <c r="G653" s="2" t="str">
        <f ca="1">IFERROR(__xludf.DUMMYFUNCTION("""COMPUTED_VALUE"""),"Lucky Numbers ")</f>
        <v>Lucky Numbers </v>
      </c>
      <c r="H653" s="2">
        <v>-54985766</v>
      </c>
    </row>
    <row r="654" spans="7:8" x14ac:dyDescent="0.25">
      <c r="G654" s="2" t="str">
        <f ca="1">IFERROR(__xludf.DUMMYFUNCTION("""COMPUTED_VALUE"""),"I, Frankenstein ")</f>
        <v>I, Frankenstein </v>
      </c>
      <c r="H654" s="2">
        <v>-45940982</v>
      </c>
    </row>
    <row r="655" spans="7:8" x14ac:dyDescent="0.25">
      <c r="G655" s="2" t="str">
        <f ca="1">IFERROR(__xludf.DUMMYFUNCTION("""COMPUTED_VALUE"""),"Oliver Twist ")</f>
        <v>Oliver Twist </v>
      </c>
      <c r="H655" s="2">
        <v>-48012713</v>
      </c>
    </row>
    <row r="656" spans="7:8" x14ac:dyDescent="0.25">
      <c r="G656" s="2" t="str">
        <f ca="1">IFERROR(__xludf.DUMMYFUNCTION("""COMPUTED_VALUE"""),"Elektra ")</f>
        <v>Elektra </v>
      </c>
      <c r="H656" s="2">
        <v>-18592056</v>
      </c>
    </row>
    <row r="657" spans="7:8" x14ac:dyDescent="0.25">
      <c r="G657" s="2" t="str">
        <f ca="1">IFERROR(__xludf.DUMMYFUNCTION("""COMPUTED_VALUE"""),"Sin City: A Dame to Kill For ")</f>
        <v>Sin City: A Dame to Kill For </v>
      </c>
      <c r="H657" s="2">
        <v>-51249444</v>
      </c>
    </row>
    <row r="658" spans="7:8" x14ac:dyDescent="0.25">
      <c r="G658" s="2" t="str">
        <f ca="1">IFERROR(__xludf.DUMMYFUNCTION("""COMPUTED_VALUE"""),"Random Hearts ")</f>
        <v>Random Hearts </v>
      </c>
      <c r="H658" s="2">
        <v>-32945076</v>
      </c>
    </row>
    <row r="659" spans="7:8" x14ac:dyDescent="0.25">
      <c r="G659" s="2" t="str">
        <f ca="1">IFERROR(__xludf.DUMMYFUNCTION("""COMPUTED_VALUE"""),"Everest ")</f>
        <v>Everest </v>
      </c>
      <c r="H659" s="2">
        <v>-11752860</v>
      </c>
    </row>
    <row r="660" spans="7:8" x14ac:dyDescent="0.25">
      <c r="G660" s="2" t="str">
        <f ca="1">IFERROR(__xludf.DUMMYFUNCTION("""COMPUTED_VALUE"""),"Perfume: The Story of a Murderer ")</f>
        <v>Perfume: The Story of a Murderer </v>
      </c>
      <c r="H660" s="2">
        <v>-47791061</v>
      </c>
    </row>
    <row r="661" spans="7:8" x14ac:dyDescent="0.25">
      <c r="G661" s="2" t="str">
        <f ca="1">IFERROR(__xludf.DUMMYFUNCTION("""COMPUTED_VALUE"""),"Austin Powers in Goldmember ")</f>
        <v>Austin Powers in Goldmember </v>
      </c>
      <c r="H661" s="2">
        <v>150079163</v>
      </c>
    </row>
    <row r="662" spans="7:8" x14ac:dyDescent="0.25">
      <c r="G662" s="2" t="str">
        <f ca="1">IFERROR(__xludf.DUMMYFUNCTION("""COMPUTED_VALUE"""),"Astro Boy ")</f>
        <v>Astro Boy </v>
      </c>
      <c r="H662" s="2">
        <v>-45451936</v>
      </c>
    </row>
    <row r="663" spans="7:8" x14ac:dyDescent="0.25">
      <c r="G663" s="2" t="str">
        <f ca="1">IFERROR(__xludf.DUMMYFUNCTION("""COMPUTED_VALUE"""),"Jurassic Park ")</f>
        <v>Jurassic Park </v>
      </c>
      <c r="H663" s="2">
        <v>293784000</v>
      </c>
    </row>
    <row r="664" spans="7:8" x14ac:dyDescent="0.25">
      <c r="G664" s="2" t="str">
        <f ca="1">IFERROR(__xludf.DUMMYFUNCTION("""COMPUTED_VALUE"""),"Wyatt Earp ")</f>
        <v>Wyatt Earp </v>
      </c>
      <c r="H664" s="2">
        <v>-37948000</v>
      </c>
    </row>
    <row r="665" spans="7:8" x14ac:dyDescent="0.25">
      <c r="G665" s="2" t="str">
        <f ca="1">IFERROR(__xludf.DUMMYFUNCTION("""COMPUTED_VALUE"""),"Clear and Present Danger ")</f>
        <v>Clear and Present Danger </v>
      </c>
      <c r="H665" s="2">
        <v>60012710</v>
      </c>
    </row>
    <row r="666" spans="7:8" x14ac:dyDescent="0.25">
      <c r="G666" s="2" t="str">
        <f ca="1">IFERROR(__xludf.DUMMYFUNCTION("""COMPUTED_VALUE"""),"Dragon Blade ")</f>
        <v>Dragon Blade </v>
      </c>
      <c r="H666" s="2">
        <v>-64927587</v>
      </c>
    </row>
    <row r="667" spans="7:8" x14ac:dyDescent="0.25">
      <c r="G667" s="2" t="str">
        <f ca="1">IFERROR(__xludf.DUMMYFUNCTION("""COMPUTED_VALUE"""),"Littleman ")</f>
        <v>Littleman </v>
      </c>
      <c r="H667" s="2">
        <v>-5744713</v>
      </c>
    </row>
    <row r="668" spans="7:8" x14ac:dyDescent="0.25">
      <c r="G668" s="2" t="str">
        <f ca="1">IFERROR(__xludf.DUMMYFUNCTION("""COMPUTED_VALUE"""),"U-571 ")</f>
        <v>U-571 </v>
      </c>
      <c r="H668" s="2">
        <v>15086030</v>
      </c>
    </row>
    <row r="669" spans="7:8" x14ac:dyDescent="0.25">
      <c r="G669" s="2" t="str">
        <f ca="1">IFERROR(__xludf.DUMMYFUNCTION("""COMPUTED_VALUE"""),"The American President ")</f>
        <v>The American President </v>
      </c>
      <c r="H669" s="2">
        <v>3000000</v>
      </c>
    </row>
    <row r="670" spans="7:8" x14ac:dyDescent="0.25">
      <c r="G670" s="2" t="str">
        <f ca="1">IFERROR(__xludf.DUMMYFUNCTION("""COMPUTED_VALUE"""),"The Love Guru ")</f>
        <v>The Love Guru </v>
      </c>
      <c r="H670" s="2">
        <v>-29821223</v>
      </c>
    </row>
    <row r="671" spans="7:8" x14ac:dyDescent="0.25">
      <c r="G671" s="2" t="str">
        <f ca="1">IFERROR(__xludf.DUMMYFUNCTION("""COMPUTED_VALUE"""),"3000 Miles to Graceland ")</f>
        <v>3000 Miles to Graceland </v>
      </c>
      <c r="H671" s="2">
        <v>-26261368</v>
      </c>
    </row>
    <row r="672" spans="7:8" x14ac:dyDescent="0.25">
      <c r="G672" s="2" t="str">
        <f ca="1">IFERROR(__xludf.DUMMYFUNCTION("""COMPUTED_VALUE"""),"The Hateful Eight ")</f>
        <v>The Hateful Eight </v>
      </c>
      <c r="H672" s="2">
        <v>10116191</v>
      </c>
    </row>
    <row r="673" spans="7:8" x14ac:dyDescent="0.25">
      <c r="G673" s="2" t="str">
        <f ca="1">IFERROR(__xludf.DUMMYFUNCTION("""COMPUTED_VALUE"""),"Blades of Glory ")</f>
        <v>Blades of Glory </v>
      </c>
      <c r="H673" s="2">
        <v>57153533</v>
      </c>
    </row>
    <row r="674" spans="7:8" x14ac:dyDescent="0.25">
      <c r="G674" s="2" t="str">
        <f ca="1">IFERROR(__xludf.DUMMYFUNCTION("""COMPUTED_VALUE"""),"Hop ")</f>
        <v>Hop </v>
      </c>
      <c r="H674" s="2">
        <v>45012170</v>
      </c>
    </row>
    <row r="675" spans="7:8" x14ac:dyDescent="0.25">
      <c r="G675" s="2" t="str">
        <f ca="1">IFERROR(__xludf.DUMMYFUNCTION("""COMPUTED_VALUE"""),"300 ")</f>
        <v>300 </v>
      </c>
      <c r="H675" s="2">
        <v>145592590</v>
      </c>
    </row>
    <row r="676" spans="7:8" x14ac:dyDescent="0.25">
      <c r="G676" s="2" t="str">
        <f ca="1">IFERROR(__xludf.DUMMYFUNCTION("""COMPUTED_VALUE"""),"Meet the Fockers ")</f>
        <v>Meet the Fockers </v>
      </c>
      <c r="H676" s="2">
        <v>199167575</v>
      </c>
    </row>
    <row r="677" spans="7:8" x14ac:dyDescent="0.25">
      <c r="G677" s="2" t="str">
        <f ca="1">IFERROR(__xludf.DUMMYFUNCTION("""COMPUTED_VALUE"""),"Marley &amp; Me ")</f>
        <v>Marley &amp; Me </v>
      </c>
      <c r="H677" s="2">
        <v>83151473</v>
      </c>
    </row>
    <row r="678" spans="7:8" x14ac:dyDescent="0.25">
      <c r="G678" s="2" t="str">
        <f ca="1">IFERROR(__xludf.DUMMYFUNCTION("""COMPUTED_VALUE"""),"The Green Mile ")</f>
        <v>The Green Mile </v>
      </c>
      <c r="H678" s="2">
        <v>76801374</v>
      </c>
    </row>
    <row r="679" spans="7:8" x14ac:dyDescent="0.25">
      <c r="G679" s="2" t="str">
        <f ca="1">IFERROR(__xludf.DUMMYFUNCTION("""COMPUTED_VALUE"""),"Chicken Little ")</f>
        <v>Chicken Little </v>
      </c>
      <c r="H679" s="2">
        <v>-14618493</v>
      </c>
    </row>
    <row r="680" spans="7:8" x14ac:dyDescent="0.25">
      <c r="G680" s="2" t="str">
        <f ca="1">IFERROR(__xludf.DUMMYFUNCTION("""COMPUTED_VALUE"""),"Gone Girl ")</f>
        <v>Gone Girl </v>
      </c>
      <c r="H680" s="2">
        <v>106735396</v>
      </c>
    </row>
    <row r="681" spans="7:8" x14ac:dyDescent="0.25">
      <c r="G681" s="2" t="str">
        <f ca="1">IFERROR(__xludf.DUMMYFUNCTION("""COMPUTED_VALUE"""),"The Bourne Identity ")</f>
        <v>The Bourne Identity </v>
      </c>
      <c r="H681" s="2">
        <v>61468960</v>
      </c>
    </row>
    <row r="682" spans="7:8" x14ac:dyDescent="0.25">
      <c r="G682" s="2" t="str">
        <f ca="1">IFERROR(__xludf.DUMMYFUNCTION("""COMPUTED_VALUE"""),"GoldenEye ")</f>
        <v>GoldenEye </v>
      </c>
      <c r="H682" s="2">
        <v>48635996</v>
      </c>
    </row>
    <row r="683" spans="7:8" x14ac:dyDescent="0.25">
      <c r="G683" s="2" t="str">
        <f ca="1">IFERROR(__xludf.DUMMYFUNCTION("""COMPUTED_VALUE"""),"The General's Daughter ")</f>
        <v>The General's Daughter </v>
      </c>
      <c r="H683" s="2">
        <v>7678089</v>
      </c>
    </row>
    <row r="684" spans="7:8" x14ac:dyDescent="0.25">
      <c r="G684" s="2" t="str">
        <f ca="1">IFERROR(__xludf.DUMMYFUNCTION("""COMPUTED_VALUE"""),"The Truman Show ")</f>
        <v>The Truman Show </v>
      </c>
      <c r="H684" s="2">
        <v>65603360</v>
      </c>
    </row>
    <row r="685" spans="7:8" x14ac:dyDescent="0.25">
      <c r="G685" s="2" t="str">
        <f ca="1">IFERROR(__xludf.DUMMYFUNCTION("""COMPUTED_VALUE"""),"The Prince of Egypt ")</f>
        <v>The Prince of Egypt </v>
      </c>
      <c r="H685" s="2">
        <v>31217900</v>
      </c>
    </row>
    <row r="686" spans="7:8" x14ac:dyDescent="0.25">
      <c r="G686" s="2" t="str">
        <f ca="1">IFERROR(__xludf.DUMMYFUNCTION("""COMPUTED_VALUE"""),"Daddy Day Care ")</f>
        <v>Daddy Day Care </v>
      </c>
      <c r="H686" s="2">
        <v>44148781</v>
      </c>
    </row>
    <row r="687" spans="7:8" x14ac:dyDescent="0.25">
      <c r="G687" s="2" t="str">
        <f ca="1">IFERROR(__xludf.DUMMYFUNCTION("""COMPUTED_VALUE"""),"2 Guns ")</f>
        <v>2 Guns </v>
      </c>
      <c r="H687" s="2">
        <v>14573300</v>
      </c>
    </row>
    <row r="688" spans="7:8" x14ac:dyDescent="0.25">
      <c r="G688" s="2" t="str">
        <f ca="1">IFERROR(__xludf.DUMMYFUNCTION("""COMPUTED_VALUE"""),"Cats &amp; Dogs ")</f>
        <v>Cats &amp; Dogs </v>
      </c>
      <c r="H688" s="2">
        <v>33375151</v>
      </c>
    </row>
    <row r="689" spans="7:8" x14ac:dyDescent="0.25">
      <c r="G689" s="2" t="str">
        <f ca="1">IFERROR(__xludf.DUMMYFUNCTION("""COMPUTED_VALUE"""),"The Italian Job ")</f>
        <v>The Italian Job </v>
      </c>
      <c r="H689" s="2">
        <v>46126012</v>
      </c>
    </row>
    <row r="690" spans="7:8" x14ac:dyDescent="0.25">
      <c r="G690" s="2" t="str">
        <f ca="1">IFERROR(__xludf.DUMMYFUNCTION("""COMPUTED_VALUE"""),"Two Weeks Notice ")</f>
        <v>Two Weeks Notice </v>
      </c>
      <c r="H690" s="2">
        <v>33307796</v>
      </c>
    </row>
    <row r="691" spans="7:8" x14ac:dyDescent="0.25">
      <c r="G691" s="2" t="str">
        <f ca="1">IFERROR(__xludf.DUMMYFUNCTION("""COMPUTED_VALUE"""),"Antz ")</f>
        <v>Antz </v>
      </c>
      <c r="H691" s="2">
        <v>-14353446</v>
      </c>
    </row>
    <row r="692" spans="7:8" x14ac:dyDescent="0.25">
      <c r="G692" s="2" t="str">
        <f ca="1">IFERROR(__xludf.DUMMYFUNCTION("""COMPUTED_VALUE"""),"Couples Retreat ")</f>
        <v>Couples Retreat </v>
      </c>
      <c r="H692" s="2">
        <v>49176215</v>
      </c>
    </row>
    <row r="693" spans="7:8" x14ac:dyDescent="0.25">
      <c r="G693" s="2" t="str">
        <f ca="1">IFERROR(__xludf.DUMMYFUNCTION("""COMPUTED_VALUE"""),"Days of Thunder ")</f>
        <v>Days of Thunder </v>
      </c>
      <c r="H693" s="2">
        <v>22670733</v>
      </c>
    </row>
    <row r="694" spans="7:8" x14ac:dyDescent="0.25">
      <c r="G694" s="2" t="str">
        <f ca="1">IFERROR(__xludf.DUMMYFUNCTION("""COMPUTED_VALUE"""),"Cheaper by the Dozen 2 ")</f>
        <v>Cheaper by the Dozen 2 </v>
      </c>
      <c r="H694" s="2">
        <v>22569532</v>
      </c>
    </row>
    <row r="695" spans="7:8" x14ac:dyDescent="0.25">
      <c r="G695" s="2" t="str">
        <f ca="1">IFERROR(__xludf.DUMMYFUNCTION("""COMPUTED_VALUE"""),"The Scorch Trials ")</f>
        <v>The Scorch Trials </v>
      </c>
      <c r="H695" s="2">
        <v>20687587</v>
      </c>
    </row>
    <row r="696" spans="7:8" x14ac:dyDescent="0.25">
      <c r="G696" s="2" t="str">
        <f ca="1">IFERROR(__xludf.DUMMYFUNCTION("""COMPUTED_VALUE"""),"Eat Pray Love ")</f>
        <v>Eat Pray Love </v>
      </c>
      <c r="H696" s="2">
        <v>20574010</v>
      </c>
    </row>
    <row r="697" spans="7:8" x14ac:dyDescent="0.25">
      <c r="G697" s="2" t="str">
        <f ca="1">IFERROR(__xludf.DUMMYFUNCTION("""COMPUTED_VALUE"""),"The Family Man ")</f>
        <v>The Family Man </v>
      </c>
      <c r="H697" s="2">
        <v>15764085</v>
      </c>
    </row>
    <row r="698" spans="7:8" x14ac:dyDescent="0.25">
      <c r="G698" s="2" t="str">
        <f ca="1">IFERROR(__xludf.DUMMYFUNCTION("""COMPUTED_VALUE"""),"RED ")</f>
        <v>RED </v>
      </c>
      <c r="H698" s="2">
        <v>32356857</v>
      </c>
    </row>
    <row r="699" spans="7:8" x14ac:dyDescent="0.25">
      <c r="G699" s="2" t="str">
        <f ca="1">IFERROR(__xludf.DUMMYFUNCTION("""COMPUTED_VALUE"""),"Any Given Sunday ")</f>
        <v>Any Given Sunday </v>
      </c>
      <c r="H699" s="2">
        <v>20530832</v>
      </c>
    </row>
    <row r="700" spans="7:8" x14ac:dyDescent="0.25">
      <c r="G700" s="2" t="str">
        <f ca="1">IFERROR(__xludf.DUMMYFUNCTION("""COMPUTED_VALUE"""),"The Horse Whisperer ")</f>
        <v>The Horse Whisperer </v>
      </c>
      <c r="H700" s="2">
        <v>15370763</v>
      </c>
    </row>
    <row r="701" spans="7:8" x14ac:dyDescent="0.25">
      <c r="G701" s="2" t="str">
        <f ca="1">IFERROR(__xludf.DUMMYFUNCTION("""COMPUTED_VALUE"""),"Collateral ")</f>
        <v>Collateral </v>
      </c>
      <c r="H701" s="2">
        <v>35003492</v>
      </c>
    </row>
    <row r="702" spans="7:8" x14ac:dyDescent="0.25">
      <c r="G702" s="2" t="str">
        <f ca="1">IFERROR(__xludf.DUMMYFUNCTION("""COMPUTED_VALUE"""),"The Scorpion King ")</f>
        <v>The Scorpion King </v>
      </c>
      <c r="H702" s="2">
        <v>30341670</v>
      </c>
    </row>
    <row r="703" spans="7:8" x14ac:dyDescent="0.25">
      <c r="G703" s="2" t="str">
        <f ca="1">IFERROR(__xludf.DUMMYFUNCTION("""COMPUTED_VALUE"""),"Ladder 49 ")</f>
        <v>Ladder 49 </v>
      </c>
      <c r="H703" s="2">
        <v>19540762</v>
      </c>
    </row>
    <row r="704" spans="7:8" x14ac:dyDescent="0.25">
      <c r="G704" s="2" t="str">
        <f ca="1">IFERROR(__xludf.DUMMYFUNCTION("""COMPUTED_VALUE"""),"Jack Reacher ")</f>
        <v>Jack Reacher </v>
      </c>
      <c r="H704" s="2">
        <v>20033643</v>
      </c>
    </row>
    <row r="705" spans="7:8" x14ac:dyDescent="0.25">
      <c r="G705" s="2" t="str">
        <f ca="1">IFERROR(__xludf.DUMMYFUNCTION("""COMPUTED_VALUE"""),"Deep Blue Sea ")</f>
        <v>Deep Blue Sea </v>
      </c>
      <c r="H705" s="2">
        <v>13648142</v>
      </c>
    </row>
    <row r="706" spans="7:8" x14ac:dyDescent="0.25">
      <c r="G706" s="2" t="str">
        <f ca="1">IFERROR(__xludf.DUMMYFUNCTION("""COMPUTED_VALUE"""),"This Is It ")</f>
        <v>This Is It </v>
      </c>
      <c r="H706" s="2">
        <v>11844424</v>
      </c>
    </row>
    <row r="707" spans="7:8" x14ac:dyDescent="0.25">
      <c r="G707" s="2" t="str">
        <f ca="1">IFERROR(__xludf.DUMMYFUNCTION("""COMPUTED_VALUE"""),"Contagion ")</f>
        <v>Contagion </v>
      </c>
      <c r="H707" s="2">
        <v>15638743</v>
      </c>
    </row>
    <row r="708" spans="7:8" x14ac:dyDescent="0.25">
      <c r="G708" s="2" t="str">
        <f ca="1">IFERROR(__xludf.DUMMYFUNCTION("""COMPUTED_VALUE"""),"Kangaroo Jack ")</f>
        <v>Kangaroo Jack </v>
      </c>
      <c r="H708" s="2">
        <v>6734992</v>
      </c>
    </row>
    <row r="709" spans="7:8" x14ac:dyDescent="0.25">
      <c r="G709" s="2" t="str">
        <f ca="1">IFERROR(__xludf.DUMMYFUNCTION("""COMPUTED_VALUE"""),"Coraline ")</f>
        <v>Coraline </v>
      </c>
      <c r="H709" s="2">
        <v>15280058</v>
      </c>
    </row>
    <row r="710" spans="7:8" x14ac:dyDescent="0.25">
      <c r="G710" s="2" t="str">
        <f ca="1">IFERROR(__xludf.DUMMYFUNCTION("""COMPUTED_VALUE"""),"The Happening ")</f>
        <v>The Happening </v>
      </c>
      <c r="H710" s="2">
        <v>16505912</v>
      </c>
    </row>
    <row r="711" spans="7:8" x14ac:dyDescent="0.25">
      <c r="G711" s="2" t="str">
        <f ca="1">IFERROR(__xludf.DUMMYFUNCTION("""COMPUTED_VALUE"""),"Man on Fire ")</f>
        <v>Man on Fire </v>
      </c>
      <c r="H711" s="2">
        <v>7862546</v>
      </c>
    </row>
    <row r="712" spans="7:8" x14ac:dyDescent="0.25">
      <c r="G712" s="2" t="str">
        <f ca="1">IFERROR(__xludf.DUMMYFUNCTION("""COMPUTED_VALUE"""),"The Shaggy Dog ")</f>
        <v>The Shaggy Dog </v>
      </c>
      <c r="H712" s="2">
        <v>11112916</v>
      </c>
    </row>
    <row r="713" spans="7:8" x14ac:dyDescent="0.25">
      <c r="G713" s="2" t="str">
        <f ca="1">IFERROR(__xludf.DUMMYFUNCTION("""COMPUTED_VALUE"""),"Starsky &amp; Hutch ")</f>
        <v>Starsky &amp; Hutch </v>
      </c>
      <c r="H713" s="2">
        <v>28200225</v>
      </c>
    </row>
    <row r="714" spans="7:8" x14ac:dyDescent="0.25">
      <c r="G714" s="2" t="str">
        <f ca="1">IFERROR(__xludf.DUMMYFUNCTION("""COMPUTED_VALUE"""),"Jingle All the Way ")</f>
        <v>Jingle All the Way </v>
      </c>
      <c r="H714" s="2">
        <v>573641</v>
      </c>
    </row>
    <row r="715" spans="7:8" x14ac:dyDescent="0.25">
      <c r="G715" s="2" t="str">
        <f ca="1">IFERROR(__xludf.DUMMYFUNCTION("""COMPUTED_VALUE"""),"Hellboy ")</f>
        <v>Hellboy </v>
      </c>
      <c r="H715" s="2">
        <v>-6964896</v>
      </c>
    </row>
    <row r="716" spans="7:8" x14ac:dyDescent="0.25">
      <c r="G716" s="2" t="str">
        <f ca="1">IFERROR(__xludf.DUMMYFUNCTION("""COMPUTED_VALUE"""),"A Civil Action ")</f>
        <v>A Civil Action </v>
      </c>
      <c r="H716" s="2">
        <v>-3297099</v>
      </c>
    </row>
    <row r="717" spans="7:8" x14ac:dyDescent="0.25">
      <c r="G717" s="2" t="str">
        <f ca="1">IFERROR(__xludf.DUMMYFUNCTION("""COMPUTED_VALUE"""),"ParaNorman ")</f>
        <v>ParaNorman </v>
      </c>
      <c r="H717" s="2">
        <v>-4005443</v>
      </c>
    </row>
    <row r="718" spans="7:8" x14ac:dyDescent="0.25">
      <c r="G718" s="2" t="str">
        <f ca="1">IFERROR(__xludf.DUMMYFUNCTION("""COMPUTED_VALUE"""),"The Jackal ")</f>
        <v>The Jackal </v>
      </c>
      <c r="H718" s="2">
        <v>-5089440</v>
      </c>
    </row>
    <row r="719" spans="7:8" x14ac:dyDescent="0.25">
      <c r="G719" s="2" t="str">
        <f ca="1">IFERROR(__xludf.DUMMYFUNCTION("""COMPUTED_VALUE"""),"Paycheck ")</f>
        <v>Paycheck </v>
      </c>
      <c r="H719" s="2">
        <v>-6210687</v>
      </c>
    </row>
    <row r="720" spans="7:8" x14ac:dyDescent="0.25">
      <c r="G720" s="2" t="str">
        <f ca="1">IFERROR(__xludf.DUMMYFUNCTION("""COMPUTED_VALUE"""),"Up Close &amp; Personal ")</f>
        <v>Up Close &amp; Personal </v>
      </c>
      <c r="H720" s="2">
        <v>-8954199</v>
      </c>
    </row>
    <row r="721" spans="7:8" x14ac:dyDescent="0.25">
      <c r="G721" s="2" t="str">
        <f ca="1">IFERROR(__xludf.DUMMYFUNCTION("""COMPUTED_VALUE"""),"The Tale of Despereaux ")</f>
        <v>The Tale of Despereaux </v>
      </c>
      <c r="H721" s="2">
        <v>-9181250</v>
      </c>
    </row>
    <row r="722" spans="7:8" x14ac:dyDescent="0.25">
      <c r="G722" s="2" t="str">
        <f ca="1">IFERROR(__xludf.DUMMYFUNCTION("""COMPUTED_VALUE"""),"The Tuxedo ")</f>
        <v>The Tuxedo </v>
      </c>
      <c r="H722" s="2">
        <v>-9810821</v>
      </c>
    </row>
    <row r="723" spans="7:8" x14ac:dyDescent="0.25">
      <c r="G723" s="2" t="str">
        <f ca="1">IFERROR(__xludf.DUMMYFUNCTION("""COMPUTED_VALUE"""),"Under Siege 2: Dark Territory ")</f>
        <v>Under Siege 2: Dark Territory </v>
      </c>
      <c r="H723" s="2">
        <v>-9975917</v>
      </c>
    </row>
    <row r="724" spans="7:8" x14ac:dyDescent="0.25">
      <c r="G724" s="2" t="str">
        <f ca="1">IFERROR(__xludf.DUMMYFUNCTION("""COMPUTED_VALUE"""),"Jack Ryan: Shadow Recruit ")</f>
        <v>Jack Ryan: Shadow Recruit </v>
      </c>
      <c r="H724" s="2">
        <v>-9450893</v>
      </c>
    </row>
    <row r="725" spans="7:8" x14ac:dyDescent="0.25">
      <c r="G725" s="2" t="str">
        <f ca="1">IFERROR(__xludf.DUMMYFUNCTION("""COMPUTED_VALUE"""),"Joy ")</f>
        <v>Joy </v>
      </c>
      <c r="H725" s="2">
        <v>-3556518</v>
      </c>
    </row>
    <row r="726" spans="7:8" x14ac:dyDescent="0.25">
      <c r="G726" s="2" t="str">
        <f ca="1">IFERROR(__xludf.DUMMYFUNCTION("""COMPUTED_VALUE"""),"London Has Fallen ")</f>
        <v>London Has Fallen </v>
      </c>
      <c r="H726" s="2">
        <v>2401264</v>
      </c>
    </row>
    <row r="727" spans="7:8" x14ac:dyDescent="0.25">
      <c r="G727" s="2" t="str">
        <f ca="1">IFERROR(__xludf.DUMMYFUNCTION("""COMPUTED_VALUE"""),"Alien: Resurrection ")</f>
        <v>Alien: Resurrection </v>
      </c>
      <c r="H727" s="2">
        <v>-27251390</v>
      </c>
    </row>
    <row r="728" spans="7:8" x14ac:dyDescent="0.25">
      <c r="G728" s="2" t="str">
        <f ca="1">IFERROR(__xludf.DUMMYFUNCTION("""COMPUTED_VALUE"""),"Shooter ")</f>
        <v>Shooter </v>
      </c>
      <c r="H728" s="2">
        <v>-14024817</v>
      </c>
    </row>
    <row r="729" spans="7:8" x14ac:dyDescent="0.25">
      <c r="G729" s="2" t="str">
        <f ca="1">IFERROR(__xludf.DUMMYFUNCTION("""COMPUTED_VALUE"""),"The Boxtrolls ")</f>
        <v>The Boxtrolls </v>
      </c>
      <c r="H729" s="2">
        <v>-9192361</v>
      </c>
    </row>
    <row r="730" spans="7:8" x14ac:dyDescent="0.25">
      <c r="G730" s="2" t="str">
        <f ca="1">IFERROR(__xludf.DUMMYFUNCTION("""COMPUTED_VALUE"""),"Practical Magic ")</f>
        <v>Practical Magic </v>
      </c>
      <c r="H730" s="2">
        <v>-1388796</v>
      </c>
    </row>
    <row r="731" spans="7:8" x14ac:dyDescent="0.25">
      <c r="G731" s="2" t="str">
        <f ca="1">IFERROR(__xludf.DUMMYFUNCTION("""COMPUTED_VALUE"""),"The Lego Movie ")</f>
        <v>The Lego Movie </v>
      </c>
      <c r="H731" s="2">
        <v>197756197</v>
      </c>
    </row>
    <row r="732" spans="7:8" x14ac:dyDescent="0.25">
      <c r="G732" s="2" t="str">
        <f ca="1">IFERROR(__xludf.DUMMYFUNCTION("""COMPUTED_VALUE"""),"Miss Congeniality 2: Armed and Fabulous ")</f>
        <v>Miss Congeniality 2: Armed and Fabulous </v>
      </c>
      <c r="H732" s="2">
        <v>3472213</v>
      </c>
    </row>
    <row r="733" spans="7:8" x14ac:dyDescent="0.25">
      <c r="G733" s="2" t="str">
        <f ca="1">IFERROR(__xludf.DUMMYFUNCTION("""COMPUTED_VALUE"""),"Reign of Fire ")</f>
        <v>Reign of Fire </v>
      </c>
      <c r="H733" s="2">
        <v>-16939434</v>
      </c>
    </row>
    <row r="734" spans="7:8" x14ac:dyDescent="0.25">
      <c r="G734" s="2" t="str">
        <f ca="1">IFERROR(__xludf.DUMMYFUNCTION("""COMPUTED_VALUE"""),"Gangster Squad ")</f>
        <v>Gangster Squad </v>
      </c>
      <c r="H734" s="2">
        <v>-14003282</v>
      </c>
    </row>
    <row r="735" spans="7:8" x14ac:dyDescent="0.25">
      <c r="G735" s="2" t="str">
        <f ca="1">IFERROR(__xludf.DUMMYFUNCTION("""COMPUTED_VALUE"""),"Year One ")</f>
        <v>Year One </v>
      </c>
      <c r="H735" s="2">
        <v>-16662721</v>
      </c>
    </row>
    <row r="736" spans="7:8" x14ac:dyDescent="0.25">
      <c r="G736" s="2" t="str">
        <f ca="1">IFERROR(__xludf.DUMMYFUNCTION("""COMPUTED_VALUE"""),"Invictus ")</f>
        <v>Invictus </v>
      </c>
      <c r="H736" s="2">
        <v>-22520222</v>
      </c>
    </row>
    <row r="737" spans="7:8" x14ac:dyDescent="0.25">
      <c r="G737" s="2" t="str">
        <f ca="1">IFERROR(__xludf.DUMMYFUNCTION("""COMPUTED_VALUE"""),"Duplicity ")</f>
        <v>Duplicity </v>
      </c>
      <c r="H737" s="2">
        <v>-19440070</v>
      </c>
    </row>
    <row r="738" spans="7:8" x14ac:dyDescent="0.25">
      <c r="G738" s="2" t="str">
        <f ca="1">IFERROR(__xludf.DUMMYFUNCTION("""COMPUTED_VALUE"""),"My Favorite Martian ")</f>
        <v>My Favorite Martian </v>
      </c>
      <c r="H738" s="2">
        <v>-28169943</v>
      </c>
    </row>
    <row r="739" spans="7:8" x14ac:dyDescent="0.25">
      <c r="G739" s="2" t="str">
        <f ca="1">IFERROR(__xludf.DUMMYFUNCTION("""COMPUTED_VALUE"""),"The Sentinel ")</f>
        <v>The Sentinel </v>
      </c>
      <c r="H739" s="2">
        <v>-23720770</v>
      </c>
    </row>
    <row r="740" spans="7:8" x14ac:dyDescent="0.25">
      <c r="G740" s="2" t="str">
        <f ca="1">IFERROR(__xludf.DUMMYFUNCTION("""COMPUTED_VALUE"""),"Planet 51 ")</f>
        <v>Planet 51 </v>
      </c>
      <c r="H740" s="2">
        <v>-27805940</v>
      </c>
    </row>
    <row r="741" spans="7:8" x14ac:dyDescent="0.25">
      <c r="G741" s="2" t="str">
        <f ca="1">IFERROR(__xludf.DUMMYFUNCTION("""COMPUTED_VALUE"""),"Star Trek: Nemesis ")</f>
        <v>Star Trek: Nemesis </v>
      </c>
      <c r="H741" s="2">
        <v>-16880121</v>
      </c>
    </row>
    <row r="742" spans="7:8" x14ac:dyDescent="0.25">
      <c r="G742" s="2" t="str">
        <f ca="1">IFERROR(__xludf.DUMMYFUNCTION("""COMPUTED_VALUE"""),"Intolerable Cruelty ")</f>
        <v>Intolerable Cruelty </v>
      </c>
      <c r="H742" s="2">
        <v>-24903810</v>
      </c>
    </row>
    <row r="743" spans="7:8" x14ac:dyDescent="0.25">
      <c r="G743" s="2" t="str">
        <f ca="1">IFERROR(__xludf.DUMMYFUNCTION("""COMPUTED_VALUE"""),"Edge of Darkness ")</f>
        <v>Edge of Darkness </v>
      </c>
      <c r="H743" s="2">
        <v>-36709023</v>
      </c>
    </row>
    <row r="744" spans="7:8" x14ac:dyDescent="0.25">
      <c r="G744" s="2" t="str">
        <f ca="1">IFERROR(__xludf.DUMMYFUNCTION("""COMPUTED_VALUE"""),"The Relic ")</f>
        <v>The Relic </v>
      </c>
      <c r="H744" s="2">
        <v>-6072524</v>
      </c>
    </row>
    <row r="745" spans="7:8" x14ac:dyDescent="0.25">
      <c r="G745" s="2" t="str">
        <f ca="1">IFERROR(__xludf.DUMMYFUNCTION("""COMPUTED_VALUE"""),"Analyze That ")</f>
        <v>Analyze That </v>
      </c>
      <c r="H745" s="2">
        <v>-27877751</v>
      </c>
    </row>
    <row r="746" spans="7:8" x14ac:dyDescent="0.25">
      <c r="G746" s="2" t="str">
        <f ca="1">IFERROR(__xludf.DUMMYFUNCTION("""COMPUTED_VALUE"""),"Righteous Kill ")</f>
        <v>Righteous Kill </v>
      </c>
      <c r="H746" s="2">
        <v>-19923562</v>
      </c>
    </row>
    <row r="747" spans="7:8" x14ac:dyDescent="0.25">
      <c r="G747" s="2" t="str">
        <f ca="1">IFERROR(__xludf.DUMMYFUNCTION("""COMPUTED_VALUE"""),"Mercury Rising ")</f>
        <v>Mercury Rising </v>
      </c>
      <c r="H747" s="2">
        <v>-27059493</v>
      </c>
    </row>
    <row r="748" spans="7:8" x14ac:dyDescent="0.25">
      <c r="G748" s="2" t="str">
        <f ca="1">IFERROR(__xludf.DUMMYFUNCTION("""COMPUTED_VALUE"""),"The Soloist ")</f>
        <v>The Soloist </v>
      </c>
      <c r="H748" s="2">
        <v>-28329069</v>
      </c>
    </row>
    <row r="749" spans="7:8" x14ac:dyDescent="0.25">
      <c r="G749" s="2" t="str">
        <f ca="1">IFERROR(__xludf.DUMMYFUNCTION("""COMPUTED_VALUE"""),"The Legend of Bagger Vance ")</f>
        <v>The Legend of Bagger Vance </v>
      </c>
      <c r="H749" s="2">
        <v>-29304773</v>
      </c>
    </row>
    <row r="750" spans="7:8" x14ac:dyDescent="0.25">
      <c r="G750" s="2" t="str">
        <f ca="1">IFERROR(__xludf.DUMMYFUNCTION("""COMPUTED_VALUE"""),"Almost Famous ")</f>
        <v>Almost Famous </v>
      </c>
      <c r="H750" s="2">
        <v>-27477648</v>
      </c>
    </row>
    <row r="751" spans="7:8" x14ac:dyDescent="0.25">
      <c r="G751" s="2" t="str">
        <f ca="1">IFERROR(__xludf.DUMMYFUNCTION("""COMPUTED_VALUE"""),"xXx: State of the Union ")</f>
        <v>xXx: State of the Union </v>
      </c>
      <c r="H751" s="2">
        <v>-60917086</v>
      </c>
    </row>
    <row r="752" spans="7:8" x14ac:dyDescent="0.25">
      <c r="G752" s="2" t="str">
        <f ca="1">IFERROR(__xludf.DUMMYFUNCTION("""COMPUTED_VALUE"""),"Priest ")</f>
        <v>Priest </v>
      </c>
      <c r="H752" s="2">
        <v>-30863374</v>
      </c>
    </row>
    <row r="753" spans="7:8" x14ac:dyDescent="0.25">
      <c r="G753" s="2" t="str">
        <f ca="1">IFERROR(__xludf.DUMMYFUNCTION("""COMPUTED_VALUE"""),"Sinbad: Legend of the Seven Seas ")</f>
        <v>Sinbad: Legend of the Seven Seas </v>
      </c>
      <c r="H753" s="2">
        <v>-33711680</v>
      </c>
    </row>
    <row r="754" spans="7:8" x14ac:dyDescent="0.25">
      <c r="G754" s="2" t="str">
        <f ca="1">IFERROR(__xludf.DUMMYFUNCTION("""COMPUTED_VALUE"""),"Event Horizon ")</f>
        <v>Event Horizon </v>
      </c>
      <c r="H754" s="2">
        <v>-33383410</v>
      </c>
    </row>
    <row r="755" spans="7:8" x14ac:dyDescent="0.25">
      <c r="G755" s="2" t="str">
        <f ca="1">IFERROR(__xludf.DUMMYFUNCTION("""COMPUTED_VALUE"""),"Dragonfly ")</f>
        <v>Dragonfly </v>
      </c>
      <c r="H755" s="2">
        <v>-29936195</v>
      </c>
    </row>
    <row r="756" spans="7:8" x14ac:dyDescent="0.25">
      <c r="G756" s="2" t="str">
        <f ca="1">IFERROR(__xludf.DUMMYFUNCTION("""COMPUTED_VALUE"""),"The Black Dahlia ")</f>
        <v>The Black Dahlia </v>
      </c>
      <c r="H756" s="2">
        <v>-27481675</v>
      </c>
    </row>
    <row r="757" spans="7:8" x14ac:dyDescent="0.25">
      <c r="G757" s="2" t="str">
        <f ca="1">IFERROR(__xludf.DUMMYFUNCTION("""COMPUTED_VALUE"""),"Flyboys ")</f>
        <v>Flyboys </v>
      </c>
      <c r="H757" s="2">
        <v>-46917712</v>
      </c>
    </row>
    <row r="758" spans="7:8" x14ac:dyDescent="0.25">
      <c r="G758" s="2" t="str">
        <f ca="1">IFERROR(__xludf.DUMMYFUNCTION("""COMPUTED_VALUE"""),"The Last Castle ")</f>
        <v>The Last Castle </v>
      </c>
      <c r="H758" s="2">
        <v>-41791922</v>
      </c>
    </row>
    <row r="759" spans="7:8" x14ac:dyDescent="0.25">
      <c r="G759" s="2" t="str">
        <f ca="1">IFERROR(__xludf.DUMMYFUNCTION("""COMPUTED_VALUE"""),"Supernova ")</f>
        <v>Supernova </v>
      </c>
      <c r="H759" s="2">
        <v>-50781132</v>
      </c>
    </row>
    <row r="760" spans="7:8" x14ac:dyDescent="0.25">
      <c r="G760" s="2" t="str">
        <f ca="1">IFERROR(__xludf.DUMMYFUNCTION("""COMPUTED_VALUE"""),"Winter's Tale ")</f>
        <v>Winter's Tale </v>
      </c>
      <c r="H760" s="2">
        <v>-59977549</v>
      </c>
    </row>
    <row r="761" spans="7:8" x14ac:dyDescent="0.25">
      <c r="G761" s="2" t="str">
        <f ca="1">IFERROR(__xludf.DUMMYFUNCTION("""COMPUTED_VALUE"""),"The Mortal Instruments: City of Bones ")</f>
        <v>The Mortal Instruments: City of Bones </v>
      </c>
      <c r="H761" s="2">
        <v>-28834579</v>
      </c>
    </row>
    <row r="762" spans="7:8" x14ac:dyDescent="0.25">
      <c r="G762" s="2" t="str">
        <f ca="1">IFERROR(__xludf.DUMMYFUNCTION("""COMPUTED_VALUE"""),"Meet Dave ")</f>
        <v>Meet Dave </v>
      </c>
      <c r="H762" s="2">
        <v>-48197944</v>
      </c>
    </row>
    <row r="763" spans="7:8" x14ac:dyDescent="0.25">
      <c r="G763" s="2" t="str">
        <f ca="1">IFERROR(__xludf.DUMMYFUNCTION("""COMPUTED_VALUE"""),"Dark Water ")</f>
        <v>Dark Water </v>
      </c>
      <c r="H763" s="2">
        <v>-4527033</v>
      </c>
    </row>
    <row r="764" spans="7:8" x14ac:dyDescent="0.25">
      <c r="G764" s="2" t="str">
        <f ca="1">IFERROR(__xludf.DUMMYFUNCTION("""COMPUTED_VALUE"""),"Edtv ")</f>
        <v>Edtv </v>
      </c>
      <c r="H764" s="2">
        <v>-32637500</v>
      </c>
    </row>
    <row r="765" spans="7:8" x14ac:dyDescent="0.25">
      <c r="G765" s="2" t="str">
        <f ca="1">IFERROR(__xludf.DUMMYFUNCTION("""COMPUTED_VALUE"""),"Inkheart ")</f>
        <v>Inkheart </v>
      </c>
      <c r="H765" s="2">
        <v>-42718168</v>
      </c>
    </row>
    <row r="766" spans="7:8" x14ac:dyDescent="0.25">
      <c r="G766" s="2" t="str">
        <f ca="1">IFERROR(__xludf.DUMMYFUNCTION("""COMPUTED_VALUE"""),"The Spirit ")</f>
        <v>The Spirit </v>
      </c>
      <c r="H766" s="2">
        <v>-40218121</v>
      </c>
    </row>
    <row r="767" spans="7:8" x14ac:dyDescent="0.25">
      <c r="G767" s="2" t="str">
        <f ca="1">IFERROR(__xludf.DUMMYFUNCTION("""COMPUTED_VALUE"""),"Mortdecai ")</f>
        <v>Mortdecai </v>
      </c>
      <c r="H767" s="2">
        <v>-52394332</v>
      </c>
    </row>
    <row r="768" spans="7:8" x14ac:dyDescent="0.25">
      <c r="G768" s="2" t="str">
        <f ca="1">IFERROR(__xludf.DUMMYFUNCTION("""COMPUTED_VALUE"""),"In the Name of the King: A Dungeon Siege Tale ")</f>
        <v>In the Name of the King: A Dungeon Siege Tale </v>
      </c>
      <c r="H768" s="2">
        <v>-55464883</v>
      </c>
    </row>
    <row r="769" spans="7:8" x14ac:dyDescent="0.25">
      <c r="G769" s="2" t="str">
        <f ca="1">IFERROR(__xludf.DUMMYFUNCTION("""COMPUTED_VALUE"""),"Beyond Borders ")</f>
        <v>Beyond Borders </v>
      </c>
      <c r="H769" s="2">
        <v>-30573703</v>
      </c>
    </row>
    <row r="770" spans="7:8" x14ac:dyDescent="0.25">
      <c r="G770" s="2" t="str">
        <f ca="1">IFERROR(__xludf.DUMMYFUNCTION("""COMPUTED_VALUE"""),"The Great Raid ")</f>
        <v>The Great Raid </v>
      </c>
      <c r="H770" s="2">
        <v>-69833498</v>
      </c>
    </row>
    <row r="771" spans="7:8" x14ac:dyDescent="0.25">
      <c r="G771" s="2" t="str">
        <f ca="1">IFERROR(__xludf.DUMMYFUNCTION("""COMPUTED_VALUE"""),"Deadpool ")</f>
        <v>Deadpool </v>
      </c>
      <c r="H771" s="2">
        <v>305024263</v>
      </c>
    </row>
    <row r="772" spans="7:8" x14ac:dyDescent="0.25">
      <c r="G772" s="2" t="str">
        <f ca="1">IFERROR(__xludf.DUMMYFUNCTION("""COMPUTED_VALUE"""),"Holy Man ")</f>
        <v>Holy Man </v>
      </c>
      <c r="H772" s="2">
        <v>-47934015</v>
      </c>
    </row>
    <row r="773" spans="7:8" x14ac:dyDescent="0.25">
      <c r="G773" s="2" t="str">
        <f ca="1">IFERROR(__xludf.DUMMYFUNCTION("""COMPUTED_VALUE"""),"American Sniper ")</f>
        <v>American Sniper </v>
      </c>
      <c r="H773" s="2">
        <v>291323553</v>
      </c>
    </row>
    <row r="774" spans="7:8" x14ac:dyDescent="0.25">
      <c r="G774" s="2" t="str">
        <f ca="1">IFERROR(__xludf.DUMMYFUNCTION("""COMPUTED_VALUE"""),"Goosebumps ")</f>
        <v>Goosebumps </v>
      </c>
      <c r="H774" s="2">
        <v>22021740</v>
      </c>
    </row>
    <row r="775" spans="7:8" x14ac:dyDescent="0.25">
      <c r="G775" s="2" t="str">
        <f ca="1">IFERROR(__xludf.DUMMYFUNCTION("""COMPUTED_VALUE"""),"Just Like Heaven ")</f>
        <v>Just Like Heaven </v>
      </c>
      <c r="H775" s="2">
        <v>-9708376</v>
      </c>
    </row>
    <row r="776" spans="7:8" x14ac:dyDescent="0.25">
      <c r="G776" s="2" t="str">
        <f ca="1">IFERROR(__xludf.DUMMYFUNCTION("""COMPUTED_VALUE"""),"The Flintstones in Viva Rock Vegas ")</f>
        <v>The Flintstones in Viva Rock Vegas </v>
      </c>
      <c r="H776" s="2">
        <v>-24768635</v>
      </c>
    </row>
    <row r="777" spans="7:8" x14ac:dyDescent="0.25">
      <c r="G777" s="2" t="str">
        <f ca="1">IFERROR(__xludf.DUMMYFUNCTION("""COMPUTED_VALUE"""),"Rambo III ")</f>
        <v>Rambo III </v>
      </c>
      <c r="H777" s="2">
        <v>-9284389</v>
      </c>
    </row>
    <row r="778" spans="7:8" x14ac:dyDescent="0.25">
      <c r="G778" s="2" t="str">
        <f ca="1">IFERROR(__xludf.DUMMYFUNCTION("""COMPUTED_VALUE"""),"Leatherheads ")</f>
        <v>Leatherheads </v>
      </c>
      <c r="H778" s="2">
        <v>-26800785</v>
      </c>
    </row>
    <row r="779" spans="7:8" x14ac:dyDescent="0.25">
      <c r="G779" s="2" t="str">
        <f ca="1">IFERROR(__xludf.DUMMYFUNCTION("""COMPUTED_VALUE"""),"Did You Hear About the Morgans? ")</f>
        <v>Did You Hear About the Morgans? </v>
      </c>
      <c r="H779" s="2">
        <v>-28419913</v>
      </c>
    </row>
    <row r="780" spans="7:8" x14ac:dyDescent="0.25">
      <c r="G780" s="2" t="str">
        <f ca="1">IFERROR(__xludf.DUMMYFUNCTION("""COMPUTED_VALUE"""),"The Internship ")</f>
        <v>The Internship </v>
      </c>
      <c r="H780" s="2">
        <v>-13334037</v>
      </c>
    </row>
    <row r="781" spans="7:8" x14ac:dyDescent="0.25">
      <c r="G781" s="2" t="str">
        <f ca="1">IFERROR(__xludf.DUMMYFUNCTION("""COMPUTED_VALUE"""),"Resident Evil: Afterlife ")</f>
        <v>Resident Evil: Afterlife </v>
      </c>
      <c r="H781" s="2">
        <v>128566</v>
      </c>
    </row>
    <row r="782" spans="7:8" x14ac:dyDescent="0.25">
      <c r="G782" s="2" t="str">
        <f ca="1">IFERROR(__xludf.DUMMYFUNCTION("""COMPUTED_VALUE"""),"Red Tails ")</f>
        <v>Red Tails </v>
      </c>
      <c r="H782" s="2">
        <v>-8124411</v>
      </c>
    </row>
    <row r="783" spans="7:8" x14ac:dyDescent="0.25">
      <c r="G783" s="2" t="str">
        <f ca="1">IFERROR(__xludf.DUMMYFUNCTION("""COMPUTED_VALUE"""),"The Devil's Advocate ")</f>
        <v>The Devil's Advocate </v>
      </c>
      <c r="H783" s="2">
        <v>3984028</v>
      </c>
    </row>
    <row r="784" spans="7:8" x14ac:dyDescent="0.25">
      <c r="G784" s="2" t="str">
        <f ca="1">IFERROR(__xludf.DUMMYFUNCTION("""COMPUTED_VALUE"""),"That's My Boy ")</f>
        <v>That's My Boy </v>
      </c>
      <c r="H784" s="2">
        <v>-33068911</v>
      </c>
    </row>
    <row r="785" spans="7:8" x14ac:dyDescent="0.25">
      <c r="G785" s="2" t="str">
        <f ca="1">IFERROR(__xludf.DUMMYFUNCTION("""COMPUTED_VALUE"""),"DragonHeart ")</f>
        <v>DragonHeart </v>
      </c>
      <c r="H785" s="2">
        <v>-5682650</v>
      </c>
    </row>
    <row r="786" spans="7:8" x14ac:dyDescent="0.25">
      <c r="G786" s="2" t="str">
        <f ca="1">IFERROR(__xludf.DUMMYFUNCTION("""COMPUTED_VALUE"""),"After the Sunset ")</f>
        <v>After the Sunset </v>
      </c>
      <c r="H786" s="2">
        <v>-29671868</v>
      </c>
    </row>
    <row r="787" spans="7:8" x14ac:dyDescent="0.25">
      <c r="G787" s="2" t="str">
        <f ca="1">IFERROR(__xludf.DUMMYFUNCTION("""COMPUTED_VALUE"""),"Ghost Rider: Spirit of Vengeance ")</f>
        <v>Ghost Rider: Spirit of Vengeance </v>
      </c>
      <c r="H787" s="2">
        <v>-5225998</v>
      </c>
    </row>
    <row r="788" spans="7:8" x14ac:dyDescent="0.25">
      <c r="G788" s="2" t="str">
        <f ca="1">IFERROR(__xludf.DUMMYFUNCTION("""COMPUTED_VALUE"""),"Captain Corelli's Mandolin ")</f>
        <v>Captain Corelli's Mandolin </v>
      </c>
      <c r="H788" s="2">
        <v>-31471505</v>
      </c>
    </row>
    <row r="789" spans="7:8" x14ac:dyDescent="0.25">
      <c r="G789" s="2" t="str">
        <f ca="1">IFERROR(__xludf.DUMMYFUNCTION("""COMPUTED_VALUE"""),"The Pacifier ")</f>
        <v>The Pacifier </v>
      </c>
      <c r="H789" s="2">
        <v>57006880</v>
      </c>
    </row>
    <row r="790" spans="7:8" x14ac:dyDescent="0.25">
      <c r="G790" s="2" t="str">
        <f ca="1">IFERROR(__xludf.DUMMYFUNCTION("""COMPUTED_VALUE"""),"Walking Tall ")</f>
        <v>Walking Tall </v>
      </c>
      <c r="H790" s="2">
        <v>-10139961</v>
      </c>
    </row>
    <row r="791" spans="7:8" x14ac:dyDescent="0.25">
      <c r="G791" s="2" t="str">
        <f ca="1">IFERROR(__xludf.DUMMYFUNCTION("""COMPUTED_VALUE"""),"Forrest Gump ")</f>
        <v>Forrest Gump </v>
      </c>
      <c r="H791" s="2">
        <v>274691196</v>
      </c>
    </row>
    <row r="792" spans="7:8" x14ac:dyDescent="0.25">
      <c r="G792" s="2" t="str">
        <f ca="1">IFERROR(__xludf.DUMMYFUNCTION("""COMPUTED_VALUE"""),"Alvin and the Chipmunks ")</f>
        <v>Alvin and the Chipmunks </v>
      </c>
      <c r="H792" s="2">
        <v>157326336</v>
      </c>
    </row>
    <row r="793" spans="7:8" x14ac:dyDescent="0.25">
      <c r="G793" s="2" t="str">
        <f ca="1">IFERROR(__xludf.DUMMYFUNCTION("""COMPUTED_VALUE"""),"Meet the Parents ")</f>
        <v>Meet the Parents </v>
      </c>
      <c r="H793" s="2">
        <v>111225040</v>
      </c>
    </row>
    <row r="794" spans="7:8" x14ac:dyDescent="0.25">
      <c r="G794" s="2" t="str">
        <f ca="1">IFERROR(__xludf.DUMMYFUNCTION("""COMPUTED_VALUE"""),"Pocahontas ")</f>
        <v>Pocahontas </v>
      </c>
      <c r="H794" s="2">
        <v>86600000</v>
      </c>
    </row>
    <row r="795" spans="7:8" x14ac:dyDescent="0.25">
      <c r="G795" s="2" t="str">
        <f ca="1">IFERROR(__xludf.DUMMYFUNCTION("""COMPUTED_VALUE"""),"Superman ")</f>
        <v>Superman </v>
      </c>
      <c r="H795" s="2">
        <v>79218018</v>
      </c>
    </row>
    <row r="796" spans="7:8" x14ac:dyDescent="0.25">
      <c r="G796" s="2" t="str">
        <f ca="1">IFERROR(__xludf.DUMMYFUNCTION("""COMPUTED_VALUE"""),"The Nutty Professor ")</f>
        <v>The Nutty Professor </v>
      </c>
      <c r="H796" s="2">
        <v>74769345</v>
      </c>
    </row>
    <row r="797" spans="7:8" x14ac:dyDescent="0.25">
      <c r="G797" s="2" t="str">
        <f ca="1">IFERROR(__xludf.DUMMYFUNCTION("""COMPUTED_VALUE"""),"Hitch ")</f>
        <v>Hitch </v>
      </c>
      <c r="H797" s="2">
        <v>107575142</v>
      </c>
    </row>
    <row r="798" spans="7:8" x14ac:dyDescent="0.25">
      <c r="G798" s="2" t="str">
        <f ca="1">IFERROR(__xludf.DUMMYFUNCTION("""COMPUTED_VALUE"""),"George of the Jungle ")</f>
        <v>George of the Jungle </v>
      </c>
      <c r="H798" s="2">
        <v>50263257</v>
      </c>
    </row>
    <row r="799" spans="7:8" x14ac:dyDescent="0.25">
      <c r="G799" s="2" t="str">
        <f ca="1">IFERROR(__xludf.DUMMYFUNCTION("""COMPUTED_VALUE"""),"American Wedding ")</f>
        <v>American Wedding </v>
      </c>
      <c r="H799" s="2">
        <v>49354205</v>
      </c>
    </row>
    <row r="800" spans="7:8" x14ac:dyDescent="0.25">
      <c r="G800" s="2" t="str">
        <f ca="1">IFERROR(__xludf.DUMMYFUNCTION("""COMPUTED_VALUE"""),"Captain Phillips ")</f>
        <v>Captain Phillips </v>
      </c>
      <c r="H800" s="2">
        <v>52100855</v>
      </c>
    </row>
    <row r="801" spans="7:8" x14ac:dyDescent="0.25">
      <c r="G801" s="2" t="str">
        <f ca="1">IFERROR(__xludf.DUMMYFUNCTION("""COMPUTED_VALUE"""),"Date Night ")</f>
        <v>Date Night </v>
      </c>
      <c r="H801" s="2">
        <v>43711404</v>
      </c>
    </row>
    <row r="802" spans="7:8" x14ac:dyDescent="0.25">
      <c r="G802" s="2" t="str">
        <f ca="1">IFERROR(__xludf.DUMMYFUNCTION("""COMPUTED_VALUE"""),"Casper ")</f>
        <v>Casper </v>
      </c>
      <c r="H802" s="2">
        <v>50328194</v>
      </c>
    </row>
    <row r="803" spans="7:8" x14ac:dyDescent="0.25">
      <c r="G803" s="2" t="str">
        <f ca="1">IFERROR(__xludf.DUMMYFUNCTION("""COMPUTED_VALUE"""),"The Equalizer ")</f>
        <v>The Equalizer </v>
      </c>
      <c r="H803" s="2">
        <v>46530738</v>
      </c>
    </row>
    <row r="804" spans="7:8" x14ac:dyDescent="0.25">
      <c r="G804" s="2" t="str">
        <f ca="1">IFERROR(__xludf.DUMMYFUNCTION("""COMPUTED_VALUE"""),"Maid in Manhattan ")</f>
        <v>Maid in Manhattan </v>
      </c>
      <c r="H804" s="2">
        <v>38815117</v>
      </c>
    </row>
    <row r="805" spans="7:8" x14ac:dyDescent="0.25">
      <c r="G805" s="2" t="str">
        <f ca="1">IFERROR(__xludf.DUMMYFUNCTION("""COMPUTED_VALUE"""),"Crimson Tide ")</f>
        <v>Crimson Tide </v>
      </c>
      <c r="H805" s="2">
        <v>38400000</v>
      </c>
    </row>
    <row r="806" spans="7:8" x14ac:dyDescent="0.25">
      <c r="G806" s="2" t="str">
        <f ca="1">IFERROR(__xludf.DUMMYFUNCTION("""COMPUTED_VALUE"""),"The Pursuit of Happyness ")</f>
        <v>The Pursuit of Happyness </v>
      </c>
      <c r="H806" s="2">
        <v>107586036</v>
      </c>
    </row>
    <row r="807" spans="7:8" x14ac:dyDescent="0.25">
      <c r="G807" s="2" t="str">
        <f ca="1">IFERROR(__xludf.DUMMYFUNCTION("""COMPUTED_VALUE"""),"Flightplan ")</f>
        <v>Flightplan </v>
      </c>
      <c r="H807" s="2">
        <v>34706988</v>
      </c>
    </row>
    <row r="808" spans="7:8" x14ac:dyDescent="0.25">
      <c r="G808" s="2" t="str">
        <f ca="1">IFERROR(__xludf.DUMMYFUNCTION("""COMPUTED_VALUE"""),"Disclosure ")</f>
        <v>Disclosure </v>
      </c>
      <c r="H808" s="2">
        <v>28000000</v>
      </c>
    </row>
    <row r="809" spans="7:8" x14ac:dyDescent="0.25">
      <c r="G809" s="2" t="str">
        <f ca="1">IFERROR(__xludf.DUMMYFUNCTION("""COMPUTED_VALUE"""),"City of Angels ")</f>
        <v>City of Angels </v>
      </c>
      <c r="H809" s="2">
        <v>23745923</v>
      </c>
    </row>
    <row r="810" spans="7:8" x14ac:dyDescent="0.25">
      <c r="G810" s="2" t="str">
        <f ca="1">IFERROR(__xludf.DUMMYFUNCTION("""COMPUTED_VALUE"""),"Kill Bill: Vol. 1 ")</f>
        <v>Kill Bill: Vol. 1 </v>
      </c>
      <c r="H810" s="2">
        <v>40098138</v>
      </c>
    </row>
    <row r="811" spans="7:8" x14ac:dyDescent="0.25">
      <c r="G811" s="2" t="str">
        <f ca="1">IFERROR(__xludf.DUMMYFUNCTION("""COMPUTED_VALUE"""),"Bowfinger ")</f>
        <v>Bowfinger </v>
      </c>
      <c r="H811" s="2">
        <v>11365290</v>
      </c>
    </row>
    <row r="812" spans="7:8" x14ac:dyDescent="0.25">
      <c r="G812" s="2" t="str">
        <f ca="1">IFERROR(__xludf.DUMMYFUNCTION("""COMPUTED_VALUE"""),"Kill Bill: Vol. 2 ")</f>
        <v>Kill Bill: Vol. 2 </v>
      </c>
      <c r="H812" s="2">
        <v>36207920</v>
      </c>
    </row>
    <row r="813" spans="7:8" x14ac:dyDescent="0.25">
      <c r="G813" s="2" t="str">
        <f ca="1">IFERROR(__xludf.DUMMYFUNCTION("""COMPUTED_VALUE"""),"Tango &amp; Cash ")</f>
        <v>Tango &amp; Cash </v>
      </c>
      <c r="H813" s="2">
        <v>8408614</v>
      </c>
    </row>
    <row r="814" spans="7:8" x14ac:dyDescent="0.25">
      <c r="G814" s="2" t="str">
        <f ca="1">IFERROR(__xludf.DUMMYFUNCTION("""COMPUTED_VALUE"""),"Death Becomes Her ")</f>
        <v>Death Becomes Her </v>
      </c>
      <c r="H814" s="2">
        <v>3422650</v>
      </c>
    </row>
    <row r="815" spans="7:8" x14ac:dyDescent="0.25">
      <c r="G815" s="2" t="str">
        <f ca="1">IFERROR(__xludf.DUMMYFUNCTION("""COMPUTED_VALUE"""),"Shanghai Noon ")</f>
        <v>Shanghai Noon </v>
      </c>
      <c r="H815" s="2">
        <v>1932305</v>
      </c>
    </row>
    <row r="816" spans="7:8" x14ac:dyDescent="0.25">
      <c r="G816" s="2" t="str">
        <f ca="1">IFERROR(__xludf.DUMMYFUNCTION("""COMPUTED_VALUE"""),"Executive Decision ")</f>
        <v>Executive Decision </v>
      </c>
      <c r="H816" s="2">
        <v>13750000</v>
      </c>
    </row>
    <row r="817" spans="7:8" x14ac:dyDescent="0.25">
      <c r="G817" s="2" t="str">
        <f ca="1">IFERROR(__xludf.DUMMYFUNCTION("""COMPUTED_VALUE"""),"Mr. Popper's Penguins ")</f>
        <v>Mr. Popper's Penguins </v>
      </c>
      <c r="H817" s="2">
        <v>13218041</v>
      </c>
    </row>
    <row r="818" spans="7:8" x14ac:dyDescent="0.25">
      <c r="G818" s="2" t="str">
        <f ca="1">IFERROR(__xludf.DUMMYFUNCTION("""COMPUTED_VALUE"""),"The Forbidden Kingdom ")</f>
        <v>The Forbidden Kingdom </v>
      </c>
      <c r="H818" s="2">
        <v>-29959707</v>
      </c>
    </row>
    <row r="819" spans="7:8" x14ac:dyDescent="0.25">
      <c r="G819" s="2" t="str">
        <f ca="1">IFERROR(__xludf.DUMMYFUNCTION("""COMPUTED_VALUE"""),"Free Birds ")</f>
        <v>Free Birds </v>
      </c>
      <c r="H819" s="2">
        <v>747724</v>
      </c>
    </row>
    <row r="820" spans="7:8" x14ac:dyDescent="0.25">
      <c r="G820" s="2" t="str">
        <f ca="1">IFERROR(__xludf.DUMMYFUNCTION("""COMPUTED_VALUE"""),"Alien 3 ")</f>
        <v>Alien 3 </v>
      </c>
      <c r="H820" s="2">
        <v>5473600</v>
      </c>
    </row>
    <row r="821" spans="7:8" x14ac:dyDescent="0.25">
      <c r="G821" s="2" t="str">
        <f ca="1">IFERROR(__xludf.DUMMYFUNCTION("""COMPUTED_VALUE"""),"Evita ")</f>
        <v>Evita </v>
      </c>
      <c r="H821" s="2">
        <v>-5005196</v>
      </c>
    </row>
    <row r="822" spans="7:8" x14ac:dyDescent="0.25">
      <c r="G822" s="2" t="str">
        <f ca="1">IFERROR(__xludf.DUMMYFUNCTION("""COMPUTED_VALUE"""),"Ronin ")</f>
        <v>Ronin </v>
      </c>
      <c r="H822" s="2">
        <v>-13390407</v>
      </c>
    </row>
    <row r="823" spans="7:8" x14ac:dyDescent="0.25">
      <c r="G823" s="2" t="str">
        <f ca="1">IFERROR(__xludf.DUMMYFUNCTION("""COMPUTED_VALUE"""),"The Ghost and the Darkness ")</f>
        <v>The Ghost and the Darkness </v>
      </c>
      <c r="H823" s="2">
        <v>-16446167</v>
      </c>
    </row>
    <row r="824" spans="7:8" x14ac:dyDescent="0.25">
      <c r="G824" s="2" t="str">
        <f ca="1">IFERROR(__xludf.DUMMYFUNCTION("""COMPUTED_VALUE"""),"Paddington ")</f>
        <v>Paddington </v>
      </c>
      <c r="H824" s="2">
        <v>21137505</v>
      </c>
    </row>
    <row r="825" spans="7:8" x14ac:dyDescent="0.25">
      <c r="G825" s="2" t="str">
        <f ca="1">IFERROR(__xludf.DUMMYFUNCTION("""COMPUTED_VALUE"""),"The Watch ")</f>
        <v>The Watch </v>
      </c>
      <c r="H825" s="2">
        <v>-33649447</v>
      </c>
    </row>
    <row r="826" spans="7:8" x14ac:dyDescent="0.25">
      <c r="G826" s="2" t="str">
        <f ca="1">IFERROR(__xludf.DUMMYFUNCTION("""COMPUTED_VALUE"""),"The Hunted ")</f>
        <v>The Hunted </v>
      </c>
      <c r="H826" s="2">
        <v>-20761389</v>
      </c>
    </row>
    <row r="827" spans="7:8" x14ac:dyDescent="0.25">
      <c r="G827" s="2" t="str">
        <f ca="1">IFERROR(__xludf.DUMMYFUNCTION("""COMPUTED_VALUE"""),"Instinct ")</f>
        <v>Instinct </v>
      </c>
      <c r="H827" s="2">
        <v>-20901437</v>
      </c>
    </row>
    <row r="828" spans="7:8" x14ac:dyDescent="0.25">
      <c r="G828" s="2" t="str">
        <f ca="1">IFERROR(__xludf.DUMMYFUNCTION("""COMPUTED_VALUE"""),"Stuck on You ")</f>
        <v>Stuck on You </v>
      </c>
      <c r="H828" s="2">
        <v>-21171682</v>
      </c>
    </row>
    <row r="829" spans="7:8" x14ac:dyDescent="0.25">
      <c r="G829" s="2" t="str">
        <f ca="1">IFERROR(__xludf.DUMMYFUNCTION("""COMPUTED_VALUE"""),"Semi-Pro ")</f>
        <v>Semi-Pro </v>
      </c>
      <c r="H829" s="2">
        <v>-21527150</v>
      </c>
    </row>
    <row r="830" spans="7:8" x14ac:dyDescent="0.25">
      <c r="G830" s="2" t="str">
        <f ca="1">IFERROR(__xludf.DUMMYFUNCTION("""COMPUTED_VALUE"""),"The Pirates! Band of Misfits ")</f>
        <v>The Pirates! Band of Misfits </v>
      </c>
      <c r="H830" s="2">
        <v>-23948874</v>
      </c>
    </row>
    <row r="831" spans="7:8" x14ac:dyDescent="0.25">
      <c r="G831" s="2" t="str">
        <f ca="1">IFERROR(__xludf.DUMMYFUNCTION("""COMPUTED_VALUE"""),"Changeling ")</f>
        <v>Changeling </v>
      </c>
      <c r="H831" s="2">
        <v>-19292673</v>
      </c>
    </row>
    <row r="832" spans="7:8" x14ac:dyDescent="0.25">
      <c r="G832" s="2" t="str">
        <f ca="1">IFERROR(__xludf.DUMMYFUNCTION("""COMPUTED_VALUE"""),"Chain Reaction ")</f>
        <v>Chain Reaction </v>
      </c>
      <c r="H832" s="2">
        <v>-29449288</v>
      </c>
    </row>
    <row r="833" spans="7:8" x14ac:dyDescent="0.25">
      <c r="G833" s="2" t="str">
        <f ca="1">IFERROR(__xludf.DUMMYFUNCTION("""COMPUTED_VALUE"""),"The Fan ")</f>
        <v>The Fan </v>
      </c>
      <c r="H833" s="2">
        <v>-36426209</v>
      </c>
    </row>
    <row r="834" spans="7:8" x14ac:dyDescent="0.25">
      <c r="G834" s="2" t="str">
        <f ca="1">IFERROR(__xludf.DUMMYFUNCTION("""COMPUTED_VALUE"""),"The Phantom of the Opera ")</f>
        <v>The Phantom of the Opera </v>
      </c>
      <c r="H834" s="2">
        <v>-18774204</v>
      </c>
    </row>
    <row r="835" spans="7:8" x14ac:dyDescent="0.25">
      <c r="G835" s="2" t="str">
        <f ca="1">IFERROR(__xludf.DUMMYFUNCTION("""COMPUTED_VALUE"""),"Elizabeth: The Golden Age ")</f>
        <v>Elizabeth: The Golden Age </v>
      </c>
      <c r="H835" s="2">
        <v>-38735525</v>
      </c>
    </row>
    <row r="836" spans="7:8" x14ac:dyDescent="0.25">
      <c r="G836" s="2" t="str">
        <f ca="1">IFERROR(__xludf.DUMMYFUNCTION("""COMPUTED_VALUE"""),"Æon Flux ")</f>
        <v>Æon Flux </v>
      </c>
      <c r="H836" s="2">
        <v>-36142013</v>
      </c>
    </row>
    <row r="837" spans="7:8" x14ac:dyDescent="0.25">
      <c r="G837" s="2" t="str">
        <f ca="1">IFERROR(__xludf.DUMMYFUNCTION("""COMPUTED_VALUE"""),"Gods and Generals ")</f>
        <v>Gods and Generals </v>
      </c>
      <c r="H837" s="2">
        <v>-43129431</v>
      </c>
    </row>
    <row r="838" spans="7:8" x14ac:dyDescent="0.25">
      <c r="G838" s="2" t="str">
        <f ca="1">IFERROR(__xludf.DUMMYFUNCTION("""COMPUTED_VALUE"""),"Turbulence ")</f>
        <v>Turbulence </v>
      </c>
      <c r="H838" s="2">
        <v>-59533912</v>
      </c>
    </row>
    <row r="839" spans="7:8" x14ac:dyDescent="0.25">
      <c r="G839" s="2" t="str">
        <f ca="1">IFERROR(__xludf.DUMMYFUNCTION("""COMPUTED_VALUE"""),"Imagine That ")</f>
        <v>Imagine That </v>
      </c>
      <c r="H839" s="2">
        <v>-38911390</v>
      </c>
    </row>
    <row r="840" spans="7:8" x14ac:dyDescent="0.25">
      <c r="G840" s="2" t="str">
        <f ca="1">IFERROR(__xludf.DUMMYFUNCTION("""COMPUTED_VALUE"""),"Muppets Most Wanted ")</f>
        <v>Muppets Most Wanted </v>
      </c>
      <c r="H840" s="2">
        <v>1178893</v>
      </c>
    </row>
    <row r="841" spans="7:8" x14ac:dyDescent="0.25">
      <c r="G841" s="2" t="str">
        <f ca="1">IFERROR(__xludf.DUMMYFUNCTION("""COMPUTED_VALUE"""),"Thunderbirds ")</f>
        <v>Thunderbirds </v>
      </c>
      <c r="H841" s="2">
        <v>-50231945</v>
      </c>
    </row>
    <row r="842" spans="7:8" x14ac:dyDescent="0.25">
      <c r="G842" s="2" t="str">
        <f ca="1">IFERROR(__xludf.DUMMYFUNCTION("""COMPUTED_VALUE"""),"Burlesque ")</f>
        <v>Burlesque </v>
      </c>
      <c r="H842" s="2">
        <v>-15559345</v>
      </c>
    </row>
    <row r="843" spans="7:8" x14ac:dyDescent="0.25">
      <c r="G843" s="2" t="str">
        <f ca="1">IFERROR(__xludf.DUMMYFUNCTION("""COMPUTED_VALUE"""),"A Very Long Engagement ")</f>
        <v>A Very Long Engagement </v>
      </c>
      <c r="H843" s="2">
        <v>-40832183</v>
      </c>
    </row>
    <row r="844" spans="7:8" x14ac:dyDescent="0.25">
      <c r="G844" s="2" t="str">
        <f ca="1">IFERROR(__xludf.DUMMYFUNCTION("""COMPUTED_VALUE"""),"Blade II ")</f>
        <v>Blade II </v>
      </c>
      <c r="H844" s="2">
        <v>27645152</v>
      </c>
    </row>
    <row r="845" spans="7:8" x14ac:dyDescent="0.25">
      <c r="G845" s="2" t="str">
        <f ca="1">IFERROR(__xludf.DUMMYFUNCTION("""COMPUTED_VALUE"""),"Seven Pounds ")</f>
        <v>Seven Pounds </v>
      </c>
      <c r="H845" s="2">
        <v>14951824</v>
      </c>
    </row>
    <row r="846" spans="7:8" x14ac:dyDescent="0.25">
      <c r="G846" s="2" t="str">
        <f ca="1">IFERROR(__xludf.DUMMYFUNCTION("""COMPUTED_VALUE"""),"Bullet to the Head ")</f>
        <v>Bullet to the Head </v>
      </c>
      <c r="H846" s="2">
        <v>-45516179</v>
      </c>
    </row>
    <row r="847" spans="7:8" x14ac:dyDescent="0.25">
      <c r="G847" s="2" t="str">
        <f ca="1">IFERROR(__xludf.DUMMYFUNCTION("""COMPUTED_VALUE"""),"The Godfather: Part III ")</f>
        <v>The Godfather: Part III </v>
      </c>
      <c r="H847" s="2">
        <v>12676062</v>
      </c>
    </row>
    <row r="848" spans="7:8" x14ac:dyDescent="0.25">
      <c r="G848" s="2" t="str">
        <f ca="1">IFERROR(__xludf.DUMMYFUNCTION("""COMPUTED_VALUE"""),"Elizabethtown ")</f>
        <v>Elizabethtown </v>
      </c>
      <c r="H848" s="2">
        <v>-30161611</v>
      </c>
    </row>
    <row r="849" spans="7:8" x14ac:dyDescent="0.25">
      <c r="G849" s="2" t="str">
        <f ca="1">IFERROR(__xludf.DUMMYFUNCTION("""COMPUTED_VALUE"""),"You, Me and Dupree ")</f>
        <v>You, Me and Dupree </v>
      </c>
      <c r="H849" s="2">
        <v>21604320</v>
      </c>
    </row>
    <row r="850" spans="7:8" x14ac:dyDescent="0.25">
      <c r="G850" s="2" t="str">
        <f ca="1">IFERROR(__xludf.DUMMYFUNCTION("""COMPUTED_VALUE"""),"Superman II ")</f>
        <v>Superman II </v>
      </c>
      <c r="H850" s="2">
        <v>54200000</v>
      </c>
    </row>
    <row r="851" spans="7:8" x14ac:dyDescent="0.25">
      <c r="G851" s="2" t="str">
        <f ca="1">IFERROR(__xludf.DUMMYFUNCTION("""COMPUTED_VALUE"""),"Gigli ")</f>
        <v>Gigli </v>
      </c>
      <c r="H851" s="2">
        <v>-48339916</v>
      </c>
    </row>
    <row r="852" spans="7:8" x14ac:dyDescent="0.25">
      <c r="G852" s="2" t="str">
        <f ca="1">IFERROR(__xludf.DUMMYFUNCTION("""COMPUTED_VALUE"""),"All the King's Men ")</f>
        <v>All the King's Men </v>
      </c>
      <c r="H852" s="2">
        <v>-47778542</v>
      </c>
    </row>
    <row r="853" spans="7:8" x14ac:dyDescent="0.25">
      <c r="G853" s="2" t="str">
        <f ca="1">IFERROR(__xludf.DUMMYFUNCTION("""COMPUTED_VALUE"""),"Shaft ")</f>
        <v>Shaft </v>
      </c>
      <c r="H853" s="2">
        <v>24327868</v>
      </c>
    </row>
    <row r="854" spans="7:8" x14ac:dyDescent="0.25">
      <c r="G854" s="2" t="str">
        <f ca="1">IFERROR(__xludf.DUMMYFUNCTION("""COMPUTED_VALUE"""),"Anastasia ")</f>
        <v>Anastasia </v>
      </c>
      <c r="H854" s="2">
        <v>8297830</v>
      </c>
    </row>
    <row r="855" spans="7:8" x14ac:dyDescent="0.25">
      <c r="G855" s="2" t="str">
        <f ca="1">IFERROR(__xludf.DUMMYFUNCTION("""COMPUTED_VALUE"""),"Moulin Rouge! ")</f>
        <v>Moulin Rouge! </v>
      </c>
      <c r="H855" s="2">
        <v>4886369</v>
      </c>
    </row>
    <row r="856" spans="7:8" x14ac:dyDescent="0.25">
      <c r="G856" s="2" t="str">
        <f ca="1">IFERROR(__xludf.DUMMYFUNCTION("""COMPUTED_VALUE"""),"Domestic Disturbance ")</f>
        <v>Domestic Disturbance </v>
      </c>
      <c r="H856" s="2">
        <v>-7792888</v>
      </c>
    </row>
    <row r="857" spans="7:8" x14ac:dyDescent="0.25">
      <c r="G857" s="2" t="str">
        <f ca="1">IFERROR(__xludf.DUMMYFUNCTION("""COMPUTED_VALUE"""),"Black Mass ")</f>
        <v>Black Mass </v>
      </c>
      <c r="H857" s="2">
        <v>9563543</v>
      </c>
    </row>
    <row r="858" spans="7:8" x14ac:dyDescent="0.25">
      <c r="G858" s="2" t="str">
        <f ca="1">IFERROR(__xludf.DUMMYFUNCTION("""COMPUTED_VALUE"""),"Flags of Our Fathers ")</f>
        <v>Flags of Our Fathers </v>
      </c>
      <c r="H858" s="2">
        <v>-56425668</v>
      </c>
    </row>
    <row r="859" spans="7:8" x14ac:dyDescent="0.25">
      <c r="G859" s="2" t="str">
        <f ca="1">IFERROR(__xludf.DUMMYFUNCTION("""COMPUTED_VALUE"""),"Law Abiding Citizen ")</f>
        <v>Law Abiding Citizen </v>
      </c>
      <c r="H859" s="2">
        <v>23343413</v>
      </c>
    </row>
    <row r="860" spans="7:8" x14ac:dyDescent="0.25">
      <c r="G860" s="2" t="str">
        <f ca="1">IFERROR(__xludf.DUMMYFUNCTION("""COMPUTED_VALUE"""),"Grindhouse ")</f>
        <v>Grindhouse </v>
      </c>
      <c r="H860" s="2">
        <v>-27968963</v>
      </c>
    </row>
    <row r="861" spans="7:8" x14ac:dyDescent="0.25">
      <c r="G861" s="2" t="str">
        <f ca="1">IFERROR(__xludf.DUMMYFUNCTION("""COMPUTED_VALUE"""),"Beloved ")</f>
        <v>Beloved </v>
      </c>
      <c r="H861" s="2">
        <v>-32156953</v>
      </c>
    </row>
    <row r="862" spans="7:8" x14ac:dyDescent="0.25">
      <c r="G862" s="2" t="str">
        <f ca="1">IFERROR(__xludf.DUMMYFUNCTION("""COMPUTED_VALUE"""),"Lucky You ")</f>
        <v>Lucky You </v>
      </c>
      <c r="H862" s="2">
        <v>-49244714</v>
      </c>
    </row>
    <row r="863" spans="7:8" x14ac:dyDescent="0.25">
      <c r="G863" s="2" t="str">
        <f ca="1">IFERROR(__xludf.DUMMYFUNCTION("""COMPUTED_VALUE"""),"Catch Me If You Can ")</f>
        <v>Catch Me If You Can </v>
      </c>
      <c r="H863" s="2">
        <v>112435221</v>
      </c>
    </row>
    <row r="864" spans="7:8" x14ac:dyDescent="0.25">
      <c r="G864" s="2" t="str">
        <f ca="1">IFERROR(__xludf.DUMMYFUNCTION("""COMPUTED_VALUE"""),"Zero Dark Thirty ")</f>
        <v>Zero Dark Thirty </v>
      </c>
      <c r="H864" s="2">
        <v>55720716</v>
      </c>
    </row>
    <row r="865" spans="7:8" x14ac:dyDescent="0.25">
      <c r="G865" s="2" t="str">
        <f ca="1">IFERROR(__xludf.DUMMYFUNCTION("""COMPUTED_VALUE"""),"The Break-Up ")</f>
        <v>The Break-Up </v>
      </c>
      <c r="H865" s="2">
        <v>66683135</v>
      </c>
    </row>
    <row r="866" spans="7:8" x14ac:dyDescent="0.25">
      <c r="G866" s="2" t="str">
        <f ca="1">IFERROR(__xludf.DUMMYFUNCTION("""COMPUTED_VALUE"""),"Mamma Mia! ")</f>
        <v>Mamma Mia! </v>
      </c>
      <c r="H866" s="2">
        <v>91704210</v>
      </c>
    </row>
    <row r="867" spans="7:8" x14ac:dyDescent="0.25">
      <c r="G867" s="2" t="str">
        <f ca="1">IFERROR(__xludf.DUMMYFUNCTION("""COMPUTED_VALUE"""),"Valentine's Day ")</f>
        <v>Valentine's Day </v>
      </c>
      <c r="H867" s="2">
        <v>58476776</v>
      </c>
    </row>
    <row r="868" spans="7:8" x14ac:dyDescent="0.25">
      <c r="G868" s="2" t="str">
        <f ca="1">IFERROR(__xludf.DUMMYFUNCTION("""COMPUTED_VALUE"""),"The Dukes of Hazzard ")</f>
        <v>The Dukes of Hazzard </v>
      </c>
      <c r="H868" s="2">
        <v>30270227</v>
      </c>
    </row>
    <row r="869" spans="7:8" x14ac:dyDescent="0.25">
      <c r="G869" s="2" t="str">
        <f ca="1">IFERROR(__xludf.DUMMYFUNCTION("""COMPUTED_VALUE"""),"The Thin Red Line ")</f>
        <v>The Thin Red Line </v>
      </c>
      <c r="H869" s="2">
        <v>-15614237</v>
      </c>
    </row>
    <row r="870" spans="7:8" x14ac:dyDescent="0.25">
      <c r="G870" s="2" t="str">
        <f ca="1">IFERROR(__xludf.DUMMYFUNCTION("""COMPUTED_VALUE"""),"The Change-Up ")</f>
        <v>The Change-Up </v>
      </c>
      <c r="H870" s="2">
        <v>-14964155</v>
      </c>
    </row>
    <row r="871" spans="7:8" x14ac:dyDescent="0.25">
      <c r="G871" s="2" t="str">
        <f ca="1">IFERROR(__xludf.DUMMYFUNCTION("""COMPUTED_VALUE"""),"Man on the Moon ")</f>
        <v>Man on the Moon </v>
      </c>
      <c r="H871" s="2">
        <v>-17419365</v>
      </c>
    </row>
    <row r="872" spans="7:8" x14ac:dyDescent="0.25">
      <c r="G872" s="2" t="str">
        <f ca="1">IFERROR(__xludf.DUMMYFUNCTION("""COMPUTED_VALUE"""),"Casino ")</f>
        <v>Casino </v>
      </c>
      <c r="H872" s="2">
        <v>-9561700</v>
      </c>
    </row>
    <row r="873" spans="7:8" x14ac:dyDescent="0.25">
      <c r="G873" s="2" t="str">
        <f ca="1">IFERROR(__xludf.DUMMYFUNCTION("""COMPUTED_VALUE"""),"From Paris with Love ")</f>
        <v>From Paris with Love </v>
      </c>
      <c r="H873" s="2">
        <v>-28675334</v>
      </c>
    </row>
    <row r="874" spans="7:8" x14ac:dyDescent="0.25">
      <c r="G874" s="2" t="str">
        <f ca="1">IFERROR(__xludf.DUMMYFUNCTION("""COMPUTED_VALUE"""),"Bulletproof Monk ")</f>
        <v>Bulletproof Monk </v>
      </c>
      <c r="H874" s="2">
        <v>-28979512</v>
      </c>
    </row>
    <row r="875" spans="7:8" x14ac:dyDescent="0.25">
      <c r="G875" s="2" t="str">
        <f ca="1">IFERROR(__xludf.DUMMYFUNCTION("""COMPUTED_VALUE"""),"Me, Myself &amp; Irene ")</f>
        <v>Me, Myself &amp; Irene </v>
      </c>
      <c r="H875" s="2">
        <v>39567722</v>
      </c>
    </row>
    <row r="876" spans="7:8" x14ac:dyDescent="0.25">
      <c r="G876" s="2" t="str">
        <f ca="1">IFERROR(__xludf.DUMMYFUNCTION("""COMPUTED_VALUE"""),"Barnyard ")</f>
        <v>Barnyard </v>
      </c>
      <c r="H876" s="2">
        <v>21601713</v>
      </c>
    </row>
    <row r="877" spans="7:8" x14ac:dyDescent="0.25">
      <c r="G877" s="2" t="str">
        <f ca="1">IFERROR(__xludf.DUMMYFUNCTION("""COMPUTED_VALUE"""),"The Twilight Saga: New Moon ")</f>
        <v>The Twilight Saga: New Moon </v>
      </c>
      <c r="H877" s="2">
        <v>246623634</v>
      </c>
    </row>
    <row r="878" spans="7:8" x14ac:dyDescent="0.25">
      <c r="G878" s="2" t="str">
        <f ca="1">IFERROR(__xludf.DUMMYFUNCTION("""COMPUTED_VALUE"""),"Shrek ")</f>
        <v>Shrek </v>
      </c>
      <c r="H878" s="2">
        <v>207652016</v>
      </c>
    </row>
    <row r="879" spans="7:8" x14ac:dyDescent="0.25">
      <c r="G879" s="2" t="str">
        <f ca="1">IFERROR(__xludf.DUMMYFUNCTION("""COMPUTED_VALUE"""),"The Adjustment Bureau ")</f>
        <v>The Adjustment Bureau </v>
      </c>
      <c r="H879" s="2">
        <v>12253315</v>
      </c>
    </row>
    <row r="880" spans="7:8" x14ac:dyDescent="0.25">
      <c r="G880" s="2" t="str">
        <f ca="1">IFERROR(__xludf.DUMMYFUNCTION("""COMPUTED_VALUE"""),"Robin Hood: Prince of Thieves ")</f>
        <v>Robin Hood: Prince of Thieves </v>
      </c>
      <c r="H880" s="2">
        <v>117500000</v>
      </c>
    </row>
    <row r="881" spans="7:8" x14ac:dyDescent="0.25">
      <c r="G881" s="2" t="str">
        <f ca="1">IFERROR(__xludf.DUMMYFUNCTION("""COMPUTED_VALUE"""),"Jerry Maguire ")</f>
        <v>Jerry Maguire </v>
      </c>
      <c r="H881" s="2">
        <v>103620822</v>
      </c>
    </row>
    <row r="882" spans="7:8" x14ac:dyDescent="0.25">
      <c r="G882" s="2" t="str">
        <f ca="1">IFERROR(__xludf.DUMMYFUNCTION("""COMPUTED_VALUE"""),"Ted ")</f>
        <v>Ted </v>
      </c>
      <c r="H882" s="2">
        <v>168628680</v>
      </c>
    </row>
    <row r="883" spans="7:8" x14ac:dyDescent="0.25">
      <c r="G883" s="2" t="str">
        <f ca="1">IFERROR(__xludf.DUMMYFUNCTION("""COMPUTED_VALUE"""),"As Good as It Gets ")</f>
        <v>As Good as It Gets </v>
      </c>
      <c r="H883" s="2">
        <v>97637474</v>
      </c>
    </row>
    <row r="884" spans="7:8" x14ac:dyDescent="0.25">
      <c r="G884" s="2" t="str">
        <f ca="1">IFERROR(__xludf.DUMMYFUNCTION("""COMPUTED_VALUE"""),"Patch Adams ")</f>
        <v>Patch Adams </v>
      </c>
      <c r="H884" s="2">
        <v>85014968</v>
      </c>
    </row>
    <row r="885" spans="7:8" x14ac:dyDescent="0.25">
      <c r="G885" s="2" t="str">
        <f ca="1">IFERROR(__xludf.DUMMYFUNCTION("""COMPUTED_VALUE"""),"Anchorman 2: The Legend Continues ")</f>
        <v>Anchorman 2: The Legend Continues </v>
      </c>
      <c r="H885" s="2">
        <v>-47824688</v>
      </c>
    </row>
    <row r="886" spans="7:8" x14ac:dyDescent="0.25">
      <c r="G886" s="2" t="str">
        <f ca="1">IFERROR(__xludf.DUMMYFUNCTION("""COMPUTED_VALUE"""),"Mr. Deeds ")</f>
        <v>Mr. Deeds </v>
      </c>
      <c r="H886" s="2">
        <v>76203320</v>
      </c>
    </row>
    <row r="887" spans="7:8" x14ac:dyDescent="0.25">
      <c r="G887" s="2" t="str">
        <f ca="1">IFERROR(__xludf.DUMMYFUNCTION("""COMPUTED_VALUE"""),"Super 8 ")</f>
        <v>Super 8 </v>
      </c>
      <c r="H887" s="2">
        <v>76975169</v>
      </c>
    </row>
    <row r="888" spans="7:8" x14ac:dyDescent="0.25">
      <c r="G888" s="2" t="str">
        <f ca="1">IFERROR(__xludf.DUMMYFUNCTION("""COMPUTED_VALUE"""),"Erin Brockovich ")</f>
        <v>Erin Brockovich </v>
      </c>
      <c r="H888" s="2">
        <v>73548685</v>
      </c>
    </row>
    <row r="889" spans="7:8" x14ac:dyDescent="0.25">
      <c r="G889" s="2" t="str">
        <f ca="1">IFERROR(__xludf.DUMMYFUNCTION("""COMPUTED_VALUE"""),"How to Lose a Guy in 10 Days ")</f>
        <v>How to Lose a Guy in 10 Days </v>
      </c>
      <c r="H889" s="2">
        <v>55807520</v>
      </c>
    </row>
    <row r="890" spans="7:8" x14ac:dyDescent="0.25">
      <c r="G890" s="2" t="str">
        <f ca="1">IFERROR(__xludf.DUMMYFUNCTION("""COMPUTED_VALUE"""),"22 Jump Street ")</f>
        <v>22 Jump Street </v>
      </c>
      <c r="H890" s="2">
        <v>141616238</v>
      </c>
    </row>
    <row r="891" spans="7:8" x14ac:dyDescent="0.25">
      <c r="G891" s="2" t="str">
        <f ca="1">IFERROR(__xludf.DUMMYFUNCTION("""COMPUTED_VALUE"""),"Interview with the Vampire: The Vampire Chronicles ")</f>
        <v>Interview with the Vampire: The Vampire Chronicles </v>
      </c>
      <c r="H891" s="2">
        <v>45264608</v>
      </c>
    </row>
    <row r="892" spans="7:8" x14ac:dyDescent="0.25">
      <c r="G892" s="2" t="str">
        <f ca="1">IFERROR(__xludf.DUMMYFUNCTION("""COMPUTED_VALUE"""),"Yes Man ")</f>
        <v>Yes Man </v>
      </c>
      <c r="H892" s="2">
        <v>27680195</v>
      </c>
    </row>
    <row r="893" spans="7:8" x14ac:dyDescent="0.25">
      <c r="G893" s="2" t="str">
        <f ca="1">IFERROR(__xludf.DUMMYFUNCTION("""COMPUTED_VALUE"""),"Central Intelligence ")</f>
        <v>Central Intelligence </v>
      </c>
      <c r="H893" s="2">
        <v>76088877</v>
      </c>
    </row>
    <row r="894" spans="7:8" x14ac:dyDescent="0.25">
      <c r="G894" s="2" t="str">
        <f ca="1">IFERROR(__xludf.DUMMYFUNCTION("""COMPUTED_VALUE"""),"Stepmom ")</f>
        <v>Stepmom </v>
      </c>
      <c r="H894" s="2">
        <v>41030827</v>
      </c>
    </row>
    <row r="895" spans="7:8" x14ac:dyDescent="0.25">
      <c r="G895" s="2" t="str">
        <f ca="1">IFERROR(__xludf.DUMMYFUNCTION("""COMPUTED_VALUE"""),"Daddy's Home ")</f>
        <v>Daddy's Home </v>
      </c>
      <c r="H895" s="2">
        <v>100315155</v>
      </c>
    </row>
    <row r="896" spans="7:8" x14ac:dyDescent="0.25">
      <c r="G896" s="2" t="str">
        <f ca="1">IFERROR(__xludf.DUMMYFUNCTION("""COMPUTED_VALUE"""),"Into the Woods ")</f>
        <v>Into the Woods </v>
      </c>
      <c r="H896" s="2">
        <v>77997349</v>
      </c>
    </row>
    <row r="897" spans="7:8" x14ac:dyDescent="0.25">
      <c r="G897" s="2" t="str">
        <f ca="1">IFERROR(__xludf.DUMMYFUNCTION("""COMPUTED_VALUE"""),"Inside Man ")</f>
        <v>Inside Man </v>
      </c>
      <c r="H897" s="2">
        <v>43504640</v>
      </c>
    </row>
    <row r="898" spans="7:8" x14ac:dyDescent="0.25">
      <c r="G898" s="2" t="str">
        <f ca="1">IFERROR(__xludf.DUMMYFUNCTION("""COMPUTED_VALUE"""),"Payback ")</f>
        <v>Payback </v>
      </c>
      <c r="H898" s="2">
        <v>31517441</v>
      </c>
    </row>
    <row r="899" spans="7:8" x14ac:dyDescent="0.25">
      <c r="G899" s="2" t="str">
        <f ca="1">IFERROR(__xludf.DUMMYFUNCTION("""COMPUTED_VALUE"""),"Congo ")</f>
        <v>Congo </v>
      </c>
      <c r="H899" s="2">
        <v>31022333</v>
      </c>
    </row>
    <row r="900" spans="7:8" x14ac:dyDescent="0.25">
      <c r="G900" s="2" t="str">
        <f ca="1">IFERROR(__xludf.DUMMYFUNCTION("""COMPUTED_VALUE"""),"Knowing ")</f>
        <v>Knowing </v>
      </c>
      <c r="H900" s="2">
        <v>29948113</v>
      </c>
    </row>
    <row r="901" spans="7:8" x14ac:dyDescent="0.25">
      <c r="G901" s="2" t="str">
        <f ca="1">IFERROR(__xludf.DUMMYFUNCTION("""COMPUTED_VALUE"""),"Failure to Launch ")</f>
        <v>Failure to Launch </v>
      </c>
      <c r="H901" s="2">
        <v>38658172</v>
      </c>
    </row>
    <row r="902" spans="7:8" x14ac:dyDescent="0.25">
      <c r="G902" s="2" t="str">
        <f ca="1">IFERROR(__xludf.DUMMYFUNCTION("""COMPUTED_VALUE"""),"Crazy, Stupid, Love. ")</f>
        <v>Crazy, Stupid, Love. </v>
      </c>
      <c r="H902" s="2">
        <v>34244877</v>
      </c>
    </row>
    <row r="903" spans="7:8" x14ac:dyDescent="0.25">
      <c r="G903" s="2" t="str">
        <f ca="1">IFERROR(__xludf.DUMMYFUNCTION("""COMPUTED_VALUE"""),"Garfield ")</f>
        <v>Garfield </v>
      </c>
      <c r="H903" s="2">
        <v>40367693</v>
      </c>
    </row>
    <row r="904" spans="7:8" x14ac:dyDescent="0.25">
      <c r="G904" s="2" t="str">
        <f ca="1">IFERROR(__xludf.DUMMYFUNCTION("""COMPUTED_VALUE"""),"Christmas with the Kranks ")</f>
        <v>Christmas with the Kranks </v>
      </c>
      <c r="H904" s="2">
        <v>13701902</v>
      </c>
    </row>
    <row r="905" spans="7:8" x14ac:dyDescent="0.25">
      <c r="G905" s="2" t="str">
        <f ca="1">IFERROR(__xludf.DUMMYFUNCTION("""COMPUTED_VALUE"""),"Moneyball ")</f>
        <v>Moneyball </v>
      </c>
      <c r="H905" s="2">
        <v>25605492</v>
      </c>
    </row>
    <row r="906" spans="7:8" x14ac:dyDescent="0.25">
      <c r="G906" s="2" t="str">
        <f ca="1">IFERROR(__xludf.DUMMYFUNCTION("""COMPUTED_VALUE"""),"Outbreak ")</f>
        <v>Outbreak </v>
      </c>
      <c r="H906" s="2">
        <v>17823573</v>
      </c>
    </row>
    <row r="907" spans="7:8" x14ac:dyDescent="0.25">
      <c r="G907" s="2" t="str">
        <f ca="1">IFERROR(__xludf.DUMMYFUNCTION("""COMPUTED_VALUE"""),"Non-Stop ")</f>
        <v>Non-Stop </v>
      </c>
      <c r="H907" s="2">
        <v>41439400</v>
      </c>
    </row>
    <row r="908" spans="7:8" x14ac:dyDescent="0.25">
      <c r="G908" s="2" t="str">
        <f ca="1">IFERROR(__xludf.DUMMYFUNCTION("""COMPUTED_VALUE"""),"Race to Witch Mountain ")</f>
        <v>Race to Witch Mountain </v>
      </c>
      <c r="H908" s="2">
        <v>2128202</v>
      </c>
    </row>
    <row r="909" spans="7:8" x14ac:dyDescent="0.25">
      <c r="G909" s="2" t="str">
        <f ca="1">IFERROR(__xludf.DUMMYFUNCTION("""COMPUTED_VALUE"""),"V for Vendetta ")</f>
        <v>V for Vendetta </v>
      </c>
      <c r="H909" s="2">
        <v>16496802</v>
      </c>
    </row>
    <row r="910" spans="7:8" x14ac:dyDescent="0.25">
      <c r="G910" s="2" t="str">
        <f ca="1">IFERROR(__xludf.DUMMYFUNCTION("""COMPUTED_VALUE"""),"Shanghai Knights ")</f>
        <v>Shanghai Knights </v>
      </c>
      <c r="H910" s="2">
        <v>10470220</v>
      </c>
    </row>
    <row r="911" spans="7:8" x14ac:dyDescent="0.25">
      <c r="G911" s="2" t="str">
        <f ca="1">IFERROR(__xludf.DUMMYFUNCTION("""COMPUTED_VALUE"""),"Curious George ")</f>
        <v>Curious George </v>
      </c>
      <c r="H911" s="2">
        <v>8336565</v>
      </c>
    </row>
    <row r="912" spans="7:8" x14ac:dyDescent="0.25">
      <c r="G912" s="2" t="str">
        <f ca="1">IFERROR(__xludf.DUMMYFUNCTION("""COMPUTED_VALUE"""),"Herbie Fully Loaded ")</f>
        <v>Herbie Fully Loaded </v>
      </c>
      <c r="H912" s="2">
        <v>16002004</v>
      </c>
    </row>
    <row r="913" spans="7:8" x14ac:dyDescent="0.25">
      <c r="G913" s="2" t="str">
        <f ca="1">IFERROR(__xludf.DUMMYFUNCTION("""COMPUTED_VALUE"""),"Don't Say a Word ")</f>
        <v>Don't Say a Word </v>
      </c>
      <c r="H913" s="2">
        <v>4997476</v>
      </c>
    </row>
    <row r="914" spans="7:8" x14ac:dyDescent="0.25">
      <c r="G914" s="2" t="str">
        <f ca="1">IFERROR(__xludf.DUMMYFUNCTION("""COMPUTED_VALUE"""),"Hansel &amp; Gretel: Witch Hunters ")</f>
        <v>Hansel &amp; Gretel: Witch Hunters </v>
      </c>
      <c r="H914" s="2">
        <v>5682070</v>
      </c>
    </row>
    <row r="915" spans="7:8" x14ac:dyDescent="0.25">
      <c r="G915" s="2" t="str">
        <f ca="1">IFERROR(__xludf.DUMMYFUNCTION("""COMPUTED_VALUE"""),"Unfaithful ")</f>
        <v>Unfaithful </v>
      </c>
      <c r="H915" s="2">
        <v>2752475</v>
      </c>
    </row>
    <row r="916" spans="7:8" x14ac:dyDescent="0.25">
      <c r="G916" s="2" t="str">
        <f ca="1">IFERROR(__xludf.DUMMYFUNCTION("""COMPUTED_VALUE"""),"I Am Number Four ")</f>
        <v>I Am Number Four </v>
      </c>
      <c r="H916" s="2">
        <v>-4907170</v>
      </c>
    </row>
    <row r="917" spans="7:8" x14ac:dyDescent="0.25">
      <c r="G917" s="2" t="str">
        <f ca="1">IFERROR(__xludf.DUMMYFUNCTION("""COMPUTED_VALUE"""),"Syriana ")</f>
        <v>Syriana </v>
      </c>
      <c r="H917" s="2">
        <v>815288</v>
      </c>
    </row>
    <row r="918" spans="7:8" x14ac:dyDescent="0.25">
      <c r="G918" s="2" t="str">
        <f ca="1">IFERROR(__xludf.DUMMYFUNCTION("""COMPUTED_VALUE"""),"13 Hours ")</f>
        <v>13 Hours </v>
      </c>
      <c r="H918" s="2">
        <v>2822418</v>
      </c>
    </row>
    <row r="919" spans="7:8" x14ac:dyDescent="0.25">
      <c r="G919" s="2" t="str">
        <f ca="1">IFERROR(__xludf.DUMMYFUNCTION("""COMPUTED_VALUE"""),"The Book of Life ")</f>
        <v>The Book of Life </v>
      </c>
      <c r="H919" s="2">
        <v>150619</v>
      </c>
    </row>
    <row r="920" spans="7:8" x14ac:dyDescent="0.25">
      <c r="G920" s="2" t="str">
        <f ca="1">IFERROR(__xludf.DUMMYFUNCTION("""COMPUTED_VALUE"""),"Firewall ")</f>
        <v>Firewall </v>
      </c>
      <c r="H920" s="2">
        <v>-1254850</v>
      </c>
    </row>
    <row r="921" spans="7:8" x14ac:dyDescent="0.25">
      <c r="G921" s="2" t="str">
        <f ca="1">IFERROR(__xludf.DUMMYFUNCTION("""COMPUTED_VALUE"""),"Absolute Power ")</f>
        <v>Absolute Power </v>
      </c>
      <c r="H921" s="2">
        <v>7168</v>
      </c>
    </row>
    <row r="922" spans="7:8" x14ac:dyDescent="0.25">
      <c r="G922" s="2" t="str">
        <f ca="1">IFERROR(__xludf.DUMMYFUNCTION("""COMPUTED_VALUE"""),"G.I. Jane ")</f>
        <v>G.I. Jane </v>
      </c>
      <c r="H922" s="2">
        <v>-1845268</v>
      </c>
    </row>
    <row r="923" spans="7:8" x14ac:dyDescent="0.25">
      <c r="G923" s="2" t="str">
        <f ca="1">IFERROR(__xludf.DUMMYFUNCTION("""COMPUTED_VALUE"""),"The Game ")</f>
        <v>The Game </v>
      </c>
      <c r="H923" s="2">
        <v>-1734419</v>
      </c>
    </row>
    <row r="924" spans="7:8" x14ac:dyDescent="0.25">
      <c r="G924" s="2" t="str">
        <f ca="1">IFERROR(__xludf.DUMMYFUNCTION("""COMPUTED_VALUE"""),"Silent Hill ")</f>
        <v>Silent Hill </v>
      </c>
      <c r="H924" s="2">
        <v>-3017368</v>
      </c>
    </row>
    <row r="925" spans="7:8" x14ac:dyDescent="0.25">
      <c r="G925" s="2" t="str">
        <f ca="1">IFERROR(__xludf.DUMMYFUNCTION("""COMPUTED_VALUE"""),"The Replacements ")</f>
        <v>The Replacements </v>
      </c>
      <c r="H925" s="2">
        <v>-5262941</v>
      </c>
    </row>
    <row r="926" spans="7:8" x14ac:dyDescent="0.25">
      <c r="G926" s="2" t="str">
        <f ca="1">IFERROR(__xludf.DUMMYFUNCTION("""COMPUTED_VALUE"""),"American Reunion ")</f>
        <v>American Reunion </v>
      </c>
      <c r="H926" s="2">
        <v>6724080</v>
      </c>
    </row>
    <row r="927" spans="7:8" x14ac:dyDescent="0.25">
      <c r="G927" s="2" t="str">
        <f ca="1">IFERROR(__xludf.DUMMYFUNCTION("""COMPUTED_VALUE"""),"The Negotiator ")</f>
        <v>The Negotiator </v>
      </c>
      <c r="H927" s="2">
        <v>-5515935</v>
      </c>
    </row>
    <row r="928" spans="7:8" x14ac:dyDescent="0.25">
      <c r="G928" s="2" t="str">
        <f ca="1">IFERROR(__xludf.DUMMYFUNCTION("""COMPUTED_VALUE"""),"Into the Storm ")</f>
        <v>Into the Storm </v>
      </c>
      <c r="H928" s="2">
        <v>-2446488</v>
      </c>
    </row>
    <row r="929" spans="7:8" x14ac:dyDescent="0.25">
      <c r="G929" s="2" t="str">
        <f ca="1">IFERROR(__xludf.DUMMYFUNCTION("""COMPUTED_VALUE"""),"Beverly Hills Cop III ")</f>
        <v>Beverly Hills Cop III </v>
      </c>
      <c r="H929" s="2">
        <v>-12390000</v>
      </c>
    </row>
    <row r="930" spans="7:8" x14ac:dyDescent="0.25">
      <c r="G930" s="2" t="str">
        <f ca="1">IFERROR(__xludf.DUMMYFUNCTION("""COMPUTED_VALUE"""),"Gremlins 2: The New Batch ")</f>
        <v>Gremlins 2: The New Batch </v>
      </c>
      <c r="H930" s="2">
        <v>-8517793</v>
      </c>
    </row>
    <row r="931" spans="7:8" x14ac:dyDescent="0.25">
      <c r="G931" s="2" t="str">
        <f ca="1">IFERROR(__xludf.DUMMYFUNCTION("""COMPUTED_VALUE"""),"The Judge ")</f>
        <v>The Judge </v>
      </c>
      <c r="H931" s="2">
        <v>-2894915</v>
      </c>
    </row>
    <row r="932" spans="7:8" x14ac:dyDescent="0.25">
      <c r="G932" s="2" t="str">
        <f ca="1">IFERROR(__xludf.DUMMYFUNCTION("""COMPUTED_VALUE"""),"The Peacemaker ")</f>
        <v>The Peacemaker </v>
      </c>
      <c r="H932" s="2">
        <v>-8743723</v>
      </c>
    </row>
    <row r="933" spans="7:8" x14ac:dyDescent="0.25">
      <c r="G933" s="2" t="str">
        <f ca="1">IFERROR(__xludf.DUMMYFUNCTION("""COMPUTED_VALUE"""),"Resident Evil: Apocalypse ")</f>
        <v>Resident Evil: Apocalypse </v>
      </c>
      <c r="H933" s="2">
        <v>5740078</v>
      </c>
    </row>
    <row r="934" spans="7:8" x14ac:dyDescent="0.25">
      <c r="G934" s="2" t="str">
        <f ca="1">IFERROR(__xludf.DUMMYFUNCTION("""COMPUTED_VALUE"""),"Bridget Jones: The Edge of Reason ")</f>
        <v>Bridget Jones: The Edge of Reason </v>
      </c>
      <c r="H934" s="2">
        <v>203020</v>
      </c>
    </row>
    <row r="935" spans="7:8" x14ac:dyDescent="0.25">
      <c r="G935" s="2" t="str">
        <f ca="1">IFERROR(__xludf.DUMMYFUNCTION("""COMPUTED_VALUE"""),"Out of Time ")</f>
        <v>Out of Time </v>
      </c>
      <c r="H935" s="2">
        <v>-9094723</v>
      </c>
    </row>
    <row r="936" spans="7:8" x14ac:dyDescent="0.25">
      <c r="G936" s="2" t="str">
        <f ca="1">IFERROR(__xludf.DUMMYFUNCTION("""COMPUTED_VALUE"""),"On Deadly Ground ")</f>
        <v>On Deadly Ground </v>
      </c>
      <c r="H936" s="2">
        <v>-11409500</v>
      </c>
    </row>
    <row r="937" spans="7:8" x14ac:dyDescent="0.25">
      <c r="G937" s="2" t="str">
        <f ca="1">IFERROR(__xludf.DUMMYFUNCTION("""COMPUTED_VALUE"""),"The Adventures of Sharkboy and Lavagirl 3-D ")</f>
        <v>The Adventures of Sharkboy and Lavagirl 3-D </v>
      </c>
      <c r="H937" s="2">
        <v>-10822459</v>
      </c>
    </row>
    <row r="938" spans="7:8" x14ac:dyDescent="0.25">
      <c r="G938" s="2" t="str">
        <f ca="1">IFERROR(__xludf.DUMMYFUNCTION("""COMPUTED_VALUE"""),"The Beach ")</f>
        <v>The Beach </v>
      </c>
      <c r="H938" s="2">
        <v>-10221401</v>
      </c>
    </row>
    <row r="939" spans="7:8" x14ac:dyDescent="0.25">
      <c r="G939" s="2" t="str">
        <f ca="1">IFERROR(__xludf.DUMMYFUNCTION("""COMPUTED_VALUE"""),"Raising Helen ")</f>
        <v>Raising Helen </v>
      </c>
      <c r="H939" s="2">
        <v>-12513862</v>
      </c>
    </row>
    <row r="940" spans="7:8" x14ac:dyDescent="0.25">
      <c r="G940" s="2" t="str">
        <f ca="1">IFERROR(__xludf.DUMMYFUNCTION("""COMPUTED_VALUE"""),"Ninja Assassin ")</f>
        <v>Ninja Assassin </v>
      </c>
      <c r="H940" s="2">
        <v>-1894923</v>
      </c>
    </row>
    <row r="941" spans="7:8" x14ac:dyDescent="0.25">
      <c r="G941" s="2" t="str">
        <f ca="1">IFERROR(__xludf.DUMMYFUNCTION("""COMPUTED_VALUE"""),"For Love of the Game ")</f>
        <v>For Love of the Game </v>
      </c>
      <c r="H941" s="2">
        <v>-14831605</v>
      </c>
    </row>
    <row r="942" spans="7:8" x14ac:dyDescent="0.25">
      <c r="G942" s="2" t="str">
        <f ca="1">IFERROR(__xludf.DUMMYFUNCTION("""COMPUTED_VALUE"""),"Striptease ")</f>
        <v>Striptease </v>
      </c>
      <c r="H942" s="2">
        <v>-7200000</v>
      </c>
    </row>
    <row r="943" spans="7:8" x14ac:dyDescent="0.25">
      <c r="G943" s="2" t="str">
        <f ca="1">IFERROR(__xludf.DUMMYFUNCTION("""COMPUTED_VALUE"""),"Marmaduke ")</f>
        <v>Marmaduke </v>
      </c>
      <c r="H943" s="2">
        <v>-16356539</v>
      </c>
    </row>
    <row r="944" spans="7:8" x14ac:dyDescent="0.25">
      <c r="G944" s="2" t="str">
        <f ca="1">IFERROR(__xludf.DUMMYFUNCTION("""COMPUTED_VALUE"""),"Hereafter ")</f>
        <v>Hereafter </v>
      </c>
      <c r="H944" s="2">
        <v>-17258404</v>
      </c>
    </row>
    <row r="945" spans="7:8" x14ac:dyDescent="0.25">
      <c r="G945" s="2" t="str">
        <f ca="1">IFERROR(__xludf.DUMMYFUNCTION("""COMPUTED_VALUE"""),"Murder by Numbers ")</f>
        <v>Murder by Numbers </v>
      </c>
      <c r="H945" s="2">
        <v>-18125131</v>
      </c>
    </row>
    <row r="946" spans="7:8" x14ac:dyDescent="0.25">
      <c r="G946" s="2" t="str">
        <f ca="1">IFERROR(__xludf.DUMMYFUNCTION("""COMPUTED_VALUE"""),"Assassins ")</f>
        <v>Assassins </v>
      </c>
      <c r="H946" s="2">
        <v>-19693732</v>
      </c>
    </row>
    <row r="947" spans="7:8" x14ac:dyDescent="0.25">
      <c r="G947" s="2" t="str">
        <f ca="1">IFERROR(__xludf.DUMMYFUNCTION("""COMPUTED_VALUE"""),"Hannibal Rising ")</f>
        <v>Hannibal Rising </v>
      </c>
      <c r="H947" s="2">
        <v>-22332053</v>
      </c>
    </row>
    <row r="948" spans="7:8" x14ac:dyDescent="0.25">
      <c r="G948" s="2" t="str">
        <f ca="1">IFERROR(__xludf.DUMMYFUNCTION("""COMPUTED_VALUE"""),"The Story of Us ")</f>
        <v>The Story of Us </v>
      </c>
      <c r="H948" s="2">
        <v>-22932840</v>
      </c>
    </row>
    <row r="949" spans="7:8" x14ac:dyDescent="0.25">
      <c r="G949" s="2" t="str">
        <f ca="1">IFERROR(__xludf.DUMMYFUNCTION("""COMPUTED_VALUE"""),"The Host ")</f>
        <v>The Host </v>
      </c>
      <c r="H949" s="2">
        <v>-13383001</v>
      </c>
    </row>
    <row r="950" spans="7:8" x14ac:dyDescent="0.25">
      <c r="G950" s="2" t="str">
        <f ca="1">IFERROR(__xludf.DUMMYFUNCTION("""COMPUTED_VALUE"""),"Basic ")</f>
        <v>Basic </v>
      </c>
      <c r="H950" s="2">
        <v>-23463880</v>
      </c>
    </row>
    <row r="951" spans="7:8" x14ac:dyDescent="0.25">
      <c r="G951" s="2" t="str">
        <f ca="1">IFERROR(__xludf.DUMMYFUNCTION("""COMPUTED_VALUE"""),"Blood Work ")</f>
        <v>Blood Work </v>
      </c>
      <c r="H951" s="2">
        <v>-23800483</v>
      </c>
    </row>
    <row r="952" spans="7:8" x14ac:dyDescent="0.25">
      <c r="G952" s="2" t="str">
        <f ca="1">IFERROR(__xludf.DUMMYFUNCTION("""COMPUTED_VALUE"""),"The International ")</f>
        <v>The International </v>
      </c>
      <c r="H952" s="2">
        <v>-24549473</v>
      </c>
    </row>
    <row r="953" spans="7:8" x14ac:dyDescent="0.25">
      <c r="G953" s="2" t="str">
        <f ca="1">IFERROR(__xludf.DUMMYFUNCTION("""COMPUTED_VALUE"""),"Escape from L.A. ")</f>
        <v>Escape from L.A. </v>
      </c>
      <c r="H953" s="2">
        <v>-24592750</v>
      </c>
    </row>
    <row r="954" spans="7:8" x14ac:dyDescent="0.25">
      <c r="G954" s="2" t="str">
        <f ca="1">IFERROR(__xludf.DUMMYFUNCTION("""COMPUTED_VALUE"""),"The Iron Giant ")</f>
        <v>The Iron Giant </v>
      </c>
      <c r="H954" s="2">
        <v>-46840695</v>
      </c>
    </row>
    <row r="955" spans="7:8" x14ac:dyDescent="0.25">
      <c r="G955" s="2" t="str">
        <f ca="1">IFERROR(__xludf.DUMMYFUNCTION("""COMPUTED_VALUE"""),"The Life Aquatic with Steve Zissou ")</f>
        <v>The Life Aquatic with Steve Zissou </v>
      </c>
      <c r="H955" s="2">
        <v>-25993274</v>
      </c>
    </row>
    <row r="956" spans="7:8" x14ac:dyDescent="0.25">
      <c r="G956" s="2" t="str">
        <f ca="1">IFERROR(__xludf.DUMMYFUNCTION("""COMPUTED_VALUE"""),"Free State of Jones ")</f>
        <v>Free State of Jones </v>
      </c>
      <c r="H956" s="2">
        <v>-29610033</v>
      </c>
    </row>
    <row r="957" spans="7:8" x14ac:dyDescent="0.25">
      <c r="G957" s="2" t="str">
        <f ca="1">IFERROR(__xludf.DUMMYFUNCTION("""COMPUTED_VALUE"""),"The Life of David Gale ")</f>
        <v>The Life of David Gale </v>
      </c>
      <c r="H957" s="2">
        <v>-30406260</v>
      </c>
    </row>
    <row r="958" spans="7:8" x14ac:dyDescent="0.25">
      <c r="G958" s="2" t="str">
        <f ca="1">IFERROR(__xludf.DUMMYFUNCTION("""COMPUTED_VALUE"""),"Man of the House ")</f>
        <v>Man of the House </v>
      </c>
      <c r="H958" s="2">
        <v>-20881753</v>
      </c>
    </row>
    <row r="959" spans="7:8" x14ac:dyDescent="0.25">
      <c r="G959" s="2" t="str">
        <f ca="1">IFERROR(__xludf.DUMMYFUNCTION("""COMPUTED_VALUE"""),"Run All Night ")</f>
        <v>Run All Night </v>
      </c>
      <c r="H959" s="2">
        <v>-23557749</v>
      </c>
    </row>
    <row r="960" spans="7:8" x14ac:dyDescent="0.25">
      <c r="G960" s="2" t="str">
        <f ca="1">IFERROR(__xludf.DUMMYFUNCTION("""COMPUTED_VALUE"""),"Eastern Promises ")</f>
        <v>Eastern Promises </v>
      </c>
      <c r="H960" s="2">
        <v>-7885118</v>
      </c>
    </row>
    <row r="961" spans="7:8" x14ac:dyDescent="0.25">
      <c r="G961" s="2" t="str">
        <f ca="1">IFERROR(__xludf.DUMMYFUNCTION("""COMPUTED_VALUE"""),"Into the Blue ")</f>
        <v>Into the Blue </v>
      </c>
      <c r="H961" s="2">
        <v>-31527637</v>
      </c>
    </row>
    <row r="962" spans="7:8" x14ac:dyDescent="0.25">
      <c r="G962" s="2" t="str">
        <f ca="1">IFERROR(__xludf.DUMMYFUNCTION("""COMPUTED_VALUE"""),"The Messenger: The Story of Joan of Arc ")</f>
        <v>The Messenger: The Story of Joan of Arc </v>
      </c>
      <c r="H962" s="2">
        <v>-375868702</v>
      </c>
    </row>
    <row r="963" spans="7:8" x14ac:dyDescent="0.25">
      <c r="G963" s="2" t="str">
        <f ca="1">IFERROR(__xludf.DUMMYFUNCTION("""COMPUTED_VALUE"""),"Your Highness ")</f>
        <v>Your Highness </v>
      </c>
      <c r="H963" s="2">
        <v>-28342760</v>
      </c>
    </row>
    <row r="964" spans="7:8" x14ac:dyDescent="0.25">
      <c r="G964" s="2" t="str">
        <f ca="1">IFERROR(__xludf.DUMMYFUNCTION("""COMPUTED_VALUE"""),"Dream House ")</f>
        <v>Dream House </v>
      </c>
      <c r="H964" s="2">
        <v>-33716560</v>
      </c>
    </row>
    <row r="965" spans="7:8" x14ac:dyDescent="0.25">
      <c r="G965" s="2" t="str">
        <f ca="1">IFERROR(__xludf.DUMMYFUNCTION("""COMPUTED_VALUE"""),"Mad City ")</f>
        <v>Mad City </v>
      </c>
      <c r="H965" s="2">
        <v>-39443804</v>
      </c>
    </row>
    <row r="966" spans="7:8" x14ac:dyDescent="0.25">
      <c r="G966" s="2" t="str">
        <f ca="1">IFERROR(__xludf.DUMMYFUNCTION("""COMPUTED_VALUE"""),"Baby's Day Out ")</f>
        <v>Baby's Day Out </v>
      </c>
      <c r="H966" s="2">
        <v>-33328495</v>
      </c>
    </row>
    <row r="967" spans="7:8" x14ac:dyDescent="0.25">
      <c r="G967" s="2" t="str">
        <f ca="1">IFERROR(__xludf.DUMMYFUNCTION("""COMPUTED_VALUE"""),"The Scarlet Letter ")</f>
        <v>The Scarlet Letter </v>
      </c>
      <c r="H967" s="2">
        <v>-39600000</v>
      </c>
    </row>
    <row r="968" spans="7:8" x14ac:dyDescent="0.25">
      <c r="G968" s="2" t="str">
        <f ca="1">IFERROR(__xludf.DUMMYFUNCTION("""COMPUTED_VALUE"""),"Fair Game ")</f>
        <v>Fair Game </v>
      </c>
      <c r="H968" s="2">
        <v>-12471908</v>
      </c>
    </row>
    <row r="969" spans="7:8" x14ac:dyDescent="0.25">
      <c r="G969" s="2" t="str">
        <f ca="1">IFERROR(__xludf.DUMMYFUNCTION("""COMPUTED_VALUE"""),"Domino ")</f>
        <v>Domino </v>
      </c>
      <c r="H969" s="2">
        <v>-39862768</v>
      </c>
    </row>
    <row r="970" spans="7:8" x14ac:dyDescent="0.25">
      <c r="G970" s="2" t="str">
        <f ca="1">IFERROR(__xludf.DUMMYFUNCTION("""COMPUTED_VALUE"""),"Jade ")</f>
        <v>Jade </v>
      </c>
      <c r="H970" s="2">
        <v>-40204983</v>
      </c>
    </row>
    <row r="971" spans="7:8" x14ac:dyDescent="0.25">
      <c r="G971" s="2" t="str">
        <f ca="1">IFERROR(__xludf.DUMMYFUNCTION("""COMPUTED_VALUE"""),"Gamer ")</f>
        <v>Gamer </v>
      </c>
      <c r="H971" s="2">
        <v>-29511421</v>
      </c>
    </row>
    <row r="972" spans="7:8" x14ac:dyDescent="0.25">
      <c r="G972" s="2" t="str">
        <f ca="1">IFERROR(__xludf.DUMMYFUNCTION("""COMPUTED_VALUE"""),"Beautiful Creatures ")</f>
        <v>Beautiful Creatures </v>
      </c>
      <c r="H972" s="2">
        <v>-40554783</v>
      </c>
    </row>
    <row r="973" spans="7:8" x14ac:dyDescent="0.25">
      <c r="G973" s="2" t="str">
        <f ca="1">IFERROR(__xludf.DUMMYFUNCTION("""COMPUTED_VALUE"""),"Death to Smoochy ")</f>
        <v>Death to Smoochy </v>
      </c>
      <c r="H973" s="2">
        <v>-46644185</v>
      </c>
    </row>
    <row r="974" spans="7:8" x14ac:dyDescent="0.25">
      <c r="G974" s="2" t="str">
        <f ca="1">IFERROR(__xludf.DUMMYFUNCTION("""COMPUTED_VALUE"""),"Zoolander 2 ")</f>
        <v>Zoolander 2 </v>
      </c>
      <c r="H974" s="2">
        <v>-21162885</v>
      </c>
    </row>
    <row r="975" spans="7:8" x14ac:dyDescent="0.25">
      <c r="G975" s="2" t="str">
        <f ca="1">IFERROR(__xludf.DUMMYFUNCTION("""COMPUTED_VALUE"""),"The Big Bounce ")</f>
        <v>The Big Bounce </v>
      </c>
      <c r="H975" s="2">
        <v>-43528606</v>
      </c>
    </row>
    <row r="976" spans="7:8" x14ac:dyDescent="0.25">
      <c r="G976" s="2" t="str">
        <f ca="1">IFERROR(__xludf.DUMMYFUNCTION("""COMPUTED_VALUE"""),"What Planet Are You From? ")</f>
        <v>What Planet Are You From? </v>
      </c>
      <c r="H976" s="2">
        <v>-43708398</v>
      </c>
    </row>
    <row r="977" spans="7:8" x14ac:dyDescent="0.25">
      <c r="G977" s="2" t="str">
        <f ca="1">IFERROR(__xludf.DUMMYFUNCTION("""COMPUTED_VALUE"""),"Drive Angry ")</f>
        <v>Drive Angry </v>
      </c>
      <c r="H977" s="2">
        <v>-39293214</v>
      </c>
    </row>
    <row r="978" spans="7:8" x14ac:dyDescent="0.25">
      <c r="G978" s="2" t="str">
        <f ca="1">IFERROR(__xludf.DUMMYFUNCTION("""COMPUTED_VALUE"""),"Street Fighter: The Legend of Chun-Li ")</f>
        <v>Street Fighter: The Legend of Chun-Li </v>
      </c>
      <c r="H978" s="2">
        <v>-9257739</v>
      </c>
    </row>
    <row r="979" spans="7:8" x14ac:dyDescent="0.25">
      <c r="G979" s="2" t="str">
        <f ca="1">IFERROR(__xludf.DUMMYFUNCTION("""COMPUTED_VALUE"""),"The One ")</f>
        <v>The One </v>
      </c>
      <c r="H979" s="2">
        <v>-5094254</v>
      </c>
    </row>
    <row r="980" spans="7:8" x14ac:dyDescent="0.25">
      <c r="G980" s="2" t="str">
        <f ca="1">IFERROR(__xludf.DUMMYFUNCTION("""COMPUTED_VALUE"""),"The Adventures of Ford Fairlane ")</f>
        <v>The Adventures of Ford Fairlane </v>
      </c>
      <c r="H980" s="2">
        <v>-18586498</v>
      </c>
    </row>
    <row r="981" spans="7:8" x14ac:dyDescent="0.25">
      <c r="G981" s="2" t="str">
        <f ca="1">IFERROR(__xludf.DUMMYFUNCTION("""COMPUTED_VALUE"""),"Traffic ")</f>
        <v>Traffic </v>
      </c>
      <c r="H981" s="2">
        <v>76107476</v>
      </c>
    </row>
    <row r="982" spans="7:8" x14ac:dyDescent="0.25">
      <c r="G982" s="2" t="str">
        <f ca="1">IFERROR(__xludf.DUMMYFUNCTION("""COMPUTED_VALUE"""),"Indiana Jones and the Last Crusade ")</f>
        <v>Indiana Jones and the Last Crusade </v>
      </c>
      <c r="H982" s="2">
        <v>149171806</v>
      </c>
    </row>
    <row r="983" spans="7:8" x14ac:dyDescent="0.25">
      <c r="G983" s="2" t="str">
        <f ca="1">IFERROR(__xludf.DUMMYFUNCTION("""COMPUTED_VALUE"""),"Chappie ")</f>
        <v>Chappie </v>
      </c>
      <c r="H983" s="2">
        <v>-17430732</v>
      </c>
    </row>
    <row r="984" spans="7:8" x14ac:dyDescent="0.25">
      <c r="G984" s="2" t="str">
        <f ca="1">IFERROR(__xludf.DUMMYFUNCTION("""COMPUTED_VALUE"""),"The Bone Collector ")</f>
        <v>The Bone Collector </v>
      </c>
      <c r="H984" s="2">
        <v>18488090</v>
      </c>
    </row>
    <row r="985" spans="7:8" x14ac:dyDescent="0.25">
      <c r="G985" s="2" t="str">
        <f ca="1">IFERROR(__xludf.DUMMYFUNCTION("""COMPUTED_VALUE"""),"Panic Room ")</f>
        <v>Panic Room </v>
      </c>
      <c r="H985" s="2">
        <v>47308367</v>
      </c>
    </row>
    <row r="986" spans="7:8" x14ac:dyDescent="0.25">
      <c r="G986" s="2" t="str">
        <f ca="1">IFERROR(__xludf.DUMMYFUNCTION("""COMPUTED_VALUE"""),"Three Kings ")</f>
        <v>Three Kings </v>
      </c>
      <c r="H986" s="2">
        <v>12652036</v>
      </c>
    </row>
    <row r="987" spans="7:8" x14ac:dyDescent="0.25">
      <c r="G987" s="2" t="str">
        <f ca="1">IFERROR(__xludf.DUMMYFUNCTION("""COMPUTED_VALUE"""),"Child 44 ")</f>
        <v>Child 44 </v>
      </c>
      <c r="H987" s="2">
        <v>-48793865</v>
      </c>
    </row>
    <row r="988" spans="7:8" x14ac:dyDescent="0.25">
      <c r="G988" s="2" t="str">
        <f ca="1">IFERROR(__xludf.DUMMYFUNCTION("""COMPUTED_VALUE"""),"Rat Race ")</f>
        <v>Rat Race </v>
      </c>
      <c r="H988" s="2">
        <v>8607223</v>
      </c>
    </row>
    <row r="989" spans="7:8" x14ac:dyDescent="0.25">
      <c r="G989" s="2" t="str">
        <f ca="1">IFERROR(__xludf.DUMMYFUNCTION("""COMPUTED_VALUE"""),"K-PAX ")</f>
        <v>K-PAX </v>
      </c>
      <c r="H989" s="2">
        <v>2173190</v>
      </c>
    </row>
    <row r="990" spans="7:8" x14ac:dyDescent="0.25">
      <c r="G990" s="2" t="str">
        <f ca="1">IFERROR(__xludf.DUMMYFUNCTION("""COMPUTED_VALUE"""),"Kate &amp; Leopold ")</f>
        <v>Kate &amp; Leopold </v>
      </c>
      <c r="H990" s="2">
        <v>-904547</v>
      </c>
    </row>
    <row r="991" spans="7:8" x14ac:dyDescent="0.25">
      <c r="G991" s="2" t="str">
        <f ca="1">IFERROR(__xludf.DUMMYFUNCTION("""COMPUTED_VALUE"""),"Bedazzled ")</f>
        <v>Bedazzled </v>
      </c>
      <c r="H991" s="2">
        <v>-10120004</v>
      </c>
    </row>
    <row r="992" spans="7:8" x14ac:dyDescent="0.25">
      <c r="G992" s="2" t="str">
        <f ca="1">IFERROR(__xludf.DUMMYFUNCTION("""COMPUTED_VALUE"""),"The Cotton Club ")</f>
        <v>The Cotton Club </v>
      </c>
      <c r="H992" s="2">
        <v>-32100000</v>
      </c>
    </row>
    <row r="993" spans="7:8" x14ac:dyDescent="0.25">
      <c r="G993" s="2" t="str">
        <f ca="1">IFERROR(__xludf.DUMMYFUNCTION("""COMPUTED_VALUE"""),"3:10 to Yuma ")</f>
        <v>3:10 to Yuma </v>
      </c>
      <c r="H993" s="2">
        <v>-1425912</v>
      </c>
    </row>
    <row r="994" spans="7:8" x14ac:dyDescent="0.25">
      <c r="G994" s="2" t="str">
        <f ca="1">IFERROR(__xludf.DUMMYFUNCTION("""COMPUTED_VALUE"""),"Taken 3 ")</f>
        <v>Taken 3 </v>
      </c>
      <c r="H994" s="2">
        <v>41253340</v>
      </c>
    </row>
    <row r="995" spans="7:8" x14ac:dyDescent="0.25">
      <c r="G995" s="2" t="str">
        <f ca="1">IFERROR(__xludf.DUMMYFUNCTION("""COMPUTED_VALUE"""),"Out of Sight ")</f>
        <v>Out of Sight </v>
      </c>
      <c r="H995" s="2">
        <v>-10660475</v>
      </c>
    </row>
    <row r="996" spans="7:8" x14ac:dyDescent="0.25">
      <c r="G996" s="2" t="str">
        <f ca="1">IFERROR(__xludf.DUMMYFUNCTION("""COMPUTED_VALUE"""),"The Cable Guy ")</f>
        <v>The Cable Guy </v>
      </c>
      <c r="H996" s="2">
        <v>13154431</v>
      </c>
    </row>
    <row r="997" spans="7:8" x14ac:dyDescent="0.25">
      <c r="G997" s="2" t="str">
        <f ca="1">IFERROR(__xludf.DUMMYFUNCTION("""COMPUTED_VALUE"""),"Dick Tracy ")</f>
        <v>Dick Tracy </v>
      </c>
      <c r="H997" s="2">
        <v>3738726</v>
      </c>
    </row>
    <row r="998" spans="7:8" x14ac:dyDescent="0.25">
      <c r="G998" s="2" t="str">
        <f ca="1">IFERROR(__xludf.DUMMYFUNCTION("""COMPUTED_VALUE"""),"The Thomas Crown Affair ")</f>
        <v>The Thomas Crown Affair </v>
      </c>
      <c r="H998" s="2">
        <v>21304264</v>
      </c>
    </row>
    <row r="999" spans="7:8" x14ac:dyDescent="0.25">
      <c r="G999" s="2" t="str">
        <f ca="1">IFERROR(__xludf.DUMMYFUNCTION("""COMPUTED_VALUE"""),"Riding in Cars with Boys ")</f>
        <v>Riding in Cars with Boys </v>
      </c>
      <c r="H999" s="2">
        <v>-18218547</v>
      </c>
    </row>
    <row r="1000" spans="7:8" x14ac:dyDescent="0.25">
      <c r="G1000" s="2" t="str">
        <f ca="1">IFERROR(__xludf.DUMMYFUNCTION("""COMPUTED_VALUE"""),"Happily N'Ever After ")</f>
        <v>Happily N'Ever After </v>
      </c>
      <c r="H1000" s="2">
        <v>-31480159</v>
      </c>
    </row>
    <row r="1001" spans="7:8" x14ac:dyDescent="0.25">
      <c r="G1001" s="2" t="str">
        <f ca="1">IFERROR(__xludf.DUMMYFUNCTION("""COMPUTED_VALUE"""),"Mary Reilly ")</f>
        <v>Mary Reilly </v>
      </c>
      <c r="H1001" s="2">
        <v>-41400000</v>
      </c>
    </row>
    <row r="1002" spans="7:8" x14ac:dyDescent="0.25">
      <c r="G1002" s="2" t="str">
        <f ca="1">IFERROR(__xludf.DUMMYFUNCTION("""COMPUTED_VALUE"""),"My Best Friend's Wedding ")</f>
        <v>My Best Friend's Wedding </v>
      </c>
      <c r="H1002" s="2">
        <v>80805112</v>
      </c>
    </row>
    <row r="1003" spans="7:8" x14ac:dyDescent="0.25">
      <c r="G1003" s="2" t="str">
        <f ca="1">IFERROR(__xludf.DUMMYFUNCTION("""COMPUTED_VALUE"""),"America's Sweethearts ")</f>
        <v>America's Sweethearts </v>
      </c>
      <c r="H1003" s="2">
        <v>45607673</v>
      </c>
    </row>
    <row r="1004" spans="7:8" x14ac:dyDescent="0.25">
      <c r="G1004" s="2" t="str">
        <f ca="1">IFERROR(__xludf.DUMMYFUNCTION("""COMPUTED_VALUE"""),"Insomnia ")</f>
        <v>Insomnia </v>
      </c>
      <c r="H1004" s="2">
        <v>21263182</v>
      </c>
    </row>
    <row r="1005" spans="7:8" x14ac:dyDescent="0.25">
      <c r="G1005" s="2" t="str">
        <f ca="1">IFERROR(__xludf.DUMMYFUNCTION("""COMPUTED_VALUE"""),"Star Trek: First Contact ")</f>
        <v>Star Trek: First Contact </v>
      </c>
      <c r="H1005" s="2">
        <v>47001027</v>
      </c>
    </row>
    <row r="1006" spans="7:8" x14ac:dyDescent="0.25">
      <c r="G1006" s="2" t="str">
        <f ca="1">IFERROR(__xludf.DUMMYFUNCTION("""COMPUTED_VALUE"""),"Jonah Hex ")</f>
        <v>Jonah Hex </v>
      </c>
      <c r="H1006" s="2">
        <v>-36460586</v>
      </c>
    </row>
    <row r="1007" spans="7:8" x14ac:dyDescent="0.25">
      <c r="G1007" s="2" t="str">
        <f ca="1">IFERROR(__xludf.DUMMYFUNCTION("""COMPUTED_VALUE"""),"Courage Under Fire ")</f>
        <v>Courage Under Fire </v>
      </c>
      <c r="H1007" s="2">
        <v>12918501</v>
      </c>
    </row>
    <row r="1008" spans="7:8" x14ac:dyDescent="0.25">
      <c r="G1008" s="2" t="str">
        <f ca="1">IFERROR(__xludf.DUMMYFUNCTION("""COMPUTED_VALUE"""),"Liar Liar ")</f>
        <v>Liar Liar </v>
      </c>
      <c r="H1008" s="2">
        <v>136395380</v>
      </c>
    </row>
    <row r="1009" spans="7:8" x14ac:dyDescent="0.25">
      <c r="G1009" s="2" t="str">
        <f ca="1">IFERROR(__xludf.DUMMYFUNCTION("""COMPUTED_VALUE"""),"The Infiltrator ")</f>
        <v>The Infiltrator </v>
      </c>
      <c r="H1009" s="2">
        <v>-10053771</v>
      </c>
    </row>
    <row r="1010" spans="7:8" x14ac:dyDescent="0.25">
      <c r="G1010" s="2" t="str">
        <f ca="1">IFERROR(__xludf.DUMMYFUNCTION("""COMPUTED_VALUE"""),"The Flintstones ")</f>
        <v>The Flintstones </v>
      </c>
      <c r="H1010" s="2">
        <v>85512915</v>
      </c>
    </row>
    <row r="1011" spans="7:8" x14ac:dyDescent="0.25">
      <c r="G1011" s="2" t="str">
        <f ca="1">IFERROR(__xludf.DUMMYFUNCTION("""COMPUTED_VALUE"""),"Taken 2 ")</f>
        <v>Taken 2 </v>
      </c>
      <c r="H1011" s="2">
        <v>94852971</v>
      </c>
    </row>
    <row r="1012" spans="7:8" x14ac:dyDescent="0.25">
      <c r="G1012" s="2" t="str">
        <f ca="1">IFERROR(__xludf.DUMMYFUNCTION("""COMPUTED_VALUE"""),"Scary Movie 3 ")</f>
        <v>Scary Movie 3 </v>
      </c>
      <c r="H1012" s="2">
        <v>62000082</v>
      </c>
    </row>
    <row r="1013" spans="7:8" x14ac:dyDescent="0.25">
      <c r="G1013" s="2" t="str">
        <f ca="1">IFERROR(__xludf.DUMMYFUNCTION("""COMPUTED_VALUE"""),"Miss Congeniality ")</f>
        <v>Miss Congeniality </v>
      </c>
      <c r="H1013" s="2">
        <v>61807667</v>
      </c>
    </row>
    <row r="1014" spans="7:8" x14ac:dyDescent="0.25">
      <c r="G1014" s="2" t="str">
        <f ca="1">IFERROR(__xludf.DUMMYFUNCTION("""COMPUTED_VALUE"""),"Journey to the Center of the Earth ")</f>
        <v>Journey to the Center of the Earth </v>
      </c>
      <c r="H1014" s="2">
        <v>56702060</v>
      </c>
    </row>
    <row r="1015" spans="7:8" x14ac:dyDescent="0.25">
      <c r="G1015" s="2" t="str">
        <f ca="1">IFERROR(__xludf.DUMMYFUNCTION("""COMPUTED_VALUE"""),"The Princess Diaries 2: Royal Engagement ")</f>
        <v>The Princess Diaries 2: Royal Engagement </v>
      </c>
      <c r="H1015" s="2">
        <v>55149435</v>
      </c>
    </row>
    <row r="1016" spans="7:8" x14ac:dyDescent="0.25">
      <c r="G1016" s="2" t="str">
        <f ca="1">IFERROR(__xludf.DUMMYFUNCTION("""COMPUTED_VALUE"""),"The Pelican Brief ")</f>
        <v>The Pelican Brief </v>
      </c>
      <c r="H1016" s="2">
        <v>55768056</v>
      </c>
    </row>
    <row r="1017" spans="7:8" x14ac:dyDescent="0.25">
      <c r="G1017" s="2" t="str">
        <f ca="1">IFERROR(__xludf.DUMMYFUNCTION("""COMPUTED_VALUE"""),"The Client ")</f>
        <v>The Client </v>
      </c>
      <c r="H1017" s="2">
        <v>47115211</v>
      </c>
    </row>
    <row r="1018" spans="7:8" x14ac:dyDescent="0.25">
      <c r="G1018" s="2" t="str">
        <f ca="1">IFERROR(__xludf.DUMMYFUNCTION("""COMPUTED_VALUE"""),"The Bucket List ")</f>
        <v>The Bucket List </v>
      </c>
      <c r="H1018" s="2">
        <v>48452056</v>
      </c>
    </row>
    <row r="1019" spans="7:8" x14ac:dyDescent="0.25">
      <c r="G1019" s="2" t="str">
        <f ca="1">IFERROR(__xludf.DUMMYFUNCTION("""COMPUTED_VALUE"""),"Patriot Games ")</f>
        <v>Patriot Games </v>
      </c>
      <c r="H1019" s="2">
        <v>38287363</v>
      </c>
    </row>
    <row r="1020" spans="7:8" x14ac:dyDescent="0.25">
      <c r="G1020" s="2" t="str">
        <f ca="1">IFERROR(__xludf.DUMMYFUNCTION("""COMPUTED_VALUE"""),"Monster-in-Law ")</f>
        <v>Monster-in-Law </v>
      </c>
      <c r="H1020" s="2">
        <v>22931301</v>
      </c>
    </row>
    <row r="1021" spans="7:8" x14ac:dyDescent="0.25">
      <c r="G1021" s="2" t="str">
        <f ca="1">IFERROR(__xludf.DUMMYFUNCTION("""COMPUTED_VALUE"""),"Prisoners ")</f>
        <v>Prisoners </v>
      </c>
      <c r="H1021" s="2">
        <v>14962878</v>
      </c>
    </row>
    <row r="1022" spans="7:8" x14ac:dyDescent="0.25">
      <c r="G1022" s="2" t="str">
        <f ca="1">IFERROR(__xludf.DUMMYFUNCTION("""COMPUTED_VALUE"""),"Training Day ")</f>
        <v>Training Day </v>
      </c>
      <c r="H1022" s="2">
        <v>31261036</v>
      </c>
    </row>
    <row r="1023" spans="7:8" x14ac:dyDescent="0.25">
      <c r="G1023" s="2" t="str">
        <f ca="1">IFERROR(__xludf.DUMMYFUNCTION("""COMPUTED_VALUE"""),"Galaxy Quest ")</f>
        <v>Galaxy Quest </v>
      </c>
      <c r="H1023" s="2">
        <v>26423726</v>
      </c>
    </row>
    <row r="1024" spans="7:8" x14ac:dyDescent="0.25">
      <c r="G1024" s="2" t="str">
        <f ca="1">IFERROR(__xludf.DUMMYFUNCTION("""COMPUTED_VALUE"""),"Scary Movie 2 ")</f>
        <v>Scary Movie 2 </v>
      </c>
      <c r="H1024" s="2">
        <v>26277420</v>
      </c>
    </row>
    <row r="1025" spans="7:8" x14ac:dyDescent="0.25">
      <c r="G1025" s="2" t="str">
        <f ca="1">IFERROR(__xludf.DUMMYFUNCTION("""COMPUTED_VALUE"""),"The Muppets ")</f>
        <v>The Muppets </v>
      </c>
      <c r="H1025" s="2">
        <v>43625922</v>
      </c>
    </row>
    <row r="1026" spans="7:8" x14ac:dyDescent="0.25">
      <c r="G1026" s="2" t="str">
        <f ca="1">IFERROR(__xludf.DUMMYFUNCTION("""COMPUTED_VALUE"""),"Blade ")</f>
        <v>Blade </v>
      </c>
      <c r="H1026" s="2">
        <v>25001065</v>
      </c>
    </row>
    <row r="1027" spans="7:8" x14ac:dyDescent="0.25">
      <c r="G1027" s="2" t="str">
        <f ca="1">IFERROR(__xludf.DUMMYFUNCTION("""COMPUTED_VALUE"""),"Coach Carter ")</f>
        <v>Coach Carter </v>
      </c>
      <c r="H1027" s="2">
        <v>37253092</v>
      </c>
    </row>
    <row r="1028" spans="7:8" x14ac:dyDescent="0.25">
      <c r="G1028" s="2" t="str">
        <f ca="1">IFERROR(__xludf.DUMMYFUNCTION("""COMPUTED_VALUE"""),"Changing Lanes ")</f>
        <v>Changing Lanes </v>
      </c>
      <c r="H1028" s="2">
        <v>21790248</v>
      </c>
    </row>
    <row r="1029" spans="7:8" x14ac:dyDescent="0.25">
      <c r="G1029" s="2" t="str">
        <f ca="1">IFERROR(__xludf.DUMMYFUNCTION("""COMPUTED_VALUE"""),"Anaconda ")</f>
        <v>Anaconda </v>
      </c>
      <c r="H1029" s="2">
        <v>20557989</v>
      </c>
    </row>
    <row r="1030" spans="7:8" x14ac:dyDescent="0.25">
      <c r="G1030" s="2" t="str">
        <f ca="1">IFERROR(__xludf.DUMMYFUNCTION("""COMPUTED_VALUE"""),"Coyote Ugly ")</f>
        <v>Coyote Ugly </v>
      </c>
      <c r="H1030" s="2">
        <v>15786269</v>
      </c>
    </row>
    <row r="1031" spans="7:8" x14ac:dyDescent="0.25">
      <c r="G1031" s="2" t="str">
        <f ca="1">IFERROR(__xludf.DUMMYFUNCTION("""COMPUTED_VALUE"""),"Love Actually ")</f>
        <v>Love Actually </v>
      </c>
      <c r="H1031" s="2">
        <v>14365105</v>
      </c>
    </row>
    <row r="1032" spans="7:8" x14ac:dyDescent="0.25">
      <c r="G1032" s="2" t="str">
        <f ca="1">IFERROR(__xludf.DUMMYFUNCTION("""COMPUTED_VALUE"""),"A Bug's Life ")</f>
        <v>A Bug's Life </v>
      </c>
      <c r="H1032" s="2">
        <v>42792677</v>
      </c>
    </row>
    <row r="1033" spans="7:8" x14ac:dyDescent="0.25">
      <c r="G1033" s="2" t="str">
        <f ca="1">IFERROR(__xludf.DUMMYFUNCTION("""COMPUTED_VALUE"""),"From Hell ")</f>
        <v>From Hell </v>
      </c>
      <c r="H1033" s="2">
        <v>-3401692</v>
      </c>
    </row>
    <row r="1034" spans="7:8" x14ac:dyDescent="0.25">
      <c r="G1034" s="2" t="str">
        <f ca="1">IFERROR(__xludf.DUMMYFUNCTION("""COMPUTED_VALUE"""),"The Specialist ")</f>
        <v>The Specialist </v>
      </c>
      <c r="H1034" s="2">
        <v>12362581</v>
      </c>
    </row>
    <row r="1035" spans="7:8" x14ac:dyDescent="0.25">
      <c r="G1035" s="2" t="str">
        <f ca="1">IFERROR(__xludf.DUMMYFUNCTION("""COMPUTED_VALUE"""),"Tin Cup ")</f>
        <v>Tin Cup </v>
      </c>
      <c r="H1035" s="2">
        <v>8854588</v>
      </c>
    </row>
    <row r="1036" spans="7:8" x14ac:dyDescent="0.25">
      <c r="G1036" s="2" t="str">
        <f ca="1">IFERROR(__xludf.DUMMYFUNCTION("""COMPUTED_VALUE"""),"Kicking &amp; Screaming ")</f>
        <v>Kicking &amp; Screaming </v>
      </c>
      <c r="H1036" s="2">
        <v>7580895</v>
      </c>
    </row>
    <row r="1037" spans="7:8" x14ac:dyDescent="0.25">
      <c r="G1037" s="2" t="str">
        <f ca="1">IFERROR(__xludf.DUMMYFUNCTION("""COMPUTED_VALUE"""),"The Hitchhiker's Guide to the Galaxy ")</f>
        <v>The Hitchhiker's Guide to the Galaxy </v>
      </c>
      <c r="H1037" s="2">
        <v>1019112</v>
      </c>
    </row>
    <row r="1038" spans="7:8" x14ac:dyDescent="0.25">
      <c r="G1038" s="2" t="str">
        <f ca="1">IFERROR(__xludf.DUMMYFUNCTION("""COMPUTED_VALUE"""),"Fat Albert ")</f>
        <v>Fat Albert </v>
      </c>
      <c r="H1038" s="2">
        <v>22114556</v>
      </c>
    </row>
    <row r="1039" spans="7:8" x14ac:dyDescent="0.25">
      <c r="G1039" s="2" t="str">
        <f ca="1">IFERROR(__xludf.DUMMYFUNCTION("""COMPUTED_VALUE"""),"Resident Evil: Extinction ")</f>
        <v>Resident Evil: Extinction </v>
      </c>
      <c r="H1039" s="2">
        <v>5648679</v>
      </c>
    </row>
    <row r="1040" spans="7:8" x14ac:dyDescent="0.25">
      <c r="G1040" s="2" t="str">
        <f ca="1">IFERROR(__xludf.DUMMYFUNCTION("""COMPUTED_VALUE"""),"Blended ")</f>
        <v>Blended </v>
      </c>
      <c r="H1040" s="2">
        <v>6280507</v>
      </c>
    </row>
    <row r="1041" spans="7:8" x14ac:dyDescent="0.25">
      <c r="G1041" s="2" t="str">
        <f ca="1">IFERROR(__xludf.DUMMYFUNCTION("""COMPUTED_VALUE"""),"Last Holiday ")</f>
        <v>Last Holiday </v>
      </c>
      <c r="H1041" s="2">
        <v>-6639805</v>
      </c>
    </row>
    <row r="1042" spans="7:8" x14ac:dyDescent="0.25">
      <c r="G1042" s="2" t="str">
        <f ca="1">IFERROR(__xludf.DUMMYFUNCTION("""COMPUTED_VALUE"""),"The River Wild ")</f>
        <v>The River Wild </v>
      </c>
      <c r="H1042" s="2">
        <v>1815748</v>
      </c>
    </row>
    <row r="1043" spans="7:8" x14ac:dyDescent="0.25">
      <c r="G1043" s="2" t="str">
        <f ca="1">IFERROR(__xludf.DUMMYFUNCTION("""COMPUTED_VALUE"""),"The Indian in the Cupboard ")</f>
        <v>The Indian in the Cupboard </v>
      </c>
      <c r="H1043" s="2">
        <v>-9382401</v>
      </c>
    </row>
    <row r="1044" spans="7:8" x14ac:dyDescent="0.25">
      <c r="G1044" s="2" t="str">
        <f ca="1">IFERROR(__xludf.DUMMYFUNCTION("""COMPUTED_VALUE"""),"Savages ")</f>
        <v>Savages </v>
      </c>
      <c r="H1044" s="2">
        <v>2307550</v>
      </c>
    </row>
    <row r="1045" spans="7:8" x14ac:dyDescent="0.25">
      <c r="G1045" s="2" t="str">
        <f ca="1">IFERROR(__xludf.DUMMYFUNCTION("""COMPUTED_VALUE"""),"Cellular ")</f>
        <v>Cellular </v>
      </c>
      <c r="H1045" s="2">
        <v>7003620</v>
      </c>
    </row>
    <row r="1046" spans="7:8" x14ac:dyDescent="0.25">
      <c r="G1046" s="2" t="str">
        <f ca="1">IFERROR(__xludf.DUMMYFUNCTION("""COMPUTED_VALUE"""),"Johnny English ")</f>
        <v>Johnny English </v>
      </c>
      <c r="H1046" s="2">
        <v>-7027590</v>
      </c>
    </row>
    <row r="1047" spans="7:8" x14ac:dyDescent="0.25">
      <c r="G1047" s="2" t="str">
        <f ca="1">IFERROR(__xludf.DUMMYFUNCTION("""COMPUTED_VALUE"""),"The Ant Bully ")</f>
        <v>The Ant Bully </v>
      </c>
      <c r="H1047" s="2">
        <v>-21866841</v>
      </c>
    </row>
    <row r="1048" spans="7:8" x14ac:dyDescent="0.25">
      <c r="G1048" s="2" t="str">
        <f ca="1">IFERROR(__xludf.DUMMYFUNCTION("""COMPUTED_VALUE"""),"Dune ")</f>
        <v>Dune </v>
      </c>
      <c r="H1048" s="2">
        <v>-12600000</v>
      </c>
    </row>
    <row r="1049" spans="7:8" x14ac:dyDescent="0.25">
      <c r="G1049" s="2" t="str">
        <f ca="1">IFERROR(__xludf.DUMMYFUNCTION("""COMPUTED_VALUE"""),"Across the Universe ")</f>
        <v>Across the Universe </v>
      </c>
      <c r="H1049" s="2">
        <v>-20656327</v>
      </c>
    </row>
    <row r="1050" spans="7:8" x14ac:dyDescent="0.25">
      <c r="G1050" s="2" t="str">
        <f ca="1">IFERROR(__xludf.DUMMYFUNCTION("""COMPUTED_VALUE"""),"Revolutionary Road ")</f>
        <v>Revolutionary Road </v>
      </c>
      <c r="H1050" s="2">
        <v>-12122192</v>
      </c>
    </row>
    <row r="1051" spans="7:8" x14ac:dyDescent="0.25">
      <c r="G1051" s="2" t="str">
        <f ca="1">IFERROR(__xludf.DUMMYFUNCTION("""COMPUTED_VALUE"""),"16 Blocks ")</f>
        <v>16 Blocks </v>
      </c>
      <c r="H1051" s="2">
        <v>-15116461</v>
      </c>
    </row>
    <row r="1052" spans="7:8" x14ac:dyDescent="0.25">
      <c r="G1052" s="2" t="str">
        <f ca="1">IFERROR(__xludf.DUMMYFUNCTION("""COMPUTED_VALUE"""),"Babylon A.D. ")</f>
        <v>Babylon A.D. </v>
      </c>
      <c r="H1052" s="2">
        <v>-47468302</v>
      </c>
    </row>
    <row r="1053" spans="7:8" x14ac:dyDescent="0.25">
      <c r="G1053" s="2" t="str">
        <f ca="1">IFERROR(__xludf.DUMMYFUNCTION("""COMPUTED_VALUE"""),"The Glimmer Man ")</f>
        <v>The Glimmer Man </v>
      </c>
      <c r="H1053" s="2">
        <v>-24599087</v>
      </c>
    </row>
    <row r="1054" spans="7:8" x14ac:dyDescent="0.25">
      <c r="G1054" s="2" t="str">
        <f ca="1">IFERROR(__xludf.DUMMYFUNCTION("""COMPUTED_VALUE"""),"Multiplicity ")</f>
        <v>Multiplicity </v>
      </c>
      <c r="H1054" s="2">
        <v>-24898139</v>
      </c>
    </row>
    <row r="1055" spans="7:8" x14ac:dyDescent="0.25">
      <c r="G1055" s="2" t="str">
        <f ca="1">IFERROR(__xludf.DUMMYFUNCTION("""COMPUTED_VALUE"""),"Aliens in the Attic ")</f>
        <v>Aliens in the Attic </v>
      </c>
      <c r="H1055" s="2">
        <v>-19799588</v>
      </c>
    </row>
    <row r="1056" spans="7:8" x14ac:dyDescent="0.25">
      <c r="G1056" s="2" t="str">
        <f ca="1">IFERROR(__xludf.DUMMYFUNCTION("""COMPUTED_VALUE"""),"The Pledge ")</f>
        <v>The Pledge </v>
      </c>
      <c r="H1056" s="2">
        <v>-25280070</v>
      </c>
    </row>
    <row r="1057" spans="7:8" x14ac:dyDescent="0.25">
      <c r="G1057" s="2" t="str">
        <f ca="1">IFERROR(__xludf.DUMMYFUNCTION("""COMPUTED_VALUE"""),"The Producers ")</f>
        <v>The Producers </v>
      </c>
      <c r="H1057" s="2">
        <v>-25622273</v>
      </c>
    </row>
    <row r="1058" spans="7:8" x14ac:dyDescent="0.25">
      <c r="G1058" s="2" t="str">
        <f ca="1">IFERROR(__xludf.DUMMYFUNCTION("""COMPUTED_VALUE"""),"The Phantom ")</f>
        <v>The Phantom </v>
      </c>
      <c r="H1058" s="2">
        <v>-27699111</v>
      </c>
    </row>
    <row r="1059" spans="7:8" x14ac:dyDescent="0.25">
      <c r="G1059" s="2" t="str">
        <f ca="1">IFERROR(__xludf.DUMMYFUNCTION("""COMPUTED_VALUE"""),"All the Pretty Horses ")</f>
        <v>All the Pretty Horses </v>
      </c>
      <c r="H1059" s="2">
        <v>-41472875</v>
      </c>
    </row>
    <row r="1060" spans="7:8" x14ac:dyDescent="0.25">
      <c r="G1060" s="2" t="str">
        <f ca="1">IFERROR(__xludf.DUMMYFUNCTION("""COMPUTED_VALUE"""),"Nixon ")</f>
        <v>Nixon </v>
      </c>
      <c r="H1060" s="2">
        <v>-36439040</v>
      </c>
    </row>
    <row r="1061" spans="7:8" x14ac:dyDescent="0.25">
      <c r="G1061" s="2" t="str">
        <f ca="1">IFERROR(__xludf.DUMMYFUNCTION("""COMPUTED_VALUE"""),"The Ghost Writer ")</f>
        <v>The Ghost Writer </v>
      </c>
      <c r="H1061" s="2">
        <v>-29476832</v>
      </c>
    </row>
    <row r="1062" spans="7:8" x14ac:dyDescent="0.25">
      <c r="G1062" s="2" t="str">
        <f ca="1">IFERROR(__xludf.DUMMYFUNCTION("""COMPUTED_VALUE"""),"Deep Rising ")</f>
        <v>Deep Rising </v>
      </c>
      <c r="H1062" s="2">
        <v>-33853591</v>
      </c>
    </row>
    <row r="1063" spans="7:8" x14ac:dyDescent="0.25">
      <c r="G1063" s="2" t="str">
        <f ca="1">IFERROR(__xludf.DUMMYFUNCTION("""COMPUTED_VALUE"""),"Miracle at St. Anna ")</f>
        <v>Miracle at St. Anna </v>
      </c>
      <c r="H1063" s="2">
        <v>-37083113</v>
      </c>
    </row>
    <row r="1064" spans="7:8" x14ac:dyDescent="0.25">
      <c r="G1064" s="2" t="str">
        <f ca="1">IFERROR(__xludf.DUMMYFUNCTION("""COMPUTED_VALUE"""),"Curse of the Golden Flower ")</f>
        <v>Curse of the Golden Flower </v>
      </c>
      <c r="H1064" s="2">
        <v>-38434505</v>
      </c>
    </row>
    <row r="1065" spans="7:8" x14ac:dyDescent="0.25">
      <c r="G1065" s="2" t="str">
        <f ca="1">IFERROR(__xludf.DUMMYFUNCTION("""COMPUTED_VALUE"""),"Bangkok Dangerous ")</f>
        <v>Bangkok Dangerous </v>
      </c>
      <c r="H1065" s="2">
        <v>-24720320</v>
      </c>
    </row>
    <row r="1066" spans="7:8" x14ac:dyDescent="0.25">
      <c r="G1066" s="2" t="str">
        <f ca="1">IFERROR(__xludf.DUMMYFUNCTION("""COMPUTED_VALUE"""),"Big Trouble ")</f>
        <v>Big Trouble </v>
      </c>
      <c r="H1066" s="2">
        <v>-32737712</v>
      </c>
    </row>
    <row r="1067" spans="7:8" x14ac:dyDescent="0.25">
      <c r="G1067" s="2" t="str">
        <f ca="1">IFERROR(__xludf.DUMMYFUNCTION("""COMPUTED_VALUE"""),"Love in the Time of Cholera ")</f>
        <v>Love in the Time of Cholera </v>
      </c>
      <c r="H1067" s="2">
        <v>-40415114</v>
      </c>
    </row>
    <row r="1068" spans="7:8" x14ac:dyDescent="0.25">
      <c r="G1068" s="2" t="str">
        <f ca="1">IFERROR(__xludf.DUMMYFUNCTION("""COMPUTED_VALUE"""),"Shadow Conspiracy ")</f>
        <v>Shadow Conspiracy </v>
      </c>
      <c r="H1068" s="2">
        <v>-42845460</v>
      </c>
    </row>
    <row r="1069" spans="7:8" x14ac:dyDescent="0.25">
      <c r="G1069" s="2" t="str">
        <f ca="1">IFERROR(__xludf.DUMMYFUNCTION("""COMPUTED_VALUE"""),"Johnny English Reborn ")</f>
        <v>Johnny English Reborn </v>
      </c>
      <c r="H1069" s="2">
        <v>-36870545</v>
      </c>
    </row>
    <row r="1070" spans="7:8" x14ac:dyDescent="0.25">
      <c r="G1070" s="2" t="str">
        <f ca="1">IFERROR(__xludf.DUMMYFUNCTION("""COMPUTED_VALUE"""),"Argo ")</f>
        <v>Argo </v>
      </c>
      <c r="H1070" s="2">
        <v>91519448</v>
      </c>
    </row>
    <row r="1071" spans="7:8" x14ac:dyDescent="0.25">
      <c r="G1071" s="2" t="str">
        <f ca="1">IFERROR(__xludf.DUMMYFUNCTION("""COMPUTED_VALUE"""),"The Fugitive ")</f>
        <v>The Fugitive </v>
      </c>
      <c r="H1071" s="2">
        <v>139875760</v>
      </c>
    </row>
    <row r="1072" spans="7:8" x14ac:dyDescent="0.25">
      <c r="G1072" s="2" t="str">
        <f ca="1">IFERROR(__xludf.DUMMYFUNCTION("""COMPUTED_VALUE"""),"The Bounty Hunter ")</f>
        <v>The Bounty Hunter </v>
      </c>
      <c r="H1072" s="2">
        <v>27061228</v>
      </c>
    </row>
    <row r="1073" spans="7:8" x14ac:dyDescent="0.25">
      <c r="G1073" s="2" t="str">
        <f ca="1">IFERROR(__xludf.DUMMYFUNCTION("""COMPUTED_VALUE"""),"Sleepers ")</f>
        <v>Sleepers </v>
      </c>
      <c r="H1073" s="2">
        <v>9300852</v>
      </c>
    </row>
    <row r="1074" spans="7:8" x14ac:dyDescent="0.25">
      <c r="G1074" s="2" t="str">
        <f ca="1">IFERROR(__xludf.DUMMYFUNCTION("""COMPUTED_VALUE"""),"Rambo: First Blood Part II ")</f>
        <v>Rambo: First Blood Part II </v>
      </c>
      <c r="H1074" s="2">
        <v>106415432</v>
      </c>
    </row>
    <row r="1075" spans="7:8" x14ac:dyDescent="0.25">
      <c r="G1075" s="2" t="str">
        <f ca="1">IFERROR(__xludf.DUMMYFUNCTION("""COMPUTED_VALUE"""),"The Juror ")</f>
        <v>The Juror </v>
      </c>
      <c r="H1075" s="2">
        <v>834712</v>
      </c>
    </row>
    <row r="1076" spans="7:8" x14ac:dyDescent="0.25">
      <c r="G1076" s="2" t="str">
        <f ca="1">IFERROR(__xludf.DUMMYFUNCTION("""COMPUTED_VALUE"""),"Pinocchio ")</f>
        <v>Pinocchio </v>
      </c>
      <c r="H1076" s="2">
        <v>81700000</v>
      </c>
    </row>
    <row r="1077" spans="7:8" x14ac:dyDescent="0.25">
      <c r="G1077" s="2" t="str">
        <f ca="1">IFERROR(__xludf.DUMMYFUNCTION("""COMPUTED_VALUE"""),"Heaven's Gate ")</f>
        <v>Heaven's Gate </v>
      </c>
      <c r="H1077" s="2">
        <v>-42500000</v>
      </c>
    </row>
    <row r="1078" spans="7:8" x14ac:dyDescent="0.25">
      <c r="G1078" s="2" t="str">
        <f ca="1">IFERROR(__xludf.DUMMYFUNCTION("""COMPUTED_VALUE"""),"Underworld: Evolution ")</f>
        <v>Underworld: Evolution </v>
      </c>
      <c r="H1078" s="2">
        <v>12318875</v>
      </c>
    </row>
    <row r="1079" spans="7:8" x14ac:dyDescent="0.25">
      <c r="G1079" s="2" t="str">
        <f ca="1">IFERROR(__xludf.DUMMYFUNCTION("""COMPUTED_VALUE"""),"Victor Frankenstein ")</f>
        <v>Victor Frankenstein </v>
      </c>
      <c r="H1079" s="2">
        <v>-34226481</v>
      </c>
    </row>
    <row r="1080" spans="7:8" x14ac:dyDescent="0.25">
      <c r="G1080" s="2" t="str">
        <f ca="1">IFERROR(__xludf.DUMMYFUNCTION("""COMPUTED_VALUE"""),"Finding Forrester ")</f>
        <v>Finding Forrester </v>
      </c>
      <c r="H1080" s="2">
        <v>8768623</v>
      </c>
    </row>
    <row r="1081" spans="7:8" x14ac:dyDescent="0.25">
      <c r="G1081" s="2" t="str">
        <f ca="1">IFERROR(__xludf.DUMMYFUNCTION("""COMPUTED_VALUE"""),"28 Days ")</f>
        <v>28 Days </v>
      </c>
      <c r="H1081" s="2">
        <v>-5964485</v>
      </c>
    </row>
    <row r="1082" spans="7:8" x14ac:dyDescent="0.25">
      <c r="G1082" s="2" t="str">
        <f ca="1">IFERROR(__xludf.DUMMYFUNCTION("""COMPUTED_VALUE"""),"Unleashed ")</f>
        <v>Unleashed </v>
      </c>
      <c r="H1082" s="2">
        <v>-20479108</v>
      </c>
    </row>
    <row r="1083" spans="7:8" x14ac:dyDescent="0.25">
      <c r="G1083" s="2" t="str">
        <f ca="1">IFERROR(__xludf.DUMMYFUNCTION("""COMPUTED_VALUE"""),"The Sweetest Thing ")</f>
        <v>The Sweetest Thing </v>
      </c>
      <c r="H1083" s="2">
        <v>-18569728</v>
      </c>
    </row>
    <row r="1084" spans="7:8" x14ac:dyDescent="0.25">
      <c r="G1084" s="2" t="str">
        <f ca="1">IFERROR(__xludf.DUMMYFUNCTION("""COMPUTED_VALUE"""),"The Firm ")</f>
        <v>The Firm </v>
      </c>
      <c r="H1084" s="2">
        <v>116348400</v>
      </c>
    </row>
    <row r="1085" spans="7:8" x14ac:dyDescent="0.25">
      <c r="G1085" s="2" t="str">
        <f ca="1">IFERROR(__xludf.DUMMYFUNCTION("""COMPUTED_VALUE"""),"Charlie St. Cloud ")</f>
        <v>Charlie St. Cloud </v>
      </c>
      <c r="H1085" s="2">
        <v>-12863050</v>
      </c>
    </row>
    <row r="1086" spans="7:8" x14ac:dyDescent="0.25">
      <c r="G1086" s="2" t="str">
        <f ca="1">IFERROR(__xludf.DUMMYFUNCTION("""COMPUTED_VALUE"""),"The Mechanic ")</f>
        <v>The Mechanic </v>
      </c>
      <c r="H1086" s="2">
        <v>-10886412</v>
      </c>
    </row>
    <row r="1087" spans="7:8" x14ac:dyDescent="0.25">
      <c r="G1087" s="2" t="str">
        <f ca="1">IFERROR(__xludf.DUMMYFUNCTION("""COMPUTED_VALUE"""),"21 Jump Street ")</f>
        <v>21 Jump Street </v>
      </c>
      <c r="H1087" s="2">
        <v>96447667</v>
      </c>
    </row>
    <row r="1088" spans="7:8" x14ac:dyDescent="0.25">
      <c r="G1088" s="2" t="str">
        <f ca="1">IFERROR(__xludf.DUMMYFUNCTION("""COMPUTED_VALUE"""),"Notting Hill ")</f>
        <v>Notting Hill </v>
      </c>
      <c r="H1088" s="2">
        <v>74006080</v>
      </c>
    </row>
    <row r="1089" spans="7:8" x14ac:dyDescent="0.25">
      <c r="G1089" s="2" t="str">
        <f ca="1">IFERROR(__xludf.DUMMYFUNCTION("""COMPUTED_VALUE"""),"Chicken Run ")</f>
        <v>Chicken Run </v>
      </c>
      <c r="H1089" s="2">
        <v>61793915</v>
      </c>
    </row>
    <row r="1090" spans="7:8" x14ac:dyDescent="0.25">
      <c r="G1090" s="2" t="str">
        <f ca="1">IFERROR(__xludf.DUMMYFUNCTION("""COMPUTED_VALUE"""),"Along Came Polly ")</f>
        <v>Along Came Polly </v>
      </c>
      <c r="H1090" s="2">
        <v>45856565</v>
      </c>
    </row>
    <row r="1091" spans="7:8" x14ac:dyDescent="0.25">
      <c r="G1091" s="2" t="str">
        <f ca="1">IFERROR(__xludf.DUMMYFUNCTION("""COMPUTED_VALUE"""),"Boomerang ")</f>
        <v>Boomerang </v>
      </c>
      <c r="H1091" s="2">
        <v>30100000</v>
      </c>
    </row>
    <row r="1092" spans="7:8" x14ac:dyDescent="0.25">
      <c r="G1092" s="2" t="str">
        <f ca="1">IFERROR(__xludf.DUMMYFUNCTION("""COMPUTED_VALUE"""),"The Heat ")</f>
        <v>The Heat </v>
      </c>
      <c r="H1092" s="2">
        <v>116578352</v>
      </c>
    </row>
    <row r="1093" spans="7:8" x14ac:dyDescent="0.25">
      <c r="G1093" s="2" t="str">
        <f ca="1">IFERROR(__xludf.DUMMYFUNCTION("""COMPUTED_VALUE"""),"Cleopatra ")</f>
        <v>Cleopatra </v>
      </c>
      <c r="H1093" s="2">
        <v>26635000</v>
      </c>
    </row>
    <row r="1094" spans="7:8" x14ac:dyDescent="0.25">
      <c r="G1094" s="2" t="str">
        <f ca="1">IFERROR(__xludf.DUMMYFUNCTION("""COMPUTED_VALUE"""),"Here Comes the Boom ")</f>
        <v>Here Comes the Boom </v>
      </c>
      <c r="H1094" s="2">
        <v>3290318</v>
      </c>
    </row>
    <row r="1095" spans="7:8" x14ac:dyDescent="0.25">
      <c r="G1095" s="2" t="str">
        <f ca="1">IFERROR(__xludf.DUMMYFUNCTION("""COMPUTED_VALUE"""),"High Crimes ")</f>
        <v>High Crimes </v>
      </c>
      <c r="H1095" s="2">
        <v>-456793</v>
      </c>
    </row>
    <row r="1096" spans="7:8" x14ac:dyDescent="0.25">
      <c r="G1096" s="2" t="str">
        <f ca="1">IFERROR(__xludf.DUMMYFUNCTION("""COMPUTED_VALUE"""),"The Mirror Has Two Faces ")</f>
        <v>The Mirror Has Two Faces </v>
      </c>
      <c r="H1096" s="2">
        <v>-747572</v>
      </c>
    </row>
    <row r="1097" spans="7:8" x14ac:dyDescent="0.25">
      <c r="G1097" s="2" t="str">
        <f ca="1">IFERROR(__xludf.DUMMYFUNCTION("""COMPUTED_VALUE"""),"The Mothman Prophecies ")</f>
        <v>The Mothman Prophecies </v>
      </c>
      <c r="H1097" s="2">
        <v>3228696</v>
      </c>
    </row>
    <row r="1098" spans="7:8" x14ac:dyDescent="0.25">
      <c r="G1098" s="2" t="str">
        <f ca="1">IFERROR(__xludf.DUMMYFUNCTION("""COMPUTED_VALUE"""),"Brüno ")</f>
        <v>Brüno </v>
      </c>
      <c r="H1098" s="2">
        <v>17992760</v>
      </c>
    </row>
    <row r="1099" spans="7:8" x14ac:dyDescent="0.25">
      <c r="G1099" s="2" t="str">
        <f ca="1">IFERROR(__xludf.DUMMYFUNCTION("""COMPUTED_VALUE"""),"Licence to Kill ")</f>
        <v>Licence to Kill </v>
      </c>
      <c r="H1099" s="2">
        <v>2667015</v>
      </c>
    </row>
    <row r="1100" spans="7:8" x14ac:dyDescent="0.25">
      <c r="G1100" s="2" t="str">
        <f ca="1">IFERROR(__xludf.DUMMYFUNCTION("""COMPUTED_VALUE"""),"Red Riding Hood ")</f>
        <v>Red Riding Hood </v>
      </c>
      <c r="H1100" s="2">
        <v>-4347435</v>
      </c>
    </row>
    <row r="1101" spans="7:8" x14ac:dyDescent="0.25">
      <c r="G1101" s="2" t="str">
        <f ca="1">IFERROR(__xludf.DUMMYFUNCTION("""COMPUTED_VALUE"""),"15 Minutes ")</f>
        <v>15 Minutes </v>
      </c>
      <c r="H1101" s="2">
        <v>-17624564</v>
      </c>
    </row>
    <row r="1102" spans="7:8" x14ac:dyDescent="0.25">
      <c r="G1102" s="2" t="str">
        <f ca="1">IFERROR(__xludf.DUMMYFUNCTION("""COMPUTED_VALUE"""),"Super Mario Bros. ")</f>
        <v>Super Mario Bros. </v>
      </c>
      <c r="H1102" s="2">
        <v>-21084535</v>
      </c>
    </row>
    <row r="1103" spans="7:8" x14ac:dyDescent="0.25">
      <c r="G1103" s="2" t="str">
        <f ca="1">IFERROR(__xludf.DUMMYFUNCTION("""COMPUTED_VALUE"""),"Lord of War ")</f>
        <v>Lord of War </v>
      </c>
      <c r="H1103" s="2">
        <v>-25872105</v>
      </c>
    </row>
    <row r="1104" spans="7:8" x14ac:dyDescent="0.25">
      <c r="G1104" s="2" t="str">
        <f ca="1">IFERROR(__xludf.DUMMYFUNCTION("""COMPUTED_VALUE"""),"Hero ")</f>
        <v>Hero </v>
      </c>
      <c r="H1104" s="2">
        <v>-30915039</v>
      </c>
    </row>
    <row r="1105" spans="7:8" x14ac:dyDescent="0.25">
      <c r="G1105" s="2" t="str">
        <f ca="1">IFERROR(__xludf.DUMMYFUNCTION("""COMPUTED_VALUE"""),"One for the Money ")</f>
        <v>One for the Money </v>
      </c>
      <c r="H1105" s="2">
        <v>-13595247</v>
      </c>
    </row>
    <row r="1106" spans="7:8" x14ac:dyDescent="0.25">
      <c r="G1106" s="2" t="str">
        <f ca="1">IFERROR(__xludf.DUMMYFUNCTION("""COMPUTED_VALUE"""),"The Interview ")</f>
        <v>The Interview </v>
      </c>
      <c r="H1106" s="2">
        <v>-37894825</v>
      </c>
    </row>
    <row r="1107" spans="7:8" x14ac:dyDescent="0.25">
      <c r="G1107" s="2" t="str">
        <f ca="1">IFERROR(__xludf.DUMMYFUNCTION("""COMPUTED_VALUE"""),"The Warrior's Way ")</f>
        <v>The Warrior's Way </v>
      </c>
      <c r="H1107" s="2">
        <v>-39335749</v>
      </c>
    </row>
    <row r="1108" spans="7:8" x14ac:dyDescent="0.25">
      <c r="G1108" s="2" t="str">
        <f ca="1">IFERROR(__xludf.DUMMYFUNCTION("""COMPUTED_VALUE"""),"Micmacs ")</f>
        <v>Micmacs </v>
      </c>
      <c r="H1108" s="2">
        <v>-25739083</v>
      </c>
    </row>
    <row r="1109" spans="7:8" x14ac:dyDescent="0.25">
      <c r="G1109" s="2" t="str">
        <f ca="1">IFERROR(__xludf.DUMMYFUNCTION("""COMPUTED_VALUE"""),"8 Mile ")</f>
        <v>8 Mile </v>
      </c>
      <c r="H1109" s="2">
        <v>75724075</v>
      </c>
    </row>
    <row r="1110" spans="7:8" x14ac:dyDescent="0.25">
      <c r="G1110" s="2" t="str">
        <f ca="1">IFERROR(__xludf.DUMMYFUNCTION("""COMPUTED_VALUE"""),"A Knight's Tale ")</f>
        <v>A Knight's Tale </v>
      </c>
      <c r="H1110" s="2">
        <v>-8916034</v>
      </c>
    </row>
    <row r="1111" spans="7:8" x14ac:dyDescent="0.25">
      <c r="G1111" s="2" t="str">
        <f ca="1">IFERROR(__xludf.DUMMYFUNCTION("""COMPUTED_VALUE"""),"The Medallion ")</f>
        <v>The Medallion </v>
      </c>
      <c r="H1111" s="2">
        <v>-18891023</v>
      </c>
    </row>
    <row r="1112" spans="7:8" x14ac:dyDescent="0.25">
      <c r="G1112" s="2" t="str">
        <f ca="1">IFERROR(__xludf.DUMMYFUNCTION("""COMPUTED_VALUE"""),"The Sixth Sense ")</f>
        <v>The Sixth Sense </v>
      </c>
      <c r="H1112" s="2">
        <v>253501675</v>
      </c>
    </row>
    <row r="1113" spans="7:8" x14ac:dyDescent="0.25">
      <c r="G1113" s="2" t="str">
        <f ca="1">IFERROR(__xludf.DUMMYFUNCTION("""COMPUTED_VALUE"""),"Man on a Ledge ")</f>
        <v>Man on a Ledge </v>
      </c>
      <c r="H1113" s="2">
        <v>-23399089</v>
      </c>
    </row>
    <row r="1114" spans="7:8" x14ac:dyDescent="0.25">
      <c r="G1114" s="2" t="str">
        <f ca="1">IFERROR(__xludf.DUMMYFUNCTION("""COMPUTED_VALUE"""),"The Big Year ")</f>
        <v>The Big Year </v>
      </c>
      <c r="H1114" s="2">
        <v>-33795862</v>
      </c>
    </row>
    <row r="1115" spans="7:8" x14ac:dyDescent="0.25">
      <c r="G1115" s="2" t="str">
        <f ca="1">IFERROR(__xludf.DUMMYFUNCTION("""COMPUTED_VALUE"""),"The Karate Kid ")</f>
        <v>The Karate Kid </v>
      </c>
      <c r="H1115" s="2">
        <v>82800000</v>
      </c>
    </row>
    <row r="1116" spans="7:8" x14ac:dyDescent="0.25">
      <c r="G1116" s="2" t="str">
        <f ca="1">IFERROR(__xludf.DUMMYFUNCTION("""COMPUTED_VALUE"""),"American Hustle ")</f>
        <v>American Hustle </v>
      </c>
      <c r="H1116" s="2">
        <v>110117807</v>
      </c>
    </row>
    <row r="1117" spans="7:8" x14ac:dyDescent="0.25">
      <c r="G1117" s="2" t="str">
        <f ca="1">IFERROR(__xludf.DUMMYFUNCTION("""COMPUTED_VALUE"""),"The Proposal ")</f>
        <v>The Proposal </v>
      </c>
      <c r="H1117" s="2">
        <v>123947053</v>
      </c>
    </row>
    <row r="1118" spans="7:8" x14ac:dyDescent="0.25">
      <c r="G1118" s="2" t="str">
        <f ca="1">IFERROR(__xludf.DUMMYFUNCTION("""COMPUTED_VALUE"""),"Double Jeopardy ")</f>
        <v>Double Jeopardy </v>
      </c>
      <c r="H1118" s="2">
        <v>46735231</v>
      </c>
    </row>
    <row r="1119" spans="7:8" x14ac:dyDescent="0.25">
      <c r="G1119" s="2" t="str">
        <f ca="1">IFERROR(__xludf.DUMMYFUNCTION("""COMPUTED_VALUE"""),"Back to the Future Part II ")</f>
        <v>Back to the Future Part II </v>
      </c>
      <c r="H1119" s="2">
        <v>78500000</v>
      </c>
    </row>
    <row r="1120" spans="7:8" x14ac:dyDescent="0.25">
      <c r="G1120" s="2" t="str">
        <f ca="1">IFERROR(__xludf.DUMMYFUNCTION("""COMPUTED_VALUE"""),"Lucy ")</f>
        <v>Lucy </v>
      </c>
      <c r="H1120" s="2">
        <v>86546825</v>
      </c>
    </row>
    <row r="1121" spans="7:8" x14ac:dyDescent="0.25">
      <c r="G1121" s="2" t="str">
        <f ca="1">IFERROR(__xludf.DUMMYFUNCTION("""COMPUTED_VALUE"""),"Fifty Shades of Grey ")</f>
        <v>Fifty Shades of Grey </v>
      </c>
      <c r="H1121" s="2">
        <v>126147885</v>
      </c>
    </row>
    <row r="1122" spans="7:8" x14ac:dyDescent="0.25">
      <c r="G1122" s="2" t="str">
        <f ca="1">IFERROR(__xludf.DUMMYFUNCTION("""COMPUTED_VALUE"""),"Spy Kids 3-D: Game Over ")</f>
        <v>Spy Kids 3-D: Game Over </v>
      </c>
      <c r="H1122" s="2">
        <v>73760631</v>
      </c>
    </row>
    <row r="1123" spans="7:8" x14ac:dyDescent="0.25">
      <c r="G1123" s="2" t="str">
        <f ca="1">IFERROR(__xludf.DUMMYFUNCTION("""COMPUTED_VALUE"""),"A Time to Kill ")</f>
        <v>A Time to Kill </v>
      </c>
      <c r="H1123" s="2">
        <v>68706165</v>
      </c>
    </row>
    <row r="1124" spans="7:8" x14ac:dyDescent="0.25">
      <c r="G1124" s="2" t="str">
        <f ca="1">IFERROR(__xludf.DUMMYFUNCTION("""COMPUTED_VALUE"""),"Cheaper by the Dozen ")</f>
        <v>Cheaper by the Dozen </v>
      </c>
      <c r="H1124" s="2">
        <v>98614544</v>
      </c>
    </row>
    <row r="1125" spans="7:8" x14ac:dyDescent="0.25">
      <c r="G1125" s="2" t="str">
        <f ca="1">IFERROR(__xludf.DUMMYFUNCTION("""COMPUTED_VALUE"""),"Lone Survivor ")</f>
        <v>Lone Survivor </v>
      </c>
      <c r="H1125" s="2">
        <v>85069696</v>
      </c>
    </row>
    <row r="1126" spans="7:8" x14ac:dyDescent="0.25">
      <c r="G1126" s="2" t="str">
        <f ca="1">IFERROR(__xludf.DUMMYFUNCTION("""COMPUTED_VALUE"""),"A League of Their Own ")</f>
        <v>A League of Their Own </v>
      </c>
      <c r="H1126" s="2">
        <v>67458785</v>
      </c>
    </row>
    <row r="1127" spans="7:8" x14ac:dyDescent="0.25">
      <c r="G1127" s="2" t="str">
        <f ca="1">IFERROR(__xludf.DUMMYFUNCTION("""COMPUTED_VALUE"""),"The Conjuring 2 ")</f>
        <v>The Conjuring 2 </v>
      </c>
      <c r="H1127" s="2">
        <v>62310175</v>
      </c>
    </row>
    <row r="1128" spans="7:8" x14ac:dyDescent="0.25">
      <c r="G1128" s="2" t="str">
        <f ca="1">IFERROR(__xludf.DUMMYFUNCTION("""COMPUTED_VALUE"""),"The Social Network ")</f>
        <v>The Social Network </v>
      </c>
      <c r="H1128" s="2">
        <v>56917897</v>
      </c>
    </row>
    <row r="1129" spans="7:8" x14ac:dyDescent="0.25">
      <c r="G1129" s="2" t="str">
        <f ca="1">IFERROR(__xludf.DUMMYFUNCTION("""COMPUTED_VALUE"""),"He's Just Not That Into You ")</f>
        <v>He's Just Not That Into You </v>
      </c>
      <c r="H1129" s="2">
        <v>53952276</v>
      </c>
    </row>
    <row r="1130" spans="7:8" x14ac:dyDescent="0.25">
      <c r="G1130" s="2" t="str">
        <f ca="1">IFERROR(__xludf.DUMMYFUNCTION("""COMPUTED_VALUE"""),"Scary Movie 4 ")</f>
        <v>Scary Movie 4 </v>
      </c>
      <c r="H1130" s="2">
        <v>45703745</v>
      </c>
    </row>
    <row r="1131" spans="7:8" x14ac:dyDescent="0.25">
      <c r="G1131" s="2" t="str">
        <f ca="1">IFERROR(__xludf.DUMMYFUNCTION("""COMPUTED_VALUE"""),"Scream 3 ")</f>
        <v>Scream 3 </v>
      </c>
      <c r="H1131" s="2">
        <v>49138076</v>
      </c>
    </row>
    <row r="1132" spans="7:8" x14ac:dyDescent="0.25">
      <c r="G1132" s="2" t="str">
        <f ca="1">IFERROR(__xludf.DUMMYFUNCTION("""COMPUTED_VALUE"""),"Back to the Future Part III ")</f>
        <v>Back to the Future Part III </v>
      </c>
      <c r="H1132" s="2">
        <v>47666629</v>
      </c>
    </row>
    <row r="1133" spans="7:8" x14ac:dyDescent="0.25">
      <c r="G1133" s="2" t="str">
        <f ca="1">IFERROR(__xludf.DUMMYFUNCTION("""COMPUTED_VALUE"""),"Get Hard ")</f>
        <v>Get Hard </v>
      </c>
      <c r="H1133" s="2">
        <v>50353764</v>
      </c>
    </row>
    <row r="1134" spans="7:8" x14ac:dyDescent="0.25">
      <c r="G1134" s="2" t="str">
        <f ca="1">IFERROR(__xludf.DUMMYFUNCTION("""COMPUTED_VALUE"""),"Bram Stoker's Dracula ")</f>
        <v>Bram Stoker's Dracula </v>
      </c>
      <c r="H1134" s="2">
        <v>42522790</v>
      </c>
    </row>
    <row r="1135" spans="7:8" x14ac:dyDescent="0.25">
      <c r="G1135" s="2" t="str">
        <f ca="1">IFERROR(__xludf.DUMMYFUNCTION("""COMPUTED_VALUE"""),"Julie &amp; Julia ")</f>
        <v>Julie &amp; Julia </v>
      </c>
      <c r="H1135" s="2">
        <v>54125426</v>
      </c>
    </row>
    <row r="1136" spans="7:8" x14ac:dyDescent="0.25">
      <c r="G1136" s="2" t="str">
        <f ca="1">IFERROR(__xludf.DUMMYFUNCTION("""COMPUTED_VALUE"""),"42 ")</f>
        <v>42 </v>
      </c>
      <c r="H1136" s="2">
        <v>55001343</v>
      </c>
    </row>
    <row r="1137" spans="7:8" x14ac:dyDescent="0.25">
      <c r="G1137" s="2" t="str">
        <f ca="1">IFERROR(__xludf.DUMMYFUNCTION("""COMPUTED_VALUE"""),"The Talented Mr. Ripley ")</f>
        <v>The Talented Mr. Ripley </v>
      </c>
      <c r="H1137" s="2">
        <v>41292135</v>
      </c>
    </row>
    <row r="1138" spans="7:8" x14ac:dyDescent="0.25">
      <c r="G1138" s="2" t="str">
        <f ca="1">IFERROR(__xludf.DUMMYFUNCTION("""COMPUTED_VALUE"""),"Dumb and Dumber To ")</f>
        <v>Dumb and Dumber To </v>
      </c>
      <c r="H1138" s="2">
        <v>51208010</v>
      </c>
    </row>
    <row r="1139" spans="7:8" x14ac:dyDescent="0.25">
      <c r="G1139" s="2" t="str">
        <f ca="1">IFERROR(__xludf.DUMMYFUNCTION("""COMPUTED_VALUE"""),"Eight Below ")</f>
        <v>Eight Below </v>
      </c>
      <c r="H1139" s="2">
        <v>41593527</v>
      </c>
    </row>
    <row r="1140" spans="7:8" x14ac:dyDescent="0.25">
      <c r="G1140" s="2" t="str">
        <f ca="1">IFERROR(__xludf.DUMMYFUNCTION("""COMPUTED_VALUE"""),"The Intern ")</f>
        <v>The Intern </v>
      </c>
      <c r="H1140" s="2">
        <v>40274748</v>
      </c>
    </row>
    <row r="1141" spans="7:8" x14ac:dyDescent="0.25">
      <c r="G1141" s="2" t="str">
        <f ca="1">IFERROR(__xludf.DUMMYFUNCTION("""COMPUTED_VALUE"""),"Ride Along 2 ")</f>
        <v>Ride Along 2 </v>
      </c>
      <c r="H1141" s="2">
        <v>50835030</v>
      </c>
    </row>
    <row r="1142" spans="7:8" x14ac:dyDescent="0.25">
      <c r="G1142" s="2" t="str">
        <f ca="1">IFERROR(__xludf.DUMMYFUNCTION("""COMPUTED_VALUE"""),"The Last of the Mohicans ")</f>
        <v>The Last of the Mohicans </v>
      </c>
      <c r="H1142" s="2">
        <v>32455275</v>
      </c>
    </row>
    <row r="1143" spans="7:8" x14ac:dyDescent="0.25">
      <c r="G1143" s="2" t="str">
        <f ca="1">IFERROR(__xludf.DUMMYFUNCTION("""COMPUTED_VALUE"""),"Ray ")</f>
        <v>Ray </v>
      </c>
      <c r="H1143" s="2">
        <v>35305995</v>
      </c>
    </row>
    <row r="1144" spans="7:8" x14ac:dyDescent="0.25">
      <c r="G1144" s="2" t="str">
        <f ca="1">IFERROR(__xludf.DUMMYFUNCTION("""COMPUTED_VALUE"""),"Sin City ")</f>
        <v>Sin City </v>
      </c>
      <c r="H1144" s="2">
        <v>34098862</v>
      </c>
    </row>
    <row r="1145" spans="7:8" x14ac:dyDescent="0.25">
      <c r="G1145" s="2" t="str">
        <f ca="1">IFERROR(__xludf.DUMMYFUNCTION("""COMPUTED_VALUE"""),"Vantage Point ")</f>
        <v>Vantage Point </v>
      </c>
      <c r="H1145" s="2">
        <v>32266306</v>
      </c>
    </row>
    <row r="1146" spans="7:8" x14ac:dyDescent="0.25">
      <c r="G1146" s="2" t="str">
        <f ca="1">IFERROR(__xludf.DUMMYFUNCTION("""COMPUTED_VALUE"""),"I Love You, Man ")</f>
        <v>I Love You, Man </v>
      </c>
      <c r="H1146" s="2">
        <v>31347010</v>
      </c>
    </row>
    <row r="1147" spans="7:8" x14ac:dyDescent="0.25">
      <c r="G1147" s="2" t="str">
        <f ca="1">IFERROR(__xludf.DUMMYFUNCTION("""COMPUTED_VALUE"""),"Shallow Hal ")</f>
        <v>Shallow Hal </v>
      </c>
      <c r="H1147" s="2">
        <v>30836296</v>
      </c>
    </row>
    <row r="1148" spans="7:8" x14ac:dyDescent="0.25">
      <c r="G1148" s="2" t="str">
        <f ca="1">IFERROR(__xludf.DUMMYFUNCTION("""COMPUTED_VALUE"""),"JFK ")</f>
        <v>JFK </v>
      </c>
      <c r="H1148" s="2">
        <v>30405498</v>
      </c>
    </row>
    <row r="1149" spans="7:8" x14ac:dyDescent="0.25">
      <c r="G1149" s="2" t="str">
        <f ca="1">IFERROR(__xludf.DUMMYFUNCTION("""COMPUTED_VALUE"""),"Big Momma's House 2 ")</f>
        <v>Big Momma's House 2 </v>
      </c>
      <c r="H1149" s="2">
        <v>30163652</v>
      </c>
    </row>
    <row r="1150" spans="7:8" x14ac:dyDescent="0.25">
      <c r="G1150" s="2" t="str">
        <f ca="1">IFERROR(__xludf.DUMMYFUNCTION("""COMPUTED_VALUE"""),"The Mexican ")</f>
        <v>The Mexican </v>
      </c>
      <c r="H1150" s="2">
        <v>32808615</v>
      </c>
    </row>
    <row r="1151" spans="7:8" x14ac:dyDescent="0.25">
      <c r="G1151" s="2" t="str">
        <f ca="1">IFERROR(__xludf.DUMMYFUNCTION("""COMPUTED_VALUE"""),"17 Again ")</f>
        <v>17 Again </v>
      </c>
      <c r="H1151" s="2">
        <v>44149837</v>
      </c>
    </row>
    <row r="1152" spans="7:8" x14ac:dyDescent="0.25">
      <c r="G1152" s="2" t="str">
        <f ca="1">IFERROR(__xludf.DUMMYFUNCTION("""COMPUTED_VALUE"""),"The Other Woman ")</f>
        <v>The Other Woman </v>
      </c>
      <c r="H1152" s="2">
        <v>43906114</v>
      </c>
    </row>
    <row r="1153" spans="7:8" x14ac:dyDescent="0.25">
      <c r="G1153" s="2" t="str">
        <f ca="1">IFERROR(__xludf.DUMMYFUNCTION("""COMPUTED_VALUE"""),"The Final Destination ")</f>
        <v>The Final Destination </v>
      </c>
      <c r="H1153" s="2">
        <v>26466372</v>
      </c>
    </row>
    <row r="1154" spans="7:8" x14ac:dyDescent="0.25">
      <c r="G1154" s="2" t="str">
        <f ca="1">IFERROR(__xludf.DUMMYFUNCTION("""COMPUTED_VALUE"""),"Bridge of Spies ")</f>
        <v>Bridge of Spies </v>
      </c>
      <c r="H1154" s="2">
        <v>32306065</v>
      </c>
    </row>
    <row r="1155" spans="7:8" x14ac:dyDescent="0.25">
      <c r="G1155" s="2" t="str">
        <f ca="1">IFERROR(__xludf.DUMMYFUNCTION("""COMPUTED_VALUE"""),"Behind Enemy Lines ")</f>
        <v>Behind Enemy Lines </v>
      </c>
      <c r="H1155" s="2">
        <v>19068786</v>
      </c>
    </row>
    <row r="1156" spans="7:8" x14ac:dyDescent="0.25">
      <c r="G1156" s="2" t="str">
        <f ca="1">IFERROR(__xludf.DUMMYFUNCTION("""COMPUTED_VALUE"""),"Shall We Dance ")</f>
        <v>Shall We Dance </v>
      </c>
      <c r="H1156" s="2">
        <v>7887882</v>
      </c>
    </row>
    <row r="1157" spans="7:8" x14ac:dyDescent="0.25">
      <c r="G1157" s="2" t="str">
        <f ca="1">IFERROR(__xludf.DUMMYFUNCTION("""COMPUTED_VALUE"""),"Small Soldiers ")</f>
        <v>Small Soldiers </v>
      </c>
      <c r="H1157" s="2">
        <v>13955614</v>
      </c>
    </row>
    <row r="1158" spans="7:8" x14ac:dyDescent="0.25">
      <c r="G1158" s="2" t="str">
        <f ca="1">IFERROR(__xludf.DUMMYFUNCTION("""COMPUTED_VALUE"""),"Spawn ")</f>
        <v>Spawn </v>
      </c>
      <c r="H1158" s="2">
        <v>14967359</v>
      </c>
    </row>
    <row r="1159" spans="7:8" x14ac:dyDescent="0.25">
      <c r="G1159" s="2" t="str">
        <f ca="1">IFERROR(__xludf.DUMMYFUNCTION("""COMPUTED_VALUE"""),"The Count of Monte Cristo ")</f>
        <v>The Count of Monte Cristo </v>
      </c>
      <c r="H1159" s="2">
        <v>19228104</v>
      </c>
    </row>
    <row r="1160" spans="7:8" x14ac:dyDescent="0.25">
      <c r="G1160" s="2" t="str">
        <f ca="1">IFERROR(__xludf.DUMMYFUNCTION("""COMPUTED_VALUE"""),"The Lincoln Lawyer ")</f>
        <v>The Lincoln Lawyer </v>
      </c>
      <c r="H1160" s="2">
        <v>17981889</v>
      </c>
    </row>
    <row r="1161" spans="7:8" x14ac:dyDescent="0.25">
      <c r="G1161" s="2" t="str">
        <f ca="1">IFERROR(__xludf.DUMMYFUNCTION("""COMPUTED_VALUE"""),"Unknown ")</f>
        <v>Unknown </v>
      </c>
      <c r="H1161" s="2">
        <v>31094903</v>
      </c>
    </row>
    <row r="1162" spans="7:8" x14ac:dyDescent="0.25">
      <c r="G1162" s="2" t="str">
        <f ca="1">IFERROR(__xludf.DUMMYFUNCTION("""COMPUTED_VALUE"""),"The Prestige ")</f>
        <v>The Prestige </v>
      </c>
      <c r="H1162" s="2">
        <v>13082743</v>
      </c>
    </row>
    <row r="1163" spans="7:8" x14ac:dyDescent="0.25">
      <c r="G1163" s="2" t="str">
        <f ca="1">IFERROR(__xludf.DUMMYFUNCTION("""COMPUTED_VALUE"""),"Horrible Bosses 2 ")</f>
        <v>Horrible Bosses 2 </v>
      </c>
      <c r="H1163" s="2">
        <v>12414716</v>
      </c>
    </row>
    <row r="1164" spans="7:8" x14ac:dyDescent="0.25">
      <c r="G1164" s="2" t="str">
        <f ca="1">IFERROR(__xludf.DUMMYFUNCTION("""COMPUTED_VALUE"""),"Escape from Planet Earth ")</f>
        <v>Escape from Planet Earth </v>
      </c>
      <c r="H1164" s="2">
        <v>17011847</v>
      </c>
    </row>
    <row r="1165" spans="7:8" x14ac:dyDescent="0.25">
      <c r="G1165" s="2" t="str">
        <f ca="1">IFERROR(__xludf.DUMMYFUNCTION("""COMPUTED_VALUE"""),"Apocalypto ")</f>
        <v>Apocalypto </v>
      </c>
      <c r="H1165" s="2">
        <v>10859889</v>
      </c>
    </row>
    <row r="1166" spans="7:8" x14ac:dyDescent="0.25">
      <c r="G1166" s="2" t="str">
        <f ca="1">IFERROR(__xludf.DUMMYFUNCTION("""COMPUTED_VALUE"""),"The Living Daylights ")</f>
        <v>The Living Daylights </v>
      </c>
      <c r="H1166" s="2">
        <v>21185897</v>
      </c>
    </row>
    <row r="1167" spans="7:8" x14ac:dyDescent="0.25">
      <c r="G1167" s="2" t="str">
        <f ca="1">IFERROR(__xludf.DUMMYFUNCTION("""COMPUTED_VALUE"""),"Predators ")</f>
        <v>Predators </v>
      </c>
      <c r="H1167" s="2">
        <v>12000688</v>
      </c>
    </row>
    <row r="1168" spans="7:8" x14ac:dyDescent="0.25">
      <c r="G1168" s="2" t="str">
        <f ca="1">IFERROR(__xludf.DUMMYFUNCTION("""COMPUTED_VALUE"""),"Legal Eagles ")</f>
        <v>Legal Eagles </v>
      </c>
      <c r="H1168" s="2">
        <v>9851591</v>
      </c>
    </row>
    <row r="1169" spans="7:8" x14ac:dyDescent="0.25">
      <c r="G1169" s="2" t="str">
        <f ca="1">IFERROR(__xludf.DUMMYFUNCTION("""COMPUTED_VALUE"""),"Secret Window ")</f>
        <v>Secret Window </v>
      </c>
      <c r="H1169" s="2">
        <v>7781388</v>
      </c>
    </row>
    <row r="1170" spans="7:8" x14ac:dyDescent="0.25">
      <c r="G1170" s="2" t="str">
        <f ca="1">IFERROR(__xludf.DUMMYFUNCTION("""COMPUTED_VALUE"""),"The Lake House ")</f>
        <v>The Lake House </v>
      </c>
      <c r="H1170" s="2">
        <v>12320979</v>
      </c>
    </row>
    <row r="1171" spans="7:8" x14ac:dyDescent="0.25">
      <c r="G1171" s="2" t="str">
        <f ca="1">IFERROR(__xludf.DUMMYFUNCTION("""COMPUTED_VALUE"""),"The Skeleton Key ")</f>
        <v>The Skeleton Key </v>
      </c>
      <c r="H1171" s="2">
        <v>4806295</v>
      </c>
    </row>
    <row r="1172" spans="7:8" x14ac:dyDescent="0.25">
      <c r="G1172" s="2" t="str">
        <f ca="1">IFERROR(__xludf.DUMMYFUNCTION("""COMPUTED_VALUE"""),"The Odd Life of Timothy Green ")</f>
        <v>The Odd Life of Timothy Green </v>
      </c>
      <c r="H1172" s="2">
        <v>26853450</v>
      </c>
    </row>
    <row r="1173" spans="7:8" x14ac:dyDescent="0.25">
      <c r="G1173" s="2" t="str">
        <f ca="1">IFERROR(__xludf.DUMMYFUNCTION("""COMPUTED_VALUE"""),"Made of Honor ")</f>
        <v>Made of Honor </v>
      </c>
      <c r="H1173" s="2">
        <v>6012734</v>
      </c>
    </row>
    <row r="1174" spans="7:8" x14ac:dyDescent="0.25">
      <c r="G1174" s="2" t="str">
        <f ca="1">IFERROR(__xludf.DUMMYFUNCTION("""COMPUTED_VALUE"""),"Jersey Boys ")</f>
        <v>Jersey Boys </v>
      </c>
      <c r="H1174" s="2">
        <v>7034272</v>
      </c>
    </row>
    <row r="1175" spans="7:8" x14ac:dyDescent="0.25">
      <c r="G1175" s="2" t="str">
        <f ca="1">IFERROR(__xludf.DUMMYFUNCTION("""COMPUTED_VALUE"""),"The Rainmaker ")</f>
        <v>The Rainmaker </v>
      </c>
      <c r="H1175" s="2">
        <v>5856732</v>
      </c>
    </row>
    <row r="1176" spans="7:8" x14ac:dyDescent="0.25">
      <c r="G1176" s="2" t="str">
        <f ca="1">IFERROR(__xludf.DUMMYFUNCTION("""COMPUTED_VALUE"""),"Gothika ")</f>
        <v>Gothika </v>
      </c>
      <c r="H1176" s="2">
        <v>19588068</v>
      </c>
    </row>
    <row r="1177" spans="7:8" x14ac:dyDescent="0.25">
      <c r="G1177" s="2" t="str">
        <f ca="1">IFERROR(__xludf.DUMMYFUNCTION("""COMPUTED_VALUE"""),"Amistad ")</f>
        <v>Amistad </v>
      </c>
      <c r="H1177" s="2">
        <v>8175394</v>
      </c>
    </row>
    <row r="1178" spans="7:8" x14ac:dyDescent="0.25">
      <c r="G1178" s="2" t="str">
        <f ca="1">IFERROR(__xludf.DUMMYFUNCTION("""COMPUTED_VALUE"""),"Medicine Man ")</f>
        <v>Medicine Man </v>
      </c>
      <c r="H1178" s="2">
        <v>5500797</v>
      </c>
    </row>
    <row r="1179" spans="7:8" x14ac:dyDescent="0.25">
      <c r="G1179" s="2" t="str">
        <f ca="1">IFERROR(__xludf.DUMMYFUNCTION("""COMPUTED_VALUE"""),"Aliens vs. Predator: Requiem ")</f>
        <v>Aliens vs. Predator: Requiem </v>
      </c>
      <c r="H1179" s="2">
        <v>1797066</v>
      </c>
    </row>
    <row r="1180" spans="7:8" x14ac:dyDescent="0.25">
      <c r="G1180" s="2" t="str">
        <f ca="1">IFERROR(__xludf.DUMMYFUNCTION("""COMPUTED_VALUE"""),"Ri¢hie Ri¢h ")</f>
        <v>Ri¢hie Ri¢h </v>
      </c>
      <c r="H1180" s="2">
        <v>-1912244</v>
      </c>
    </row>
    <row r="1181" spans="7:8" x14ac:dyDescent="0.25">
      <c r="G1181" s="2" t="str">
        <f ca="1">IFERROR(__xludf.DUMMYFUNCTION("""COMPUTED_VALUE"""),"Autumn in New York ")</f>
        <v>Autumn in New York </v>
      </c>
      <c r="H1181" s="2">
        <v>-2247069</v>
      </c>
    </row>
    <row r="1182" spans="7:8" x14ac:dyDescent="0.25">
      <c r="G1182" s="2" t="str">
        <f ca="1">IFERROR(__xludf.DUMMYFUNCTION("""COMPUTED_VALUE"""),"Paul ")</f>
        <v>Paul </v>
      </c>
      <c r="H1182" s="2">
        <v>-2628615</v>
      </c>
    </row>
    <row r="1183" spans="7:8" x14ac:dyDescent="0.25">
      <c r="G1183" s="2" t="str">
        <f ca="1">IFERROR(__xludf.DUMMYFUNCTION("""COMPUTED_VALUE"""),"The Guilt Trip ")</f>
        <v>The Guilt Trip </v>
      </c>
      <c r="H1183" s="2">
        <v>-2898989</v>
      </c>
    </row>
    <row r="1184" spans="7:8" x14ac:dyDescent="0.25">
      <c r="G1184" s="2" t="str">
        <f ca="1">IFERROR(__xludf.DUMMYFUNCTION("""COMPUTED_VALUE"""),"Scream 4 ")</f>
        <v>Scream 4 </v>
      </c>
      <c r="H1184" s="2">
        <v>-1823108</v>
      </c>
    </row>
    <row r="1185" spans="7:8" x14ac:dyDescent="0.25">
      <c r="G1185" s="2" t="str">
        <f ca="1">IFERROR(__xludf.DUMMYFUNCTION("""COMPUTED_VALUE"""),"8MM ")</f>
        <v>8MM </v>
      </c>
      <c r="H1185" s="2">
        <v>-3716496</v>
      </c>
    </row>
    <row r="1186" spans="7:8" x14ac:dyDescent="0.25">
      <c r="G1186" s="2" t="str">
        <f ca="1">IFERROR(__xludf.DUMMYFUNCTION("""COMPUTED_VALUE"""),"The Doors ")</f>
        <v>The Doors </v>
      </c>
      <c r="H1186" s="2">
        <v>-2816208</v>
      </c>
    </row>
    <row r="1187" spans="7:8" x14ac:dyDescent="0.25">
      <c r="G1187" s="2" t="str">
        <f ca="1">IFERROR(__xludf.DUMMYFUNCTION("""COMPUTED_VALUE"""),"Sex Tape ")</f>
        <v>Sex Tape </v>
      </c>
      <c r="H1187" s="2">
        <v>-1456527</v>
      </c>
    </row>
    <row r="1188" spans="7:8" x14ac:dyDescent="0.25">
      <c r="G1188" s="2" t="str">
        <f ca="1">IFERROR(__xludf.DUMMYFUNCTION("""COMPUTED_VALUE"""),"Hanging Up ")</f>
        <v>Hanging Up </v>
      </c>
      <c r="H1188" s="2">
        <v>-23962091</v>
      </c>
    </row>
    <row r="1189" spans="7:8" x14ac:dyDescent="0.25">
      <c r="G1189" s="2" t="str">
        <f ca="1">IFERROR(__xludf.DUMMYFUNCTION("""COMPUTED_VALUE"""),"Final Destination 5 ")</f>
        <v>Final Destination 5 </v>
      </c>
      <c r="H1189" s="2">
        <v>2575718</v>
      </c>
    </row>
    <row r="1190" spans="7:8" x14ac:dyDescent="0.25">
      <c r="G1190" s="2" t="str">
        <f ca="1">IFERROR(__xludf.DUMMYFUNCTION("""COMPUTED_VALUE"""),"Mickey Blue Eyes ")</f>
        <v>Mickey Blue Eyes </v>
      </c>
      <c r="H1190" s="2">
        <v>-6135658</v>
      </c>
    </row>
    <row r="1191" spans="7:8" x14ac:dyDescent="0.25">
      <c r="G1191" s="2" t="str">
        <f ca="1">IFERROR(__xludf.DUMMYFUNCTION("""COMPUTED_VALUE"""),"Pay It Forward ")</f>
        <v>Pay It Forward </v>
      </c>
      <c r="H1191" s="2">
        <v>-6491078</v>
      </c>
    </row>
    <row r="1192" spans="7:8" x14ac:dyDescent="0.25">
      <c r="G1192" s="2" t="str">
        <f ca="1">IFERROR(__xludf.DUMMYFUNCTION("""COMPUTED_VALUE"""),"Fever Pitch ")</f>
        <v>Fever Pitch </v>
      </c>
      <c r="H1192" s="2">
        <v>12071069</v>
      </c>
    </row>
    <row r="1193" spans="7:8" x14ac:dyDescent="0.25">
      <c r="G1193" s="2" t="str">
        <f ca="1">IFERROR(__xludf.DUMMYFUNCTION("""COMPUTED_VALUE"""),"Drillbit Taylor ")</f>
        <v>Drillbit Taylor </v>
      </c>
      <c r="H1193" s="2">
        <v>-7146360</v>
      </c>
    </row>
    <row r="1194" spans="7:8" x14ac:dyDescent="0.25">
      <c r="G1194" s="2" t="str">
        <f ca="1">IFERROR(__xludf.DUMMYFUNCTION("""COMPUTED_VALUE"""),"A Million Ways to Die in the West ")</f>
        <v>A Million Ways to Die in the West </v>
      </c>
      <c r="H1194" s="2">
        <v>2615685</v>
      </c>
    </row>
    <row r="1195" spans="7:8" x14ac:dyDescent="0.25">
      <c r="G1195" s="2" t="str">
        <f ca="1">IFERROR(__xludf.DUMMYFUNCTION("""COMPUTED_VALUE"""),"The Shadow ")</f>
        <v>The Shadow </v>
      </c>
      <c r="H1195" s="2">
        <v>7055248</v>
      </c>
    </row>
    <row r="1196" spans="7:8" x14ac:dyDescent="0.25">
      <c r="G1196" s="2" t="str">
        <f ca="1">IFERROR(__xludf.DUMMYFUNCTION("""COMPUTED_VALUE"""),"Extremely Loud &amp; Incredibly Close ")</f>
        <v>Extremely Loud &amp; Incredibly Close </v>
      </c>
      <c r="H1196" s="2">
        <v>-8163255</v>
      </c>
    </row>
    <row r="1197" spans="7:8" x14ac:dyDescent="0.25">
      <c r="G1197" s="2" t="str">
        <f ca="1">IFERROR(__xludf.DUMMYFUNCTION("""COMPUTED_VALUE"""),"Morning Glory ")</f>
        <v>Morning Glory </v>
      </c>
      <c r="H1197" s="2">
        <v>-9006456</v>
      </c>
    </row>
    <row r="1198" spans="7:8" x14ac:dyDescent="0.25">
      <c r="G1198" s="2" t="str">
        <f ca="1">IFERROR(__xludf.DUMMYFUNCTION("""COMPUTED_VALUE"""),"Get Rich or Die Tryin' ")</f>
        <v>Get Rich or Die Tryin' </v>
      </c>
      <c r="H1198" s="2">
        <v>-9018150</v>
      </c>
    </row>
    <row r="1199" spans="7:8" x14ac:dyDescent="0.25">
      <c r="G1199" s="2" t="str">
        <f ca="1">IFERROR(__xludf.DUMMYFUNCTION("""COMPUTED_VALUE"""),"The Art of War ")</f>
        <v>The Art of War </v>
      </c>
      <c r="H1199" s="2">
        <v>-9800895</v>
      </c>
    </row>
    <row r="1200" spans="7:8" x14ac:dyDescent="0.25">
      <c r="G1200" s="2" t="str">
        <f ca="1">IFERROR(__xludf.DUMMYFUNCTION("""COMPUTED_VALUE"""),"Rent ")</f>
        <v>Rent </v>
      </c>
      <c r="H1200" s="2">
        <v>-10922453</v>
      </c>
    </row>
    <row r="1201" spans="7:8" x14ac:dyDescent="0.25">
      <c r="G1201" s="2" t="str">
        <f ca="1">IFERROR(__xludf.DUMMYFUNCTION("""COMPUTED_VALUE"""),"Bless the Child ")</f>
        <v>Bless the Child </v>
      </c>
      <c r="H1201" s="2">
        <v>-10625822</v>
      </c>
    </row>
    <row r="1202" spans="7:8" x14ac:dyDescent="0.25">
      <c r="G1202" s="2" t="str">
        <f ca="1">IFERROR(__xludf.DUMMYFUNCTION("""COMPUTED_VALUE"""),"The Out-of-Towners ")</f>
        <v>The Out-of-Towners </v>
      </c>
      <c r="H1202" s="2">
        <v>-11464232</v>
      </c>
    </row>
    <row r="1203" spans="7:8" x14ac:dyDescent="0.25">
      <c r="G1203" s="2" t="str">
        <f ca="1">IFERROR(__xludf.DUMMYFUNCTION("""COMPUTED_VALUE"""),"The Island of Dr. Moreau ")</f>
        <v>The Island of Dr. Moreau </v>
      </c>
      <c r="H1203" s="2">
        <v>-12336018</v>
      </c>
    </row>
    <row r="1204" spans="7:8" x14ac:dyDescent="0.25">
      <c r="G1204" s="2" t="str">
        <f ca="1">IFERROR(__xludf.DUMMYFUNCTION("""COMPUTED_VALUE"""),"The Musketeer ")</f>
        <v>The Musketeer </v>
      </c>
      <c r="H1204" s="2">
        <v>-12946185</v>
      </c>
    </row>
    <row r="1205" spans="7:8" x14ac:dyDescent="0.25">
      <c r="G1205" s="2" t="str">
        <f ca="1">IFERROR(__xludf.DUMMYFUNCTION("""COMPUTED_VALUE"""),"The Other Boleyn Girl ")</f>
        <v>The Other Boleyn Girl </v>
      </c>
      <c r="H1205" s="2">
        <v>-8185043</v>
      </c>
    </row>
    <row r="1206" spans="7:8" x14ac:dyDescent="0.25">
      <c r="G1206" s="2" t="str">
        <f ca="1">IFERROR(__xludf.DUMMYFUNCTION("""COMPUTED_VALUE"""),"Sweet November ")</f>
        <v>Sweet November </v>
      </c>
      <c r="H1206" s="2">
        <v>-14821835</v>
      </c>
    </row>
    <row r="1207" spans="7:8" x14ac:dyDescent="0.25">
      <c r="G1207" s="2" t="str">
        <f ca="1">IFERROR(__xludf.DUMMYFUNCTION("""COMPUTED_VALUE"""),"The Reaping ")</f>
        <v>The Reaping </v>
      </c>
      <c r="H1207" s="2">
        <v>-14882502</v>
      </c>
    </row>
    <row r="1208" spans="7:8" x14ac:dyDescent="0.25">
      <c r="G1208" s="2" t="str">
        <f ca="1">IFERROR(__xludf.DUMMYFUNCTION("""COMPUTED_VALUE"""),"Mean Streets ")</f>
        <v>Mean Streets </v>
      </c>
      <c r="H1208" s="2">
        <v>-467355</v>
      </c>
    </row>
    <row r="1209" spans="7:8" x14ac:dyDescent="0.25">
      <c r="G1209" s="2" t="str">
        <f ca="1">IFERROR(__xludf.DUMMYFUNCTION("""COMPUTED_VALUE"""),"Renaissance Man ")</f>
        <v>Renaissance Man </v>
      </c>
      <c r="H1209" s="2">
        <v>-15667676</v>
      </c>
    </row>
    <row r="1210" spans="7:8" x14ac:dyDescent="0.25">
      <c r="G1210" s="2" t="str">
        <f ca="1">IFERROR(__xludf.DUMMYFUNCTION("""COMPUTED_VALUE"""),"Colombiana ")</f>
        <v>Colombiana </v>
      </c>
      <c r="H1210" s="2">
        <v>-3334146</v>
      </c>
    </row>
    <row r="1211" spans="7:8" x14ac:dyDescent="0.25">
      <c r="G1211" s="2" t="str">
        <f ca="1">IFERROR(__xludf.DUMMYFUNCTION("""COMPUTED_VALUE"""),"The Magic Sword: Quest for Camelot ")</f>
        <v>The Magic Sword: Quest for Camelot </v>
      </c>
      <c r="H1211" s="2">
        <v>-17282242</v>
      </c>
    </row>
    <row r="1212" spans="7:8" x14ac:dyDescent="0.25">
      <c r="G1212" s="2" t="str">
        <f ca="1">IFERROR(__xludf.DUMMYFUNCTION("""COMPUTED_VALUE"""),"City by the Sea ")</f>
        <v>City by the Sea </v>
      </c>
      <c r="H1212" s="2">
        <v>-37566085</v>
      </c>
    </row>
    <row r="1213" spans="7:8" x14ac:dyDescent="0.25">
      <c r="G1213" s="2" t="str">
        <f ca="1">IFERROR(__xludf.DUMMYFUNCTION("""COMPUTED_VALUE"""),"At First Sight ")</f>
        <v>At First Sight </v>
      </c>
      <c r="H1213" s="2">
        <v>-37673753</v>
      </c>
    </row>
    <row r="1214" spans="7:8" x14ac:dyDescent="0.25">
      <c r="G1214" s="2" t="str">
        <f ca="1">IFERROR(__xludf.DUMMYFUNCTION("""COMPUTED_VALUE"""),"Torque ")</f>
        <v>Torque </v>
      </c>
      <c r="H1214" s="2">
        <v>-18823678</v>
      </c>
    </row>
    <row r="1215" spans="7:8" x14ac:dyDescent="0.25">
      <c r="G1215" s="2" t="str">
        <f ca="1">IFERROR(__xludf.DUMMYFUNCTION("""COMPUTED_VALUE"""),"City Hall ")</f>
        <v>City Hall </v>
      </c>
      <c r="H1215" s="2">
        <v>-19700000</v>
      </c>
    </row>
    <row r="1216" spans="7:8" x14ac:dyDescent="0.25">
      <c r="G1216" s="2" t="str">
        <f ca="1">IFERROR(__xludf.DUMMYFUNCTION("""COMPUTED_VALUE"""),"Showgirls ")</f>
        <v>Showgirls </v>
      </c>
      <c r="H1216" s="2">
        <v>-24697039</v>
      </c>
    </row>
    <row r="1217" spans="7:8" x14ac:dyDescent="0.25">
      <c r="G1217" s="2" t="str">
        <f ca="1">IFERROR(__xludf.DUMMYFUNCTION("""COMPUTED_VALUE"""),"Marie Antoinette ")</f>
        <v>Marie Antoinette </v>
      </c>
      <c r="H1217" s="2">
        <v>-24037529</v>
      </c>
    </row>
    <row r="1218" spans="7:8" x14ac:dyDescent="0.25">
      <c r="G1218" s="2" t="str">
        <f ca="1">IFERROR(__xludf.DUMMYFUNCTION("""COMPUTED_VALUE"""),"Kiss of Death ")</f>
        <v>Kiss of Death </v>
      </c>
      <c r="H1218" s="2">
        <v>-25057578</v>
      </c>
    </row>
    <row r="1219" spans="7:8" x14ac:dyDescent="0.25">
      <c r="G1219" s="2" t="str">
        <f ca="1">IFERROR(__xludf.DUMMYFUNCTION("""COMPUTED_VALUE"""),"Get Carter ")</f>
        <v>Get Carter </v>
      </c>
      <c r="H1219" s="2">
        <v>-25032818</v>
      </c>
    </row>
    <row r="1220" spans="7:8" x14ac:dyDescent="0.25">
      <c r="G1220" s="2" t="str">
        <f ca="1">IFERROR(__xludf.DUMMYFUNCTION("""COMPUTED_VALUE"""),"The Impossible ")</f>
        <v>The Impossible </v>
      </c>
      <c r="H1220" s="2">
        <v>-26003245</v>
      </c>
    </row>
    <row r="1221" spans="7:8" x14ac:dyDescent="0.25">
      <c r="G1221" s="2" t="str">
        <f ca="1">IFERROR(__xludf.DUMMYFUNCTION("""COMPUTED_VALUE"""),"Ishtar ")</f>
        <v>Ishtar </v>
      </c>
      <c r="H1221" s="2">
        <v>-36624819</v>
      </c>
    </row>
    <row r="1222" spans="7:8" x14ac:dyDescent="0.25">
      <c r="G1222" s="2" t="str">
        <f ca="1">IFERROR(__xludf.DUMMYFUNCTION("""COMPUTED_VALUE"""),"Fantastic Mr. Fox ")</f>
        <v>Fantastic Mr. Fox </v>
      </c>
      <c r="H1222" s="2">
        <v>-19000897</v>
      </c>
    </row>
    <row r="1223" spans="7:8" x14ac:dyDescent="0.25">
      <c r="G1223" s="2" t="str">
        <f ca="1">IFERROR(__xludf.DUMMYFUNCTION("""COMPUTED_VALUE"""),"Life or Something Like It ")</f>
        <v>Life or Something Like It </v>
      </c>
      <c r="H1223" s="2">
        <v>-25551411</v>
      </c>
    </row>
    <row r="1224" spans="7:8" x14ac:dyDescent="0.25">
      <c r="G1224" s="2" t="str">
        <f ca="1">IFERROR(__xludf.DUMMYFUNCTION("""COMPUTED_VALUE"""),"Memoirs of an Invisible Man ")</f>
        <v>Memoirs of an Invisible Man </v>
      </c>
      <c r="H1224" s="2">
        <v>-25641967</v>
      </c>
    </row>
    <row r="1225" spans="7:8" x14ac:dyDescent="0.25">
      <c r="G1225" s="2" t="str">
        <f ca="1">IFERROR(__xludf.DUMMYFUNCTION("""COMPUTED_VALUE"""),"Amélie ")</f>
        <v>Amélie </v>
      </c>
      <c r="H1225" s="2">
        <v>-43798339</v>
      </c>
    </row>
    <row r="1226" spans="7:8" x14ac:dyDescent="0.25">
      <c r="G1226" s="2" t="str">
        <f ca="1">IFERROR(__xludf.DUMMYFUNCTION("""COMPUTED_VALUE"""),"New York Minute ")</f>
        <v>New York Minute </v>
      </c>
      <c r="H1226" s="2">
        <v>-15981636</v>
      </c>
    </row>
    <row r="1227" spans="7:8" x14ac:dyDescent="0.25">
      <c r="G1227" s="2" t="str">
        <f ca="1">IFERROR(__xludf.DUMMYFUNCTION("""COMPUTED_VALUE"""),"Alfie ")</f>
        <v>Alfie </v>
      </c>
      <c r="H1227" s="2">
        <v>-46604061</v>
      </c>
    </row>
    <row r="1228" spans="7:8" x14ac:dyDescent="0.25">
      <c r="G1228" s="2" t="str">
        <f ca="1">IFERROR(__xludf.DUMMYFUNCTION("""COMPUTED_VALUE"""),"Big Miracle ")</f>
        <v>Big Miracle </v>
      </c>
      <c r="H1228" s="2">
        <v>-19886035</v>
      </c>
    </row>
    <row r="1229" spans="7:8" x14ac:dyDescent="0.25">
      <c r="G1229" s="2" t="str">
        <f ca="1">IFERROR(__xludf.DUMMYFUNCTION("""COMPUTED_VALUE"""),"The Deep End of the Ocean ")</f>
        <v>The Deep End of the Ocean </v>
      </c>
      <c r="H1229" s="2">
        <v>-26623494</v>
      </c>
    </row>
    <row r="1230" spans="7:8" x14ac:dyDescent="0.25">
      <c r="G1230" s="2" t="str">
        <f ca="1">IFERROR(__xludf.DUMMYFUNCTION("""COMPUTED_VALUE"""),"Feardotcom ")</f>
        <v>Feardotcom </v>
      </c>
      <c r="H1230" s="2">
        <v>-28791977</v>
      </c>
    </row>
    <row r="1231" spans="7:8" x14ac:dyDescent="0.25">
      <c r="G1231" s="2" t="str">
        <f ca="1">IFERROR(__xludf.DUMMYFUNCTION("""COMPUTED_VALUE"""),"Cirque du Freak: The Vampire's Assistant ")</f>
        <v>Cirque du Freak: The Vampire's Assistant </v>
      </c>
      <c r="H1231" s="2">
        <v>-26161870</v>
      </c>
    </row>
    <row r="1232" spans="7:8" x14ac:dyDescent="0.25">
      <c r="G1232" s="2" t="str">
        <f ca="1">IFERROR(__xludf.DUMMYFUNCTION("""COMPUTED_VALUE"""),"Duplex ")</f>
        <v>Duplex </v>
      </c>
      <c r="H1232" s="2">
        <v>-30348000</v>
      </c>
    </row>
    <row r="1233" spans="7:8" x14ac:dyDescent="0.25">
      <c r="G1233" s="2" t="str">
        <f ca="1">IFERROR(__xludf.DUMMYFUNCTION("""COMPUTED_VALUE"""),"Raise the Titanic ")</f>
        <v>Raise the Titanic </v>
      </c>
      <c r="H1233" s="2">
        <v>-29000000</v>
      </c>
    </row>
    <row r="1234" spans="7:8" x14ac:dyDescent="0.25">
      <c r="G1234" s="2" t="str">
        <f ca="1">IFERROR(__xludf.DUMMYFUNCTION("""COMPUTED_VALUE"""),"Universal Soldier: The Return ")</f>
        <v>Universal Soldier: The Return </v>
      </c>
      <c r="H1234" s="2">
        <v>-13568780</v>
      </c>
    </row>
    <row r="1235" spans="7:8" x14ac:dyDescent="0.25">
      <c r="G1235" s="2" t="str">
        <f ca="1">IFERROR(__xludf.DUMMYFUNCTION("""COMPUTED_VALUE"""),"Pandorum ")</f>
        <v>Pandorum </v>
      </c>
      <c r="H1235" s="2">
        <v>-22673938</v>
      </c>
    </row>
    <row r="1236" spans="7:8" x14ac:dyDescent="0.25">
      <c r="G1236" s="2" t="str">
        <f ca="1">IFERROR(__xludf.DUMMYFUNCTION("""COMPUTED_VALUE"""),"Impostor ")</f>
        <v>Impostor </v>
      </c>
      <c r="H1236" s="2">
        <v>-33885763</v>
      </c>
    </row>
    <row r="1237" spans="7:8" x14ac:dyDescent="0.25">
      <c r="G1237" s="2" t="str">
        <f ca="1">IFERROR(__xludf.DUMMYFUNCTION("""COMPUTED_VALUE"""),"Extreme Ops ")</f>
        <v>Extreme Ops </v>
      </c>
      <c r="H1237" s="2">
        <v>-35164032</v>
      </c>
    </row>
    <row r="1238" spans="7:8" x14ac:dyDescent="0.25">
      <c r="G1238" s="2" t="str">
        <f ca="1">IFERROR(__xludf.DUMMYFUNCTION("""COMPUTED_VALUE"""),"Just Visiting ")</f>
        <v>Just Visiting </v>
      </c>
      <c r="H1238" s="2">
        <v>-35222993</v>
      </c>
    </row>
    <row r="1239" spans="7:8" x14ac:dyDescent="0.25">
      <c r="G1239" s="2" t="str">
        <f ca="1">IFERROR(__xludf.DUMMYFUNCTION("""COMPUTED_VALUE"""),"Sunshine ")</f>
        <v>Sunshine </v>
      </c>
      <c r="H1239" s="2">
        <v>-22324928</v>
      </c>
    </row>
    <row r="1240" spans="7:8" x14ac:dyDescent="0.25">
      <c r="G1240" s="2" t="str">
        <f ca="1">IFERROR(__xludf.DUMMYFUNCTION("""COMPUTED_VALUE"""),"A Thousand Words ")</f>
        <v>A Thousand Words </v>
      </c>
      <c r="H1240" s="2">
        <v>-21561851</v>
      </c>
    </row>
    <row r="1241" spans="7:8" x14ac:dyDescent="0.25">
      <c r="G1241" s="2" t="str">
        <f ca="1">IFERROR(__xludf.DUMMYFUNCTION("""COMPUTED_VALUE"""),"Delgo ")</f>
        <v>Delgo </v>
      </c>
      <c r="H1241" s="2">
        <v>-39488080</v>
      </c>
    </row>
    <row r="1242" spans="7:8" x14ac:dyDescent="0.25">
      <c r="G1242" s="2" t="str">
        <f ca="1">IFERROR(__xludf.DUMMYFUNCTION("""COMPUTED_VALUE"""),"The Gunman ")</f>
        <v>The Gunman </v>
      </c>
      <c r="H1242" s="2">
        <v>-29359355</v>
      </c>
    </row>
    <row r="1243" spans="7:8" x14ac:dyDescent="0.25">
      <c r="G1243" s="2" t="str">
        <f ca="1">IFERROR(__xludf.DUMMYFUNCTION("""COMPUTED_VALUE"""),"Alex Rider: Operation Stormbreaker ")</f>
        <v>Alex Rider: Operation Stormbreaker </v>
      </c>
      <c r="H1243" s="2">
        <v>-39347474</v>
      </c>
    </row>
    <row r="1244" spans="7:8" x14ac:dyDescent="0.25">
      <c r="G1244" s="2" t="str">
        <f ca="1">IFERROR(__xludf.DUMMYFUNCTION("""COMPUTED_VALUE"""),"Disturbia ")</f>
        <v>Disturbia </v>
      </c>
      <c r="H1244" s="2">
        <v>60050171</v>
      </c>
    </row>
    <row r="1245" spans="7:8" x14ac:dyDescent="0.25">
      <c r="G1245" s="2" t="str">
        <f ca="1">IFERROR(__xludf.DUMMYFUNCTION("""COMPUTED_VALUE"""),"Hackers ")</f>
        <v>Hackers </v>
      </c>
      <c r="H1245" s="2">
        <v>-12436000</v>
      </c>
    </row>
    <row r="1246" spans="7:8" x14ac:dyDescent="0.25">
      <c r="G1246" s="2" t="str">
        <f ca="1">IFERROR(__xludf.DUMMYFUNCTION("""COMPUTED_VALUE"""),"The Hunting Party ")</f>
        <v>The Hunting Party </v>
      </c>
      <c r="H1246" s="2">
        <v>-24123329</v>
      </c>
    </row>
    <row r="1247" spans="7:8" x14ac:dyDescent="0.25">
      <c r="G1247" s="2" t="str">
        <f ca="1">IFERROR(__xludf.DUMMYFUNCTION("""COMPUTED_VALUE"""),"The Hudsucker Proxy ")</f>
        <v>The Hudsucker Proxy </v>
      </c>
      <c r="H1247" s="2">
        <v>-27130631</v>
      </c>
    </row>
    <row r="1248" spans="7:8" x14ac:dyDescent="0.25">
      <c r="G1248" s="2" t="str">
        <f ca="1">IFERROR(__xludf.DUMMYFUNCTION("""COMPUTED_VALUE"""),"The Warlords ")</f>
        <v>The Warlords </v>
      </c>
      <c r="H1248" s="2">
        <v>-39871022</v>
      </c>
    </row>
    <row r="1249" spans="7:8" x14ac:dyDescent="0.25">
      <c r="G1249" s="2" t="str">
        <f ca="1">IFERROR(__xludf.DUMMYFUNCTION("""COMPUTED_VALUE"""),"Nomad: The Warrior ")</f>
        <v>Nomad: The Warrior </v>
      </c>
      <c r="H1249" s="2">
        <v>-24922769</v>
      </c>
    </row>
    <row r="1250" spans="7:8" x14ac:dyDescent="0.25">
      <c r="G1250" s="2" t="str">
        <f ca="1">IFERROR(__xludf.DUMMYFUNCTION("""COMPUTED_VALUE"""),"Snowpiercer ")</f>
        <v>Snowpiercer </v>
      </c>
      <c r="H1250" s="2">
        <v>-34636971</v>
      </c>
    </row>
    <row r="1251" spans="7:8" x14ac:dyDescent="0.25">
      <c r="G1251" s="2" t="str">
        <f ca="1">IFERROR(__xludf.DUMMYFUNCTION("""COMPUTED_VALUE"""),"The Crow ")</f>
        <v>The Crow </v>
      </c>
      <c r="H1251" s="2">
        <v>27693162</v>
      </c>
    </row>
    <row r="1252" spans="7:8" x14ac:dyDescent="0.25">
      <c r="G1252" s="2" t="str">
        <f ca="1">IFERROR(__xludf.DUMMYFUNCTION("""COMPUTED_VALUE"""),"Baahubali: The Beginning ")</f>
        <v>Baahubali: The Beginning </v>
      </c>
      <c r="H1252" s="2">
        <v>-11528148</v>
      </c>
    </row>
    <row r="1253" spans="7:8" x14ac:dyDescent="0.25">
      <c r="G1253" s="2" t="str">
        <f ca="1">IFERROR(__xludf.DUMMYFUNCTION("""COMPUTED_VALUE"""),"The Time Traveler's Wife ")</f>
        <v>The Time Traveler's Wife </v>
      </c>
      <c r="H1253" s="2">
        <v>24411478</v>
      </c>
    </row>
    <row r="1254" spans="7:8" x14ac:dyDescent="0.25">
      <c r="G1254" s="2" t="str">
        <f ca="1">IFERROR(__xludf.DUMMYFUNCTION("""COMPUTED_VALUE"""),"Frankenweenie ")</f>
        <v>Frankenweenie </v>
      </c>
      <c r="H1254" s="2">
        <v>-3712212</v>
      </c>
    </row>
    <row r="1255" spans="7:8" x14ac:dyDescent="0.25">
      <c r="G1255" s="2" t="str">
        <f ca="1">IFERROR(__xludf.DUMMYFUNCTION("""COMPUTED_VALUE"""),"Serenity ")</f>
        <v>Serenity </v>
      </c>
      <c r="H1255" s="2">
        <v>-14664065</v>
      </c>
    </row>
    <row r="1256" spans="7:8" x14ac:dyDescent="0.25">
      <c r="G1256" s="2" t="str">
        <f ca="1">IFERROR(__xludf.DUMMYFUNCTION("""COMPUTED_VALUE"""),"Against the Ropes ")</f>
        <v>Against the Ropes </v>
      </c>
      <c r="H1256" s="2">
        <v>-33118496</v>
      </c>
    </row>
    <row r="1257" spans="7:8" x14ac:dyDescent="0.25">
      <c r="G1257" s="2" t="str">
        <f ca="1">IFERROR(__xludf.DUMMYFUNCTION("""COMPUTED_VALUE"""),"Superman III ")</f>
        <v>Superman III </v>
      </c>
      <c r="H1257" s="2">
        <v>21000000</v>
      </c>
    </row>
    <row r="1258" spans="7:8" x14ac:dyDescent="0.25">
      <c r="G1258" s="2" t="str">
        <f ca="1">IFERROR(__xludf.DUMMYFUNCTION("""COMPUTED_VALUE"""),"Grudge Match ")</f>
        <v>Grudge Match </v>
      </c>
      <c r="H1258" s="2">
        <v>-10197239</v>
      </c>
    </row>
    <row r="1259" spans="7:8" x14ac:dyDescent="0.25">
      <c r="G1259" s="2" t="str">
        <f ca="1">IFERROR(__xludf.DUMMYFUNCTION("""COMPUTED_VALUE"""),"Red Cliff ")</f>
        <v>Red Cliff </v>
      </c>
      <c r="H1259" s="2">
        <v>-553005191</v>
      </c>
    </row>
    <row r="1260" spans="7:8" x14ac:dyDescent="0.25">
      <c r="G1260" s="2" t="str">
        <f ca="1">IFERROR(__xludf.DUMMYFUNCTION("""COMPUTED_VALUE"""),"Sweet Home Alabama ")</f>
        <v>Sweet Home Alabama </v>
      </c>
      <c r="H1260" s="2">
        <v>89214072</v>
      </c>
    </row>
    <row r="1261" spans="7:8" x14ac:dyDescent="0.25">
      <c r="G1261" s="2" t="str">
        <f ca="1">IFERROR(__xludf.DUMMYFUNCTION("""COMPUTED_VALUE"""),"The Ugly Truth ")</f>
        <v>The Ugly Truth </v>
      </c>
      <c r="H1261" s="2">
        <v>50915214</v>
      </c>
    </row>
    <row r="1262" spans="7:8" x14ac:dyDescent="0.25">
      <c r="G1262" s="2" t="str">
        <f ca="1">IFERROR(__xludf.DUMMYFUNCTION("""COMPUTED_VALUE"""),"Sgt. Bilko ")</f>
        <v>Sgt. Bilko </v>
      </c>
      <c r="H1262" s="2">
        <v>-8600000</v>
      </c>
    </row>
    <row r="1263" spans="7:8" x14ac:dyDescent="0.25">
      <c r="G1263" s="2" t="str">
        <f ca="1">IFERROR(__xludf.DUMMYFUNCTION("""COMPUTED_VALUE"""),"Spy Kids 2: Island of Lost Dreams ")</f>
        <v>Spy Kids 2: Island of Lost Dreams </v>
      </c>
      <c r="H1263" s="2">
        <v>47570368</v>
      </c>
    </row>
    <row r="1264" spans="7:8" x14ac:dyDescent="0.25">
      <c r="G1264" s="2" t="str">
        <f ca="1">IFERROR(__xludf.DUMMYFUNCTION("""COMPUTED_VALUE"""),"Star Trek: Generations ")</f>
        <v>Star Trek: Generations </v>
      </c>
      <c r="H1264" s="2">
        <v>40668868</v>
      </c>
    </row>
    <row r="1265" spans="7:8" x14ac:dyDescent="0.25">
      <c r="G1265" s="2" t="str">
        <f ca="1">IFERROR(__xludf.DUMMYFUNCTION("""COMPUTED_VALUE"""),"The Grandmaster ")</f>
        <v>The Grandmaster </v>
      </c>
      <c r="H1265" s="2">
        <v>-32005864</v>
      </c>
    </row>
    <row r="1266" spans="7:8" x14ac:dyDescent="0.25">
      <c r="G1266" s="2" t="str">
        <f ca="1">IFERROR(__xludf.DUMMYFUNCTION("""COMPUTED_VALUE"""),"Water for Elephants ")</f>
        <v>Water for Elephants </v>
      </c>
      <c r="H1266" s="2">
        <v>20700247</v>
      </c>
    </row>
    <row r="1267" spans="7:8" x14ac:dyDescent="0.25">
      <c r="G1267" s="2" t="str">
        <f ca="1">IFERROR(__xludf.DUMMYFUNCTION("""COMPUTED_VALUE"""),"The Hurricane ")</f>
        <v>The Hurricane </v>
      </c>
      <c r="H1267" s="2">
        <v>12668906</v>
      </c>
    </row>
    <row r="1268" spans="7:8" x14ac:dyDescent="0.25">
      <c r="G1268" s="2" t="str">
        <f ca="1">IFERROR(__xludf.DUMMYFUNCTION("""COMPUTED_VALUE"""),"Enough ")</f>
        <v>Enough </v>
      </c>
      <c r="H1268" s="2">
        <v>1177215</v>
      </c>
    </row>
    <row r="1269" spans="7:8" x14ac:dyDescent="0.25">
      <c r="G1269" s="2" t="str">
        <f ca="1">IFERROR(__xludf.DUMMYFUNCTION("""COMPUTED_VALUE"""),"Heartbreakers ")</f>
        <v>Heartbreakers </v>
      </c>
      <c r="H1269" s="2">
        <v>5334024</v>
      </c>
    </row>
    <row r="1270" spans="7:8" x14ac:dyDescent="0.25">
      <c r="G1270" s="2" t="str">
        <f ca="1">IFERROR(__xludf.DUMMYFUNCTION("""COMPUTED_VALUE"""),"Paul Blart: Mall Cop 2 ")</f>
        <v>Paul Blart: Mall Cop 2 </v>
      </c>
      <c r="H1270" s="2">
        <v>41038190</v>
      </c>
    </row>
    <row r="1271" spans="7:8" x14ac:dyDescent="0.25">
      <c r="G1271" s="2" t="str">
        <f ca="1">IFERROR(__xludf.DUMMYFUNCTION("""COMPUTED_VALUE"""),"Angel Eyes ")</f>
        <v>Angel Eyes </v>
      </c>
      <c r="H1271" s="2">
        <v>-13955468</v>
      </c>
    </row>
    <row r="1272" spans="7:8" x14ac:dyDescent="0.25">
      <c r="G1272" s="2" t="str">
        <f ca="1">IFERROR(__xludf.DUMMYFUNCTION("""COMPUTED_VALUE"""),"Joe Somebody ")</f>
        <v>Joe Somebody </v>
      </c>
      <c r="H1272" s="2">
        <v>-15229136</v>
      </c>
    </row>
    <row r="1273" spans="7:8" x14ac:dyDescent="0.25">
      <c r="G1273" s="2" t="str">
        <f ca="1">IFERROR(__xludf.DUMMYFUNCTION("""COMPUTED_VALUE"""),"The Ninth Gate ")</f>
        <v>The Ninth Gate </v>
      </c>
      <c r="H1273" s="2">
        <v>-19346254</v>
      </c>
    </row>
    <row r="1274" spans="7:8" x14ac:dyDescent="0.25">
      <c r="G1274" s="2" t="str">
        <f ca="1">IFERROR(__xludf.DUMMYFUNCTION("""COMPUTED_VALUE"""),"Extreme Measures ")</f>
        <v>Extreme Measures </v>
      </c>
      <c r="H1274" s="2">
        <v>-20694789</v>
      </c>
    </row>
    <row r="1275" spans="7:8" x14ac:dyDescent="0.25">
      <c r="G1275" s="2" t="str">
        <f ca="1">IFERROR(__xludf.DUMMYFUNCTION("""COMPUTED_VALUE"""),"Rock Star ")</f>
        <v>Rock Star </v>
      </c>
      <c r="H1275" s="2">
        <v>-40008098</v>
      </c>
    </row>
    <row r="1276" spans="7:8" x14ac:dyDescent="0.25">
      <c r="G1276" s="2" t="str">
        <f ca="1">IFERROR(__xludf.DUMMYFUNCTION("""COMPUTED_VALUE"""),"Precious ")</f>
        <v>Precious </v>
      </c>
      <c r="H1276" s="2">
        <v>37536959</v>
      </c>
    </row>
    <row r="1277" spans="7:8" x14ac:dyDescent="0.25">
      <c r="G1277" s="2" t="str">
        <f ca="1">IFERROR(__xludf.DUMMYFUNCTION("""COMPUTED_VALUE"""),"White Squall ")</f>
        <v>White Squall </v>
      </c>
      <c r="H1277" s="2">
        <v>-27700000</v>
      </c>
    </row>
    <row r="1278" spans="7:8" x14ac:dyDescent="0.25">
      <c r="G1278" s="2" t="str">
        <f ca="1">IFERROR(__xludf.DUMMYFUNCTION("""COMPUTED_VALUE"""),"The Thing ")</f>
        <v>The Thing </v>
      </c>
      <c r="H1278" s="2">
        <v>-1217162</v>
      </c>
    </row>
    <row r="1279" spans="7:8" x14ac:dyDescent="0.25">
      <c r="G1279" s="2" t="str">
        <f ca="1">IFERROR(__xludf.DUMMYFUNCTION("""COMPUTED_VALUE"""),"Riddick ")</f>
        <v>Riddick </v>
      </c>
      <c r="H1279" s="2">
        <v>3997790</v>
      </c>
    </row>
    <row r="1280" spans="7:8" x14ac:dyDescent="0.25">
      <c r="G1280" s="2" t="str">
        <f ca="1">IFERROR(__xludf.DUMMYFUNCTION("""COMPUTED_VALUE"""),"Switchback ")</f>
        <v>Switchback </v>
      </c>
      <c r="H1280" s="2">
        <v>-30517805</v>
      </c>
    </row>
    <row r="1281" spans="7:8" x14ac:dyDescent="0.25">
      <c r="G1281" s="2" t="str">
        <f ca="1">IFERROR(__xludf.DUMMYFUNCTION("""COMPUTED_VALUE"""),"Texas Rangers ")</f>
        <v>Texas Rangers </v>
      </c>
      <c r="H1281" s="2">
        <v>-37376626</v>
      </c>
    </row>
    <row r="1282" spans="7:8" x14ac:dyDescent="0.25">
      <c r="G1282" s="2" t="str">
        <f ca="1">IFERROR(__xludf.DUMMYFUNCTION("""COMPUTED_VALUE"""),"City of Ember ")</f>
        <v>City of Ember </v>
      </c>
      <c r="H1282" s="2">
        <v>-47128307</v>
      </c>
    </row>
    <row r="1283" spans="7:8" x14ac:dyDescent="0.25">
      <c r="G1283" s="2" t="str">
        <f ca="1">IFERROR(__xludf.DUMMYFUNCTION("""COMPUTED_VALUE"""),"The Master ")</f>
        <v>The Master </v>
      </c>
      <c r="H1283" s="2">
        <v>-15622726</v>
      </c>
    </row>
    <row r="1284" spans="7:8" x14ac:dyDescent="0.25">
      <c r="G1284" s="2" t="str">
        <f ca="1">IFERROR(__xludf.DUMMYFUNCTION("""COMPUTED_VALUE"""),"The Express ")</f>
        <v>The Express </v>
      </c>
      <c r="H1284" s="2">
        <v>-30410125</v>
      </c>
    </row>
    <row r="1285" spans="7:8" x14ac:dyDescent="0.25">
      <c r="G1285" s="2" t="str">
        <f ca="1">IFERROR(__xludf.DUMMYFUNCTION("""COMPUTED_VALUE"""),"The 5th Wave ")</f>
        <v>The 5th Wave </v>
      </c>
      <c r="H1285" s="2">
        <v>-3087018</v>
      </c>
    </row>
    <row r="1286" spans="7:8" x14ac:dyDescent="0.25">
      <c r="G1286" s="2" t="str">
        <f ca="1">IFERROR(__xludf.DUMMYFUNCTION("""COMPUTED_VALUE"""),"Creed ")</f>
        <v>Creed </v>
      </c>
      <c r="H1286" s="2">
        <v>74712885</v>
      </c>
    </row>
    <row r="1287" spans="7:8" x14ac:dyDescent="0.25">
      <c r="G1287" s="2" t="str">
        <f ca="1">IFERROR(__xludf.DUMMYFUNCTION("""COMPUTED_VALUE"""),"The Town ")</f>
        <v>The Town </v>
      </c>
      <c r="H1287" s="2">
        <v>55173235</v>
      </c>
    </row>
    <row r="1288" spans="7:8" x14ac:dyDescent="0.25">
      <c r="G1288" s="2" t="str">
        <f ca="1">IFERROR(__xludf.DUMMYFUNCTION("""COMPUTED_VALUE"""),"What to Expect When You're Expecting ")</f>
        <v>What to Expect When You're Expecting </v>
      </c>
      <c r="H1288" s="2">
        <v>1102171</v>
      </c>
    </row>
    <row r="1289" spans="7:8" x14ac:dyDescent="0.25">
      <c r="G1289" s="2" t="str">
        <f ca="1">IFERROR(__xludf.DUMMYFUNCTION("""COMPUTED_VALUE"""),"Burn After Reading ")</f>
        <v>Burn After Reading </v>
      </c>
      <c r="H1289" s="2">
        <v>23338891</v>
      </c>
    </row>
    <row r="1290" spans="7:8" x14ac:dyDescent="0.25">
      <c r="G1290" s="2" t="str">
        <f ca="1">IFERROR(__xludf.DUMMYFUNCTION("""COMPUTED_VALUE"""),"Nim's Island ")</f>
        <v>Nim's Island </v>
      </c>
      <c r="H1290" s="2">
        <v>11006503</v>
      </c>
    </row>
    <row r="1291" spans="7:8" x14ac:dyDescent="0.25">
      <c r="G1291" s="2" t="str">
        <f ca="1">IFERROR(__xludf.DUMMYFUNCTION("""COMPUTED_VALUE"""),"Rush ")</f>
        <v>Rush </v>
      </c>
      <c r="H1291" s="2">
        <v>-11096291</v>
      </c>
    </row>
    <row r="1292" spans="7:8" x14ac:dyDescent="0.25">
      <c r="G1292" s="2" t="str">
        <f ca="1">IFERROR(__xludf.DUMMYFUNCTION("""COMPUTED_VALUE"""),"Magnolia ")</f>
        <v>Magnolia </v>
      </c>
      <c r="H1292" s="2">
        <v>-14549025</v>
      </c>
    </row>
    <row r="1293" spans="7:8" x14ac:dyDescent="0.25">
      <c r="G1293" s="2" t="str">
        <f ca="1">IFERROR(__xludf.DUMMYFUNCTION("""COMPUTED_VALUE"""),"Cop Out ")</f>
        <v>Cop Out </v>
      </c>
      <c r="H1293" s="2">
        <v>7867349</v>
      </c>
    </row>
    <row r="1294" spans="7:8" x14ac:dyDescent="0.25">
      <c r="G1294" s="2" t="str">
        <f ca="1">IFERROR(__xludf.DUMMYFUNCTION("""COMPUTED_VALUE"""),"How to Be Single ")</f>
        <v>How to Be Single </v>
      </c>
      <c r="H1294" s="2">
        <v>8813366</v>
      </c>
    </row>
    <row r="1295" spans="7:8" x14ac:dyDescent="0.25">
      <c r="G1295" s="2" t="str">
        <f ca="1">IFERROR(__xludf.DUMMYFUNCTION("""COMPUTED_VALUE"""),"Dolphin Tale ")</f>
        <v>Dolphin Tale </v>
      </c>
      <c r="H1295" s="2">
        <v>35279690</v>
      </c>
    </row>
    <row r="1296" spans="7:8" x14ac:dyDescent="0.25">
      <c r="G1296" s="2" t="str">
        <f ca="1">IFERROR(__xludf.DUMMYFUNCTION("""COMPUTED_VALUE"""),"Twilight ")</f>
        <v>Twilight </v>
      </c>
      <c r="H1296" s="2">
        <v>154449475</v>
      </c>
    </row>
    <row r="1297" spans="7:8" x14ac:dyDescent="0.25">
      <c r="G1297" s="2" t="str">
        <f ca="1">IFERROR(__xludf.DUMMYFUNCTION("""COMPUTED_VALUE"""),"John Q ")</f>
        <v>John Q </v>
      </c>
      <c r="H1297" s="2">
        <v>35026631</v>
      </c>
    </row>
    <row r="1298" spans="7:8" x14ac:dyDescent="0.25">
      <c r="G1298" s="2" t="str">
        <f ca="1">IFERROR(__xludf.DUMMYFUNCTION("""COMPUTED_VALUE"""),"Blue Streak ")</f>
        <v>Blue Streak </v>
      </c>
      <c r="H1298" s="2">
        <v>3208190</v>
      </c>
    </row>
    <row r="1299" spans="7:8" x14ac:dyDescent="0.25">
      <c r="G1299" s="2" t="str">
        <f ca="1">IFERROR(__xludf.DUMMYFUNCTION("""COMPUTED_VALUE"""),"We're the Millers ")</f>
        <v>We're the Millers </v>
      </c>
      <c r="H1299" s="2">
        <v>113368971</v>
      </c>
    </row>
    <row r="1300" spans="7:8" x14ac:dyDescent="0.25">
      <c r="G1300" s="2" t="str">
        <f ca="1">IFERROR(__xludf.DUMMYFUNCTION("""COMPUTED_VALUE"""),"Breakdown ")</f>
        <v>Breakdown </v>
      </c>
      <c r="H1300" s="2">
        <v>14129186</v>
      </c>
    </row>
    <row r="1301" spans="7:8" x14ac:dyDescent="0.25">
      <c r="G1301" s="2" t="str">
        <f ca="1">IFERROR(__xludf.DUMMYFUNCTION("""COMPUTED_VALUE"""),"Never Say Never Again ")</f>
        <v>Never Say Never Again </v>
      </c>
      <c r="H1301" s="2">
        <v>19500000</v>
      </c>
    </row>
    <row r="1302" spans="7:8" x14ac:dyDescent="0.25">
      <c r="G1302" s="2" t="str">
        <f ca="1">IFERROR(__xludf.DUMMYFUNCTION("""COMPUTED_VALUE"""),"Hot Tub Time Machine ")</f>
        <v>Hot Tub Time Machine </v>
      </c>
      <c r="H1302" s="2">
        <v>14213619</v>
      </c>
    </row>
    <row r="1303" spans="7:8" x14ac:dyDescent="0.25">
      <c r="G1303" s="2" t="str">
        <f ca="1">IFERROR(__xludf.DUMMYFUNCTION("""COMPUTED_VALUE"""),"Dolphin Tale 2 ")</f>
        <v>Dolphin Tale 2 </v>
      </c>
      <c r="H1303" s="2">
        <v>6019483</v>
      </c>
    </row>
    <row r="1304" spans="7:8" x14ac:dyDescent="0.25">
      <c r="G1304" s="2" t="str">
        <f ca="1">IFERROR(__xludf.DUMMYFUNCTION("""COMPUTED_VALUE"""),"Reindeer Games ")</f>
        <v>Reindeer Games </v>
      </c>
      <c r="H1304" s="2">
        <v>-10639221</v>
      </c>
    </row>
    <row r="1305" spans="7:8" x14ac:dyDescent="0.25">
      <c r="G1305" s="2" t="str">
        <f ca="1">IFERROR(__xludf.DUMMYFUNCTION("""COMPUTED_VALUE"""),"A Man Apart ")</f>
        <v>A Man Apart </v>
      </c>
      <c r="H1305" s="2">
        <v>-9816803</v>
      </c>
    </row>
    <row r="1306" spans="7:8" x14ac:dyDescent="0.25">
      <c r="G1306" s="2" t="str">
        <f ca="1">IFERROR(__xludf.DUMMYFUNCTION("""COMPUTED_VALUE"""),"Aloha ")</f>
        <v>Aloha </v>
      </c>
      <c r="H1306" s="2">
        <v>-16008503</v>
      </c>
    </row>
    <row r="1307" spans="7:8" x14ac:dyDescent="0.25">
      <c r="G1307" s="2" t="str">
        <f ca="1">IFERROR(__xludf.DUMMYFUNCTION("""COMPUTED_VALUE"""),"Ghosts of Mississippi ")</f>
        <v>Ghosts of Mississippi </v>
      </c>
      <c r="H1307" s="2">
        <v>-22947259</v>
      </c>
    </row>
    <row r="1308" spans="7:8" x14ac:dyDescent="0.25">
      <c r="G1308" s="2" t="str">
        <f ca="1">IFERROR(__xludf.DUMMYFUNCTION("""COMPUTED_VALUE"""),"Snow Falling on Cedars ")</f>
        <v>Snow Falling on Cedars </v>
      </c>
      <c r="H1308" s="2">
        <v>-21621647</v>
      </c>
    </row>
    <row r="1309" spans="7:8" x14ac:dyDescent="0.25">
      <c r="G1309" s="2" t="str">
        <f ca="1">IFERROR(__xludf.DUMMYFUNCTION("""COMPUTED_VALUE"""),"The Rite ")</f>
        <v>The Rite </v>
      </c>
      <c r="H1309" s="2">
        <v>-3962246</v>
      </c>
    </row>
    <row r="1310" spans="7:8" x14ac:dyDescent="0.25">
      <c r="G1310" s="2" t="str">
        <f ca="1">IFERROR(__xludf.DUMMYFUNCTION("""COMPUTED_VALUE"""),"Gattaca ")</f>
        <v>Gattaca </v>
      </c>
      <c r="H1310" s="2">
        <v>-23660367</v>
      </c>
    </row>
    <row r="1311" spans="7:8" x14ac:dyDescent="0.25">
      <c r="G1311" s="2" t="str">
        <f ca="1">IFERROR(__xludf.DUMMYFUNCTION("""COMPUTED_VALUE"""),"Isn't She Great ")</f>
        <v>Isn't She Great </v>
      </c>
      <c r="H1311" s="2">
        <v>-33045595</v>
      </c>
    </row>
    <row r="1312" spans="7:8" x14ac:dyDescent="0.25">
      <c r="G1312" s="2" t="str">
        <f ca="1">IFERROR(__xludf.DUMMYFUNCTION("""COMPUTED_VALUE"""),"Space Chimps ")</f>
        <v>Space Chimps </v>
      </c>
      <c r="H1312" s="2">
        <v>-6894032</v>
      </c>
    </row>
    <row r="1313" spans="7:8" x14ac:dyDescent="0.25">
      <c r="G1313" s="2" t="str">
        <f ca="1">IFERROR(__xludf.DUMMYFUNCTION("""COMPUTED_VALUE"""),"Head of State ")</f>
        <v>Head of State </v>
      </c>
      <c r="H1313" s="2">
        <v>2588228</v>
      </c>
    </row>
    <row r="1314" spans="7:8" x14ac:dyDescent="0.25">
      <c r="G1314" s="2" t="str">
        <f ca="1">IFERROR(__xludf.DUMMYFUNCTION("""COMPUTED_VALUE"""),"The Hangover ")</f>
        <v>The Hangover </v>
      </c>
      <c r="H1314" s="2">
        <v>242313371</v>
      </c>
    </row>
    <row r="1315" spans="7:8" x14ac:dyDescent="0.25">
      <c r="G1315" s="2" t="str">
        <f ca="1">IFERROR(__xludf.DUMMYFUNCTION("""COMPUTED_VALUE"""),"Ip Man 3 ")</f>
        <v>Ip Man 3 </v>
      </c>
      <c r="H1315" s="2">
        <v>-33873489</v>
      </c>
    </row>
    <row r="1316" spans="7:8" x14ac:dyDescent="0.25">
      <c r="G1316" s="2" t="str">
        <f ca="1">IFERROR(__xludf.DUMMYFUNCTION("""COMPUTED_VALUE"""),"Austin Powers: The Spy Who Shagged Me ")</f>
        <v>Austin Powers: The Spy Who Shagged Me </v>
      </c>
      <c r="H1316" s="2">
        <v>172399422</v>
      </c>
    </row>
    <row r="1317" spans="7:8" x14ac:dyDescent="0.25">
      <c r="G1317" s="2" t="str">
        <f ca="1">IFERROR(__xludf.DUMMYFUNCTION("""COMPUTED_VALUE"""),"Batman ")</f>
        <v>Batman </v>
      </c>
      <c r="H1317" s="2">
        <v>216188924</v>
      </c>
    </row>
    <row r="1318" spans="7:8" x14ac:dyDescent="0.25">
      <c r="G1318" s="2" t="str">
        <f ca="1">IFERROR(__xludf.DUMMYFUNCTION("""COMPUTED_VALUE"""),"There Be Dragons ")</f>
        <v>There Be Dragons </v>
      </c>
      <c r="H1318" s="2">
        <v>-34931608</v>
      </c>
    </row>
    <row r="1319" spans="7:8" x14ac:dyDescent="0.25">
      <c r="G1319" s="2" t="str">
        <f ca="1">IFERROR(__xludf.DUMMYFUNCTION("""COMPUTED_VALUE"""),"Lethal Weapon 3 ")</f>
        <v>Lethal Weapon 3 </v>
      </c>
      <c r="H1319" s="2">
        <v>109731527</v>
      </c>
    </row>
    <row r="1320" spans="7:8" x14ac:dyDescent="0.25">
      <c r="G1320" s="2" t="str">
        <f ca="1">IFERROR(__xludf.DUMMYFUNCTION("""COMPUTED_VALUE"""),"The Blind Side ")</f>
        <v>The Blind Side </v>
      </c>
      <c r="H1320" s="2">
        <v>226950375</v>
      </c>
    </row>
    <row r="1321" spans="7:8" x14ac:dyDescent="0.25">
      <c r="G1321" s="2" t="str">
        <f ca="1">IFERROR(__xludf.DUMMYFUNCTION("""COMPUTED_VALUE"""),"Spy Kids ")</f>
        <v>Spy Kids </v>
      </c>
      <c r="H1321" s="2">
        <v>77692062</v>
      </c>
    </row>
    <row r="1322" spans="7:8" x14ac:dyDescent="0.25">
      <c r="G1322" s="2" t="str">
        <f ca="1">IFERROR(__xludf.DUMMYFUNCTION("""COMPUTED_VALUE"""),"Horrible Bosses ")</f>
        <v>Horrible Bosses </v>
      </c>
      <c r="H1322" s="2">
        <v>82528646</v>
      </c>
    </row>
    <row r="1323" spans="7:8" x14ac:dyDescent="0.25">
      <c r="G1323" s="2" t="str">
        <f ca="1">IFERROR(__xludf.DUMMYFUNCTION("""COMPUTED_VALUE"""),"True Grit ")</f>
        <v>True Grit </v>
      </c>
      <c r="H1323" s="2">
        <v>133031347</v>
      </c>
    </row>
    <row r="1324" spans="7:8" x14ac:dyDescent="0.25">
      <c r="G1324" s="2" t="str">
        <f ca="1">IFERROR(__xludf.DUMMYFUNCTION("""COMPUTED_VALUE"""),"The Devil Wears Prada ")</f>
        <v>The Devil Wears Prada </v>
      </c>
      <c r="H1324" s="2">
        <v>89732962</v>
      </c>
    </row>
    <row r="1325" spans="7:8" x14ac:dyDescent="0.25">
      <c r="G1325" s="2" t="str">
        <f ca="1">IFERROR(__xludf.DUMMYFUNCTION("""COMPUTED_VALUE"""),"Star Trek: The Motion Picture ")</f>
        <v>Star Trek: The Motion Picture </v>
      </c>
      <c r="H1325" s="2">
        <v>47300000</v>
      </c>
    </row>
    <row r="1326" spans="7:8" x14ac:dyDescent="0.25">
      <c r="G1326" s="2" t="str">
        <f ca="1">IFERROR(__xludf.DUMMYFUNCTION("""COMPUTED_VALUE"""),"Identity Thief ")</f>
        <v>Identity Thief </v>
      </c>
      <c r="H1326" s="2">
        <v>99455175</v>
      </c>
    </row>
    <row r="1327" spans="7:8" x14ac:dyDescent="0.25">
      <c r="G1327" s="2" t="str">
        <f ca="1">IFERROR(__xludf.DUMMYFUNCTION("""COMPUTED_VALUE"""),"Cape Fear ")</f>
        <v>Cape Fear </v>
      </c>
      <c r="H1327" s="2">
        <v>44100000</v>
      </c>
    </row>
    <row r="1328" spans="7:8" x14ac:dyDescent="0.25">
      <c r="G1328" s="2" t="str">
        <f ca="1">IFERROR(__xludf.DUMMYFUNCTION("""COMPUTED_VALUE"""),"21 ")</f>
        <v>21 </v>
      </c>
      <c r="H1328" s="2">
        <v>46159365</v>
      </c>
    </row>
    <row r="1329" spans="7:8" x14ac:dyDescent="0.25">
      <c r="G1329" s="2" t="str">
        <f ca="1">IFERROR(__xludf.DUMMYFUNCTION("""COMPUTED_VALUE"""),"Trainwreck ")</f>
        <v>Trainwreck </v>
      </c>
      <c r="H1329" s="2">
        <v>75008260</v>
      </c>
    </row>
    <row r="1330" spans="7:8" x14ac:dyDescent="0.25">
      <c r="G1330" s="2" t="str">
        <f ca="1">IFERROR(__xludf.DUMMYFUNCTION("""COMPUTED_VALUE"""),"Guess Who ")</f>
        <v>Guess Who </v>
      </c>
      <c r="H1330" s="2">
        <v>32962333</v>
      </c>
    </row>
    <row r="1331" spans="7:8" x14ac:dyDescent="0.25">
      <c r="G1331" s="2" t="str">
        <f ca="1">IFERROR(__xludf.DUMMYFUNCTION("""COMPUTED_VALUE"""),"The English Patient ")</f>
        <v>The English Patient </v>
      </c>
      <c r="H1331" s="2">
        <v>51651430</v>
      </c>
    </row>
    <row r="1332" spans="7:8" x14ac:dyDescent="0.25">
      <c r="G1332" s="2" t="str">
        <f ca="1">IFERROR(__xludf.DUMMYFUNCTION("""COMPUTED_VALUE"""),"L.A. Confidential ")</f>
        <v>L.A. Confidential </v>
      </c>
      <c r="H1332" s="2">
        <v>29604977</v>
      </c>
    </row>
    <row r="1333" spans="7:8" x14ac:dyDescent="0.25">
      <c r="G1333" s="2" t="str">
        <f ca="1">IFERROR(__xludf.DUMMYFUNCTION("""COMPUTED_VALUE"""),"Sky High ")</f>
        <v>Sky High </v>
      </c>
      <c r="H1333" s="2">
        <v>28939454</v>
      </c>
    </row>
    <row r="1334" spans="7:8" x14ac:dyDescent="0.25">
      <c r="G1334" s="2" t="str">
        <f ca="1">IFERROR(__xludf.DUMMYFUNCTION("""COMPUTED_VALUE"""),"In &amp; Out ")</f>
        <v>In &amp; Out </v>
      </c>
      <c r="H1334" s="2">
        <v>28826569</v>
      </c>
    </row>
    <row r="1335" spans="7:8" x14ac:dyDescent="0.25">
      <c r="G1335" s="2" t="str">
        <f ca="1">IFERROR(__xludf.DUMMYFUNCTION("""COMPUTED_VALUE"""),"Species ")</f>
        <v>Species </v>
      </c>
      <c r="H1335" s="2">
        <v>25054449</v>
      </c>
    </row>
    <row r="1336" spans="7:8" x14ac:dyDescent="0.25">
      <c r="G1336" s="2" t="str">
        <f ca="1">IFERROR(__xludf.DUMMYFUNCTION("""COMPUTED_VALUE"""),"A Nightmare on Elm Street ")</f>
        <v>A Nightmare on Elm Street </v>
      </c>
      <c r="H1336" s="2">
        <v>24705000</v>
      </c>
    </row>
    <row r="1337" spans="7:8" x14ac:dyDescent="0.25">
      <c r="G1337" s="2" t="str">
        <f ca="1">IFERROR(__xludf.DUMMYFUNCTION("""COMPUTED_VALUE"""),"The Cell ")</f>
        <v>The Cell </v>
      </c>
      <c r="H1337" s="2">
        <v>28280963</v>
      </c>
    </row>
    <row r="1338" spans="7:8" x14ac:dyDescent="0.25">
      <c r="G1338" s="2" t="str">
        <f ca="1">IFERROR(__xludf.DUMMYFUNCTION("""COMPUTED_VALUE"""),"The Man in the Iron Mask ")</f>
        <v>The Man in the Iron Mask </v>
      </c>
      <c r="H1338" s="2">
        <v>21876365</v>
      </c>
    </row>
    <row r="1339" spans="7:8" x14ac:dyDescent="0.25">
      <c r="G1339" s="2" t="str">
        <f ca="1">IFERROR(__xludf.DUMMYFUNCTION("""COMPUTED_VALUE"""),"Secretariat ")</f>
        <v>Secretariat </v>
      </c>
      <c r="H1339" s="2">
        <v>24699513</v>
      </c>
    </row>
    <row r="1340" spans="7:8" x14ac:dyDescent="0.25">
      <c r="G1340" s="2" t="str">
        <f ca="1">IFERROR(__xludf.DUMMYFUNCTION("""COMPUTED_VALUE"""),"TMNT ")</f>
        <v>TMNT </v>
      </c>
      <c r="H1340" s="2">
        <v>20132596</v>
      </c>
    </row>
    <row r="1341" spans="7:8" x14ac:dyDescent="0.25">
      <c r="G1341" s="2" t="str">
        <f ca="1">IFERROR(__xludf.DUMMYFUNCTION("""COMPUTED_VALUE"""),"Radio ")</f>
        <v>Radio </v>
      </c>
      <c r="H1341" s="2">
        <v>17277485</v>
      </c>
    </row>
    <row r="1342" spans="7:8" x14ac:dyDescent="0.25">
      <c r="G1342" s="2" t="str">
        <f ca="1">IFERROR(__xludf.DUMMYFUNCTION("""COMPUTED_VALUE"""),"Friends with Benefits ")</f>
        <v>Friends with Benefits </v>
      </c>
      <c r="H1342" s="2">
        <v>20802754</v>
      </c>
    </row>
    <row r="1343" spans="7:8" x14ac:dyDescent="0.25">
      <c r="G1343" s="2" t="str">
        <f ca="1">IFERROR(__xludf.DUMMYFUNCTION("""COMPUTED_VALUE"""),"Neighbors 2: Sorority Rising ")</f>
        <v>Neighbors 2: Sorority Rising </v>
      </c>
      <c r="H1343" s="2">
        <v>20291815</v>
      </c>
    </row>
    <row r="1344" spans="7:8" x14ac:dyDescent="0.25">
      <c r="G1344" s="2" t="str">
        <f ca="1">IFERROR(__xludf.DUMMYFUNCTION("""COMPUTED_VALUE"""),"Saving Mr. Banks ")</f>
        <v>Saving Mr. Banks </v>
      </c>
      <c r="H1344" s="2">
        <v>48299761</v>
      </c>
    </row>
    <row r="1345" spans="7:8" x14ac:dyDescent="0.25">
      <c r="G1345" s="2" t="str">
        <f ca="1">IFERROR(__xludf.DUMMYFUNCTION("""COMPUTED_VALUE"""),"Malcolm X ")</f>
        <v>Malcolm X </v>
      </c>
      <c r="H1345" s="2">
        <v>15169908</v>
      </c>
    </row>
    <row r="1346" spans="7:8" x14ac:dyDescent="0.25">
      <c r="G1346" s="2" t="str">
        <f ca="1">IFERROR(__xludf.DUMMYFUNCTION("""COMPUTED_VALUE"""),"This Is 40 ")</f>
        <v>This Is 40 </v>
      </c>
      <c r="H1346" s="2">
        <v>32523385</v>
      </c>
    </row>
    <row r="1347" spans="7:8" x14ac:dyDescent="0.25">
      <c r="G1347" s="2" t="str">
        <f ca="1">IFERROR(__xludf.DUMMYFUNCTION("""COMPUTED_VALUE"""),"Old Dogs ")</f>
        <v>Old Dogs </v>
      </c>
      <c r="H1347" s="2">
        <v>14474048</v>
      </c>
    </row>
    <row r="1348" spans="7:8" x14ac:dyDescent="0.25">
      <c r="G1348" s="2" t="str">
        <f ca="1">IFERROR(__xludf.DUMMYFUNCTION("""COMPUTED_VALUE"""),"Underworld: Rise of the Lycans ")</f>
        <v>Underworld: Rise of the Lycans </v>
      </c>
      <c r="H1348" s="2">
        <v>10802315</v>
      </c>
    </row>
    <row r="1349" spans="7:8" x14ac:dyDescent="0.25">
      <c r="G1349" s="2" t="str">
        <f ca="1">IFERROR(__xludf.DUMMYFUNCTION("""COMPUTED_VALUE"""),"License to Wed ")</f>
        <v>License to Wed </v>
      </c>
      <c r="H1349" s="2">
        <v>8792641</v>
      </c>
    </row>
    <row r="1350" spans="7:8" x14ac:dyDescent="0.25">
      <c r="G1350" s="2" t="str">
        <f ca="1">IFERROR(__xludf.DUMMYFUNCTION("""COMPUTED_VALUE"""),"The Benchwarmers ")</f>
        <v>The Benchwarmers </v>
      </c>
      <c r="H1350" s="2">
        <v>24651794</v>
      </c>
    </row>
    <row r="1351" spans="7:8" x14ac:dyDescent="0.25">
      <c r="G1351" s="2" t="str">
        <f ca="1">IFERROR(__xludf.DUMMYFUNCTION("""COMPUTED_VALUE"""),"Must Love Dogs ")</f>
        <v>Must Love Dogs </v>
      </c>
      <c r="H1351" s="2">
        <v>13894863</v>
      </c>
    </row>
    <row r="1352" spans="7:8" x14ac:dyDescent="0.25">
      <c r="G1352" s="2" t="str">
        <f ca="1">IFERROR(__xludf.DUMMYFUNCTION("""COMPUTED_VALUE"""),"Donnie Brasco ")</f>
        <v>Donnie Brasco </v>
      </c>
      <c r="H1352" s="2">
        <v>6954997</v>
      </c>
    </row>
    <row r="1353" spans="7:8" x14ac:dyDescent="0.25">
      <c r="G1353" s="2" t="str">
        <f ca="1">IFERROR(__xludf.DUMMYFUNCTION("""COMPUTED_VALUE"""),"Resident Evil ")</f>
        <v>Resident Evil </v>
      </c>
      <c r="H1353" s="2">
        <v>6532308</v>
      </c>
    </row>
    <row r="1354" spans="7:8" x14ac:dyDescent="0.25">
      <c r="G1354" s="2" t="str">
        <f ca="1">IFERROR(__xludf.DUMMYFUNCTION("""COMPUTED_VALUE"""),"Poltergeist ")</f>
        <v>Poltergeist </v>
      </c>
      <c r="H1354" s="2">
        <v>65900000</v>
      </c>
    </row>
    <row r="1355" spans="7:8" x14ac:dyDescent="0.25">
      <c r="G1355" s="2" t="str">
        <f ca="1">IFERROR(__xludf.DUMMYFUNCTION("""COMPUTED_VALUE"""),"The Ladykillers ")</f>
        <v>The Ladykillers </v>
      </c>
      <c r="H1355" s="2">
        <v>4692139</v>
      </c>
    </row>
    <row r="1356" spans="7:8" x14ac:dyDescent="0.25">
      <c r="G1356" s="2" t="str">
        <f ca="1">IFERROR(__xludf.DUMMYFUNCTION("""COMPUTED_VALUE"""),"Max Payne ")</f>
        <v>Max Payne </v>
      </c>
      <c r="H1356" s="2">
        <v>5687294</v>
      </c>
    </row>
    <row r="1357" spans="7:8" x14ac:dyDescent="0.25">
      <c r="G1357" s="2" t="str">
        <f ca="1">IFERROR(__xludf.DUMMYFUNCTION("""COMPUTED_VALUE"""),"In Time ")</f>
        <v>In Time </v>
      </c>
      <c r="H1357" s="2">
        <v>-2446068</v>
      </c>
    </row>
    <row r="1358" spans="7:8" x14ac:dyDescent="0.25">
      <c r="G1358" s="2" t="str">
        <f ca="1">IFERROR(__xludf.DUMMYFUNCTION("""COMPUTED_VALUE"""),"The Back-up Plan ")</f>
        <v>The Back-up Plan </v>
      </c>
      <c r="H1358" s="2">
        <v>2481242</v>
      </c>
    </row>
    <row r="1359" spans="7:8" x14ac:dyDescent="0.25">
      <c r="G1359" s="2" t="str">
        <f ca="1">IFERROR(__xludf.DUMMYFUNCTION("""COMPUTED_VALUE"""),"Something Borrowed ")</f>
        <v>Something Borrowed </v>
      </c>
      <c r="H1359" s="2">
        <v>4026186</v>
      </c>
    </row>
    <row r="1360" spans="7:8" x14ac:dyDescent="0.25">
      <c r="G1360" s="2" t="str">
        <f ca="1">IFERROR(__xludf.DUMMYFUNCTION("""COMPUTED_VALUE"""),"Black Knight ")</f>
        <v>Black Knight </v>
      </c>
      <c r="H1360" s="2">
        <v>-16577194</v>
      </c>
    </row>
    <row r="1361" spans="7:8" x14ac:dyDescent="0.25">
      <c r="G1361" s="2" t="str">
        <f ca="1">IFERROR(__xludf.DUMMYFUNCTION("""COMPUTED_VALUE"""),"Street Fighter ")</f>
        <v>Street Fighter </v>
      </c>
      <c r="H1361" s="2">
        <v>-1576479</v>
      </c>
    </row>
    <row r="1362" spans="7:8" x14ac:dyDescent="0.25">
      <c r="G1362" s="2" t="str">
        <f ca="1">IFERROR(__xludf.DUMMYFUNCTION("""COMPUTED_VALUE"""),"The Pianist ")</f>
        <v>The Pianist </v>
      </c>
      <c r="H1362" s="2">
        <v>-2480678</v>
      </c>
    </row>
    <row r="1363" spans="7:8" x14ac:dyDescent="0.25">
      <c r="G1363" s="2" t="str">
        <f ca="1">IFERROR(__xludf.DUMMYFUNCTION("""COMPUTED_VALUE"""),"The Nativity Story ")</f>
        <v>The Nativity Story </v>
      </c>
      <c r="H1363" s="2">
        <v>7617947</v>
      </c>
    </row>
    <row r="1364" spans="7:8" x14ac:dyDescent="0.25">
      <c r="G1364" s="2" t="str">
        <f ca="1">IFERROR(__xludf.DUMMYFUNCTION("""COMPUTED_VALUE"""),"House of Wax ")</f>
        <v>House of Wax </v>
      </c>
      <c r="H1364" s="2">
        <v>2048809</v>
      </c>
    </row>
    <row r="1365" spans="7:8" x14ac:dyDescent="0.25">
      <c r="G1365" s="2" t="str">
        <f ca="1">IFERROR(__xludf.DUMMYFUNCTION("""COMPUTED_VALUE"""),"Closer ")</f>
        <v>Closer </v>
      </c>
      <c r="H1365" s="2">
        <v>6987757</v>
      </c>
    </row>
    <row r="1366" spans="7:8" x14ac:dyDescent="0.25">
      <c r="G1366" s="2" t="str">
        <f ca="1">IFERROR(__xludf.DUMMYFUNCTION("""COMPUTED_VALUE"""),"J. Edgar ")</f>
        <v>J. Edgar </v>
      </c>
      <c r="H1366" s="2">
        <v>2304950</v>
      </c>
    </row>
    <row r="1367" spans="7:8" x14ac:dyDescent="0.25">
      <c r="G1367" s="2" t="str">
        <f ca="1">IFERROR(__xludf.DUMMYFUNCTION("""COMPUTED_VALUE"""),"Mirrors ")</f>
        <v>Mirrors </v>
      </c>
      <c r="H1367" s="2">
        <v>-4308561</v>
      </c>
    </row>
    <row r="1368" spans="7:8" x14ac:dyDescent="0.25">
      <c r="G1368" s="2" t="str">
        <f ca="1">IFERROR(__xludf.DUMMYFUNCTION("""COMPUTED_VALUE"""),"Queen of the Damned ")</f>
        <v>Queen of the Damned </v>
      </c>
      <c r="H1368" s="2">
        <v>-4692196</v>
      </c>
    </row>
    <row r="1369" spans="7:8" x14ac:dyDescent="0.25">
      <c r="G1369" s="2" t="str">
        <f ca="1">IFERROR(__xludf.DUMMYFUNCTION("""COMPUTED_VALUE"""),"Predator 2 ")</f>
        <v>Predator 2 </v>
      </c>
      <c r="H1369" s="2">
        <v>-4330587</v>
      </c>
    </row>
    <row r="1370" spans="7:8" x14ac:dyDescent="0.25">
      <c r="G1370" s="2" t="str">
        <f ca="1">IFERROR(__xludf.DUMMYFUNCTION("""COMPUTED_VALUE"""),"Untraceable ")</f>
        <v>Untraceable </v>
      </c>
      <c r="H1370" s="2">
        <v>-6312165</v>
      </c>
    </row>
    <row r="1371" spans="7:8" x14ac:dyDescent="0.25">
      <c r="G1371" s="2" t="str">
        <f ca="1">IFERROR(__xludf.DUMMYFUNCTION("""COMPUTED_VALUE"""),"Blast from the Past ")</f>
        <v>Blast from the Past </v>
      </c>
      <c r="H1371" s="2">
        <v>-8505389</v>
      </c>
    </row>
    <row r="1372" spans="7:8" x14ac:dyDescent="0.25">
      <c r="G1372" s="2" t="str">
        <f ca="1">IFERROR(__xludf.DUMMYFUNCTION("""COMPUTED_VALUE"""),"Jersey Girl ")</f>
        <v>Jersey Girl </v>
      </c>
      <c r="H1372" s="2">
        <v>-9733871</v>
      </c>
    </row>
    <row r="1373" spans="7:8" x14ac:dyDescent="0.25">
      <c r="G1373" s="2" t="str">
        <f ca="1">IFERROR(__xludf.DUMMYFUNCTION("""COMPUTED_VALUE"""),"Alex Cross ")</f>
        <v>Alex Cross </v>
      </c>
      <c r="H1373" s="2">
        <v>-9136085</v>
      </c>
    </row>
    <row r="1374" spans="7:8" x14ac:dyDescent="0.25">
      <c r="G1374" s="2" t="str">
        <f ca="1">IFERROR(__xludf.DUMMYFUNCTION("""COMPUTED_VALUE"""),"Midnight in the Garden of Good and Evil ")</f>
        <v>Midnight in the Garden of Good and Evil </v>
      </c>
      <c r="H1374" s="2">
        <v>-4921063</v>
      </c>
    </row>
    <row r="1375" spans="7:8" x14ac:dyDescent="0.25">
      <c r="G1375" s="2" t="str">
        <f ca="1">IFERROR(__xludf.DUMMYFUNCTION("""COMPUTED_VALUE"""),"Nanny McPhee Returns ")</f>
        <v>Nanny McPhee Returns </v>
      </c>
      <c r="H1375" s="2">
        <v>-6004550</v>
      </c>
    </row>
    <row r="1376" spans="7:8" x14ac:dyDescent="0.25">
      <c r="G1376" s="2" t="str">
        <f ca="1">IFERROR(__xludf.DUMMYFUNCTION("""COMPUTED_VALUE"""),"Hoffa ")</f>
        <v>Hoffa </v>
      </c>
      <c r="H1376" s="2">
        <v>-10723500</v>
      </c>
    </row>
    <row r="1377" spans="7:8" x14ac:dyDescent="0.25">
      <c r="G1377" s="2" t="str">
        <f ca="1">IFERROR(__xludf.DUMMYFUNCTION("""COMPUTED_VALUE"""),"The X Files: I Want to Believe ")</f>
        <v>The X Files: I Want to Believe </v>
      </c>
      <c r="H1377" s="2">
        <v>-9018367</v>
      </c>
    </row>
    <row r="1378" spans="7:8" x14ac:dyDescent="0.25">
      <c r="G1378" s="2" t="str">
        <f ca="1">IFERROR(__xludf.DUMMYFUNCTION("""COMPUTED_VALUE"""),"Ella Enchanted ")</f>
        <v>Ella Enchanted </v>
      </c>
      <c r="H1378" s="2">
        <v>-12086323</v>
      </c>
    </row>
    <row r="1379" spans="7:8" x14ac:dyDescent="0.25">
      <c r="G1379" s="2" t="str">
        <f ca="1">IFERROR(__xludf.DUMMYFUNCTION("""COMPUTED_VALUE"""),"Concussion ")</f>
        <v>Concussion </v>
      </c>
      <c r="H1379" s="2">
        <v>-468168</v>
      </c>
    </row>
    <row r="1380" spans="7:8" x14ac:dyDescent="0.25">
      <c r="G1380" s="2" t="str">
        <f ca="1">IFERROR(__xludf.DUMMYFUNCTION("""COMPUTED_VALUE"""),"Abduction ")</f>
        <v>Abduction </v>
      </c>
      <c r="H1380" s="2">
        <v>-6935774</v>
      </c>
    </row>
    <row r="1381" spans="7:8" x14ac:dyDescent="0.25">
      <c r="G1381" s="2" t="str">
        <f ca="1">IFERROR(__xludf.DUMMYFUNCTION("""COMPUTED_VALUE"""),"Valiant ")</f>
        <v>Valiant </v>
      </c>
      <c r="H1381" s="2">
        <v>-15552522</v>
      </c>
    </row>
    <row r="1382" spans="7:8" x14ac:dyDescent="0.25">
      <c r="G1382" s="2" t="str">
        <f ca="1">IFERROR(__xludf.DUMMYFUNCTION("""COMPUTED_VALUE"""),"Wonder Boys ")</f>
        <v>Wonder Boys </v>
      </c>
      <c r="H1382" s="2">
        <v>-35610546</v>
      </c>
    </row>
    <row r="1383" spans="7:8" x14ac:dyDescent="0.25">
      <c r="G1383" s="2" t="str">
        <f ca="1">IFERROR(__xludf.DUMMYFUNCTION("""COMPUTED_VALUE"""),"Superhero Movie ")</f>
        <v>Superhero Movie </v>
      </c>
      <c r="H1383" s="2">
        <v>-9128166</v>
      </c>
    </row>
    <row r="1384" spans="7:8" x14ac:dyDescent="0.25">
      <c r="G1384" s="2" t="str">
        <f ca="1">IFERROR(__xludf.DUMMYFUNCTION("""COMPUTED_VALUE"""),"Broken City ")</f>
        <v>Broken City </v>
      </c>
      <c r="H1384" s="2">
        <v>-15307392</v>
      </c>
    </row>
    <row r="1385" spans="7:8" x14ac:dyDescent="0.25">
      <c r="G1385" s="2" t="str">
        <f ca="1">IFERROR(__xludf.DUMMYFUNCTION("""COMPUTED_VALUE"""),"Cursed ")</f>
        <v>Cursed </v>
      </c>
      <c r="H1385" s="2">
        <v>-15705099</v>
      </c>
    </row>
    <row r="1386" spans="7:8" x14ac:dyDescent="0.25">
      <c r="G1386" s="2" t="str">
        <f ca="1">IFERROR(__xludf.DUMMYFUNCTION("""COMPUTED_VALUE"""),"Premium Rush ")</f>
        <v>Premium Rush </v>
      </c>
      <c r="H1386" s="2">
        <v>-14724554</v>
      </c>
    </row>
    <row r="1387" spans="7:8" x14ac:dyDescent="0.25">
      <c r="G1387" s="2" t="str">
        <f ca="1">IFERROR(__xludf.DUMMYFUNCTION("""COMPUTED_VALUE"""),"Hot Pursuit ")</f>
        <v>Hot Pursuit </v>
      </c>
      <c r="H1387" s="2">
        <v>-492921</v>
      </c>
    </row>
    <row r="1388" spans="7:8" x14ac:dyDescent="0.25">
      <c r="G1388" s="2" t="str">
        <f ca="1">IFERROR(__xludf.DUMMYFUNCTION("""COMPUTED_VALUE"""),"The Four Feathers ")</f>
        <v>The Four Feathers </v>
      </c>
      <c r="H1388" s="2">
        <v>-16693834</v>
      </c>
    </row>
    <row r="1389" spans="7:8" x14ac:dyDescent="0.25">
      <c r="G1389" s="2" t="str">
        <f ca="1">IFERROR(__xludf.DUMMYFUNCTION("""COMPUTED_VALUE"""),"Parker ")</f>
        <v>Parker </v>
      </c>
      <c r="H1389" s="2">
        <v>-17390018</v>
      </c>
    </row>
    <row r="1390" spans="7:8" x14ac:dyDescent="0.25">
      <c r="G1390" s="2" t="str">
        <f ca="1">IFERROR(__xludf.DUMMYFUNCTION("""COMPUTED_VALUE"""),"Wimbledon ")</f>
        <v>Wimbledon </v>
      </c>
      <c r="H1390" s="2">
        <v>-14168495</v>
      </c>
    </row>
    <row r="1391" spans="7:8" x14ac:dyDescent="0.25">
      <c r="G1391" s="2" t="str">
        <f ca="1">IFERROR(__xludf.DUMMYFUNCTION("""COMPUTED_VALUE"""),"Furry Vengeance ")</f>
        <v>Furry Vengeance </v>
      </c>
      <c r="H1391" s="2">
        <v>-17403744</v>
      </c>
    </row>
    <row r="1392" spans="7:8" x14ac:dyDescent="0.25">
      <c r="G1392" s="2" t="str">
        <f ca="1">IFERROR(__xludf.DUMMYFUNCTION("""COMPUTED_VALUE"""),"Lions for Lambs ")</f>
        <v>Lions for Lambs </v>
      </c>
      <c r="H1392" s="2">
        <v>-20001930</v>
      </c>
    </row>
    <row r="1393" spans="7:8" x14ac:dyDescent="0.25">
      <c r="G1393" s="2" t="str">
        <f ca="1">IFERROR(__xludf.DUMMYFUNCTION("""COMPUTED_VALUE"""),"Flight of the Intruder ")</f>
        <v>Flight of the Intruder </v>
      </c>
      <c r="H1393" s="2">
        <v>-20412268</v>
      </c>
    </row>
    <row r="1394" spans="7:8" x14ac:dyDescent="0.25">
      <c r="G1394" s="2" t="str">
        <f ca="1">IFERROR(__xludf.DUMMYFUNCTION("""COMPUTED_VALUE"""),"Walk Hard: The Dewey Cox Story ")</f>
        <v>Walk Hard: The Dewey Cox Story </v>
      </c>
      <c r="H1394" s="2">
        <v>-16682849</v>
      </c>
    </row>
    <row r="1395" spans="7:8" x14ac:dyDescent="0.25">
      <c r="G1395" s="2" t="str">
        <f ca="1">IFERROR(__xludf.DUMMYFUNCTION("""COMPUTED_VALUE"""),"The Shipping News ")</f>
        <v>The Shipping News </v>
      </c>
      <c r="H1395" s="2">
        <v>-23594175</v>
      </c>
    </row>
    <row r="1396" spans="7:8" x14ac:dyDescent="0.25">
      <c r="G1396" s="2" t="str">
        <f ca="1">IFERROR(__xludf.DUMMYFUNCTION("""COMPUTED_VALUE"""),"American Outlaws ")</f>
        <v>American Outlaws </v>
      </c>
      <c r="H1396" s="2">
        <v>-21735014</v>
      </c>
    </row>
    <row r="1397" spans="7:8" x14ac:dyDescent="0.25">
      <c r="G1397" s="2" t="str">
        <f ca="1">IFERROR(__xludf.DUMMYFUNCTION("""COMPUTED_VALUE"""),"The Young Victoria ")</f>
        <v>The Young Victoria </v>
      </c>
      <c r="H1397" s="2">
        <v>-24008619</v>
      </c>
    </row>
    <row r="1398" spans="7:8" x14ac:dyDescent="0.25">
      <c r="G1398" s="2" t="str">
        <f ca="1">IFERROR(__xludf.DUMMYFUNCTION("""COMPUTED_VALUE"""),"Whiteout ")</f>
        <v>Whiteout </v>
      </c>
      <c r="H1398" s="2">
        <v>-24731154</v>
      </c>
    </row>
    <row r="1399" spans="7:8" x14ac:dyDescent="0.25">
      <c r="G1399" s="2" t="str">
        <f ca="1">IFERROR(__xludf.DUMMYFUNCTION("""COMPUTED_VALUE"""),"The Tree of Life ")</f>
        <v>The Tree of Life </v>
      </c>
      <c r="H1399" s="2">
        <v>-18696681</v>
      </c>
    </row>
    <row r="1400" spans="7:8" x14ac:dyDescent="0.25">
      <c r="G1400" s="2" t="str">
        <f ca="1">IFERROR(__xludf.DUMMYFUNCTION("""COMPUTED_VALUE"""),"Knock Off ")</f>
        <v>Knock Off </v>
      </c>
      <c r="H1400" s="2">
        <v>-24923864</v>
      </c>
    </row>
    <row r="1401" spans="7:8" x14ac:dyDescent="0.25">
      <c r="G1401" s="2" t="str">
        <f ca="1">IFERROR(__xludf.DUMMYFUNCTION("""COMPUTED_VALUE"""),"Sabotage ")</f>
        <v>Sabotage </v>
      </c>
      <c r="H1401" s="2">
        <v>-24500032</v>
      </c>
    </row>
    <row r="1402" spans="7:8" x14ac:dyDescent="0.25">
      <c r="G1402" s="2" t="str">
        <f ca="1">IFERROR(__xludf.DUMMYFUNCTION("""COMPUTED_VALUE"""),"The Order ")</f>
        <v>The Order </v>
      </c>
      <c r="H1402" s="2">
        <v>-30340253</v>
      </c>
    </row>
    <row r="1403" spans="7:8" x14ac:dyDescent="0.25">
      <c r="G1403" s="2" t="str">
        <f ca="1">IFERROR(__xludf.DUMMYFUNCTION("""COMPUTED_VALUE"""),"Punisher: War Zone ")</f>
        <v>Punisher: War Zone </v>
      </c>
      <c r="H1403" s="2">
        <v>-27051841</v>
      </c>
    </row>
    <row r="1404" spans="7:8" x14ac:dyDescent="0.25">
      <c r="G1404" s="2" t="str">
        <f ca="1">IFERROR(__xludf.DUMMYFUNCTION("""COMPUTED_VALUE"""),"Zoom ")</f>
        <v>Zoom </v>
      </c>
      <c r="H1404" s="2">
        <v>-23368755</v>
      </c>
    </row>
    <row r="1405" spans="7:8" x14ac:dyDescent="0.25">
      <c r="G1405" s="2" t="str">
        <f ca="1">IFERROR(__xludf.DUMMYFUNCTION("""COMPUTED_VALUE"""),"The Walk ")</f>
        <v>The Walk </v>
      </c>
      <c r="H1405" s="2">
        <v>-24862498</v>
      </c>
    </row>
    <row r="1406" spans="7:8" x14ac:dyDescent="0.25">
      <c r="G1406" s="2" t="str">
        <f ca="1">IFERROR(__xludf.DUMMYFUNCTION("""COMPUTED_VALUE"""),"Warriors of Virtue ")</f>
        <v>Warriors of Virtue </v>
      </c>
      <c r="H1406" s="2">
        <v>-28551183</v>
      </c>
    </row>
    <row r="1407" spans="7:8" x14ac:dyDescent="0.25">
      <c r="G1407" s="2" t="str">
        <f ca="1">IFERROR(__xludf.DUMMYFUNCTION("""COMPUTED_VALUE"""),"A Good Year ")</f>
        <v>A Good Year </v>
      </c>
      <c r="H1407" s="2">
        <v>-27541731</v>
      </c>
    </row>
    <row r="1408" spans="7:8" x14ac:dyDescent="0.25">
      <c r="G1408" s="2" t="str">
        <f ca="1">IFERROR(__xludf.DUMMYFUNCTION("""COMPUTED_VALUE"""),"Radio Flyer ")</f>
        <v>Radio Flyer </v>
      </c>
      <c r="H1408" s="2">
        <v>-30348023</v>
      </c>
    </row>
    <row r="1409" spans="7:8" x14ac:dyDescent="0.25">
      <c r="G1409" s="2" t="str">
        <f ca="1">IFERROR(__xludf.DUMMYFUNCTION("""COMPUTED_VALUE"""),"Blood In, Blood Out ")</f>
        <v>Blood In, Blood Out </v>
      </c>
      <c r="H1409" s="2">
        <v>-30503417</v>
      </c>
    </row>
    <row r="1410" spans="7:8" x14ac:dyDescent="0.25">
      <c r="G1410" s="2" t="str">
        <f ca="1">IFERROR(__xludf.DUMMYFUNCTION("""COMPUTED_VALUE"""),"Smilla's Sense of Snow ")</f>
        <v>Smilla's Sense of Snow </v>
      </c>
      <c r="H1410" s="2">
        <v>-32778006</v>
      </c>
    </row>
    <row r="1411" spans="7:8" x14ac:dyDescent="0.25">
      <c r="G1411" s="2" t="str">
        <f ca="1">IFERROR(__xludf.DUMMYFUNCTION("""COMPUTED_VALUE"""),"Femme Fatale ")</f>
        <v>Femme Fatale </v>
      </c>
      <c r="H1411" s="2">
        <v>-28407897</v>
      </c>
    </row>
    <row r="1412" spans="7:8" x14ac:dyDescent="0.25">
      <c r="G1412" s="2" t="str">
        <f ca="1">IFERROR(__xludf.DUMMYFUNCTION("""COMPUTED_VALUE"""),"Ride with the Devil ")</f>
        <v>Ride with the Devil </v>
      </c>
      <c r="H1412" s="2">
        <v>-34369221</v>
      </c>
    </row>
    <row r="1413" spans="7:8" x14ac:dyDescent="0.25">
      <c r="G1413" s="2" t="str">
        <f ca="1">IFERROR(__xludf.DUMMYFUNCTION("""COMPUTED_VALUE"""),"The Maze Runner ")</f>
        <v>The Maze Runner </v>
      </c>
      <c r="H1413" s="2">
        <v>68413606</v>
      </c>
    </row>
    <row r="1414" spans="7:8" x14ac:dyDescent="0.25">
      <c r="G1414" s="2" t="str">
        <f ca="1">IFERROR(__xludf.DUMMYFUNCTION("""COMPUTED_VALUE"""),"Unfinished Business ")</f>
        <v>Unfinished Business </v>
      </c>
      <c r="H1414" s="2">
        <v>-24785987</v>
      </c>
    </row>
    <row r="1415" spans="7:8" x14ac:dyDescent="0.25">
      <c r="G1415" s="2" t="str">
        <f ca="1">IFERROR(__xludf.DUMMYFUNCTION("""COMPUTED_VALUE"""),"The Age of Innocence ")</f>
        <v>The Age of Innocence </v>
      </c>
      <c r="H1415" s="2">
        <v>2000000</v>
      </c>
    </row>
    <row r="1416" spans="7:8" x14ac:dyDescent="0.25">
      <c r="G1416" s="2" t="str">
        <f ca="1">IFERROR(__xludf.DUMMYFUNCTION("""COMPUTED_VALUE"""),"The Fountain ")</f>
        <v>The Fountain </v>
      </c>
      <c r="H1416" s="2">
        <v>-24860746</v>
      </c>
    </row>
    <row r="1417" spans="7:8" x14ac:dyDescent="0.25">
      <c r="G1417" s="2" t="str">
        <f ca="1">IFERROR(__xludf.DUMMYFUNCTION("""COMPUTED_VALUE"""),"Chill Factor ")</f>
        <v>Chill Factor </v>
      </c>
      <c r="H1417" s="2">
        <v>-22772060</v>
      </c>
    </row>
    <row r="1418" spans="7:8" x14ac:dyDescent="0.25">
      <c r="G1418" s="2" t="str">
        <f ca="1">IFERROR(__xludf.DUMMYFUNCTION("""COMPUTED_VALUE"""),"Stolen ")</f>
        <v>Stolen </v>
      </c>
      <c r="H1418" s="2">
        <v>-34816875</v>
      </c>
    </row>
    <row r="1419" spans="7:8" x14ac:dyDescent="0.25">
      <c r="G1419" s="2" t="str">
        <f ca="1">IFERROR(__xludf.DUMMYFUNCTION("""COMPUTED_VALUE"""),"Ponyo ")</f>
        <v>Ponyo </v>
      </c>
      <c r="H1419" s="2">
        <v>-18918217</v>
      </c>
    </row>
    <row r="1420" spans="7:8" x14ac:dyDescent="0.25">
      <c r="G1420" s="2" t="str">
        <f ca="1">IFERROR(__xludf.DUMMYFUNCTION("""COMPUTED_VALUE"""),"The Longest Ride ")</f>
        <v>The Longest Ride </v>
      </c>
      <c r="H1420" s="2">
        <v>3432299</v>
      </c>
    </row>
    <row r="1421" spans="7:8" x14ac:dyDescent="0.25">
      <c r="G1421" s="2" t="str">
        <f ca="1">IFERROR(__xludf.DUMMYFUNCTION("""COMPUTED_VALUE"""),"The Astronaut's Wife ")</f>
        <v>The Astronaut's Wife </v>
      </c>
      <c r="H1421" s="2">
        <v>-23345419</v>
      </c>
    </row>
    <row r="1422" spans="7:8" x14ac:dyDescent="0.25">
      <c r="G1422" s="2" t="str">
        <f ca="1">IFERROR(__xludf.DUMMYFUNCTION("""COMPUTED_VALUE"""),"I Dreamed of Africa ")</f>
        <v>I Dreamed of Africa </v>
      </c>
      <c r="H1422" s="2">
        <v>-27456806</v>
      </c>
    </row>
    <row r="1423" spans="7:8" x14ac:dyDescent="0.25">
      <c r="G1423" s="2" t="str">
        <f ca="1">IFERROR(__xludf.DUMMYFUNCTION("""COMPUTED_VALUE"""),"Playing for Keeps ")</f>
        <v>Playing for Keeps </v>
      </c>
      <c r="H1423" s="2">
        <v>-21898858</v>
      </c>
    </row>
    <row r="1424" spans="7:8" x14ac:dyDescent="0.25">
      <c r="G1424" s="2" t="str">
        <f ca="1">IFERROR(__xludf.DUMMYFUNCTION("""COMPUTED_VALUE"""),"Mandela: Long Walk to Freedom ")</f>
        <v>Mandela: Long Walk to Freedom </v>
      </c>
      <c r="H1424" s="2">
        <v>-26675252</v>
      </c>
    </row>
    <row r="1425" spans="7:8" x14ac:dyDescent="0.25">
      <c r="G1425" s="2" t="str">
        <f ca="1">IFERROR(__xludf.DUMMYFUNCTION("""COMPUTED_VALUE"""),"A Few Good Men ")</f>
        <v>A Few Good Men </v>
      </c>
      <c r="H1425" s="2">
        <v>101340178</v>
      </c>
    </row>
    <row r="1426" spans="7:8" x14ac:dyDescent="0.25">
      <c r="G1426" s="2" t="str">
        <f ca="1">IFERROR(__xludf.DUMMYFUNCTION("""COMPUTED_VALUE"""),"Exit Wounds ")</f>
        <v>Exit Wounds </v>
      </c>
      <c r="H1426" s="2">
        <v>18758599</v>
      </c>
    </row>
    <row r="1427" spans="7:8" x14ac:dyDescent="0.25">
      <c r="G1427" s="2" t="str">
        <f ca="1">IFERROR(__xludf.DUMMYFUNCTION("""COMPUTED_VALUE"""),"Big Momma's House ")</f>
        <v>Big Momma's House </v>
      </c>
      <c r="H1427" s="2">
        <v>87559438</v>
      </c>
    </row>
    <row r="1428" spans="7:8" x14ac:dyDescent="0.25">
      <c r="G1428" s="2" t="str">
        <f ca="1">IFERROR(__xludf.DUMMYFUNCTION("""COMPUTED_VALUE"""),"Thunder and the House of Magic ")</f>
        <v>Thunder and the House of Magic </v>
      </c>
      <c r="H1428" s="2">
        <v>-33995909</v>
      </c>
    </row>
    <row r="1429" spans="7:8" x14ac:dyDescent="0.25">
      <c r="G1429" s="2" t="str">
        <f ca="1">IFERROR(__xludf.DUMMYFUNCTION("""COMPUTED_VALUE"""),"The Darkest Hour ")</f>
        <v>The Darkest Hour </v>
      </c>
      <c r="H1429" s="2">
        <v>-8573195</v>
      </c>
    </row>
    <row r="1430" spans="7:8" x14ac:dyDescent="0.25">
      <c r="G1430" s="2" t="str">
        <f ca="1">IFERROR(__xludf.DUMMYFUNCTION("""COMPUTED_VALUE"""),"Step Up Revolution ")</f>
        <v>Step Up Revolution </v>
      </c>
      <c r="H1430" s="2">
        <v>2057332</v>
      </c>
    </row>
    <row r="1431" spans="7:8" x14ac:dyDescent="0.25">
      <c r="G1431" s="2" t="str">
        <f ca="1">IFERROR(__xludf.DUMMYFUNCTION("""COMPUTED_VALUE"""),"Snakes on a Plane ")</f>
        <v>Snakes on a Plane </v>
      </c>
      <c r="H1431" s="2">
        <v>1014398</v>
      </c>
    </row>
    <row r="1432" spans="7:8" x14ac:dyDescent="0.25">
      <c r="G1432" s="2" t="str">
        <f ca="1">IFERROR(__xludf.DUMMYFUNCTION("""COMPUTED_VALUE"""),"The Watcher ")</f>
        <v>The Watcher </v>
      </c>
      <c r="H1432" s="2">
        <v>-4072280</v>
      </c>
    </row>
    <row r="1433" spans="7:8" x14ac:dyDescent="0.25">
      <c r="G1433" s="2" t="str">
        <f ca="1">IFERROR(__xludf.DUMMYFUNCTION("""COMPUTED_VALUE"""),"The Punisher ")</f>
        <v>The Punisher </v>
      </c>
      <c r="H1433" s="2">
        <v>682273</v>
      </c>
    </row>
    <row r="1434" spans="7:8" x14ac:dyDescent="0.25">
      <c r="G1434" s="2" t="str">
        <f ca="1">IFERROR(__xludf.DUMMYFUNCTION("""COMPUTED_VALUE"""),"Goal! The Dream Begins ")</f>
        <v>Goal! The Dream Begins </v>
      </c>
      <c r="H1434" s="2">
        <v>-5719423</v>
      </c>
    </row>
    <row r="1435" spans="7:8" x14ac:dyDescent="0.25">
      <c r="G1435" s="2" t="str">
        <f ca="1">IFERROR(__xludf.DUMMYFUNCTION("""COMPUTED_VALUE"""),"Safe ")</f>
        <v>Safe </v>
      </c>
      <c r="H1435" s="2">
        <v>-12879981</v>
      </c>
    </row>
    <row r="1436" spans="7:8" x14ac:dyDescent="0.25">
      <c r="G1436" s="2" t="str">
        <f ca="1">IFERROR(__xludf.DUMMYFUNCTION("""COMPUTED_VALUE"""),"Pushing Tin ")</f>
        <v>Pushing Tin </v>
      </c>
      <c r="H1436" s="2">
        <v>-29593736</v>
      </c>
    </row>
    <row r="1437" spans="7:8" x14ac:dyDescent="0.25">
      <c r="G1437" s="2" t="str">
        <f ca="1">IFERROR(__xludf.DUMMYFUNCTION("""COMPUTED_VALUE"""),"Star Wars: Episode VI - Return of the Jedi ")</f>
        <v>Star Wars: Episode VI - Return of the Jedi </v>
      </c>
      <c r="H1437" s="2">
        <v>276625409</v>
      </c>
    </row>
    <row r="1438" spans="7:8" x14ac:dyDescent="0.25">
      <c r="G1438" s="2" t="str">
        <f ca="1">IFERROR(__xludf.DUMMYFUNCTION("""COMPUTED_VALUE"""),"Doomsday ")</f>
        <v>Doomsday </v>
      </c>
      <c r="H1438" s="2">
        <v>-19044575</v>
      </c>
    </row>
    <row r="1439" spans="7:8" x14ac:dyDescent="0.25">
      <c r="G1439" s="2" t="str">
        <f ca="1">IFERROR(__xludf.DUMMYFUNCTION("""COMPUTED_VALUE"""),"The Reader ")</f>
        <v>The Reader </v>
      </c>
      <c r="H1439" s="2">
        <v>2180954</v>
      </c>
    </row>
    <row r="1440" spans="7:8" x14ac:dyDescent="0.25">
      <c r="G1440" s="2" t="str">
        <f ca="1">IFERROR(__xludf.DUMMYFUNCTION("""COMPUTED_VALUE"""),"Elf ")</f>
        <v>Elf </v>
      </c>
      <c r="H1440" s="2">
        <v>140381405</v>
      </c>
    </row>
    <row r="1441" spans="7:8" x14ac:dyDescent="0.25">
      <c r="G1441" s="2" t="str">
        <f ca="1">IFERROR(__xludf.DUMMYFUNCTION("""COMPUTED_VALUE"""),"Phenomenon ")</f>
        <v>Phenomenon </v>
      </c>
      <c r="H1441" s="2">
        <v>72632573</v>
      </c>
    </row>
    <row r="1442" spans="7:8" x14ac:dyDescent="0.25">
      <c r="G1442" s="2" t="str">
        <f ca="1">IFERROR(__xludf.DUMMYFUNCTION("""COMPUTED_VALUE"""),"Snow Dogs ")</f>
        <v>Snow Dogs </v>
      </c>
      <c r="H1442" s="2">
        <v>46150692</v>
      </c>
    </row>
    <row r="1443" spans="7:8" x14ac:dyDescent="0.25">
      <c r="G1443" s="2" t="str">
        <f ca="1">IFERROR(__xludf.DUMMYFUNCTION("""COMPUTED_VALUE"""),"Scrooged ")</f>
        <v>Scrooged </v>
      </c>
      <c r="H1443" s="2">
        <v>28328558</v>
      </c>
    </row>
    <row r="1444" spans="7:8" x14ac:dyDescent="0.25">
      <c r="G1444" s="2" t="str">
        <f ca="1">IFERROR(__xludf.DUMMYFUNCTION("""COMPUTED_VALUE"""),"Nacho Libre ")</f>
        <v>Nacho Libre </v>
      </c>
      <c r="H1444" s="2">
        <v>48197993</v>
      </c>
    </row>
    <row r="1445" spans="7:8" x14ac:dyDescent="0.25">
      <c r="G1445" s="2" t="str">
        <f ca="1">IFERROR(__xludf.DUMMYFUNCTION("""COMPUTED_VALUE"""),"Bridesmaids ")</f>
        <v>Bridesmaids </v>
      </c>
      <c r="H1445" s="2">
        <v>136576745</v>
      </c>
    </row>
    <row r="1446" spans="7:8" x14ac:dyDescent="0.25">
      <c r="G1446" s="2" t="str">
        <f ca="1">IFERROR(__xludf.DUMMYFUNCTION("""COMPUTED_VALUE"""),"This Is the End ")</f>
        <v>This Is the End </v>
      </c>
      <c r="H1446" s="2">
        <v>69470202</v>
      </c>
    </row>
    <row r="1447" spans="7:8" x14ac:dyDescent="0.25">
      <c r="G1447" s="2" t="str">
        <f ca="1">IFERROR(__xludf.DUMMYFUNCTION("""COMPUTED_VALUE"""),"Stigmata ")</f>
        <v>Stigmata </v>
      </c>
      <c r="H1447" s="2">
        <v>21041732</v>
      </c>
    </row>
    <row r="1448" spans="7:8" x14ac:dyDescent="0.25">
      <c r="G1448" s="2" t="str">
        <f ca="1">IFERROR(__xludf.DUMMYFUNCTION("""COMPUTED_VALUE"""),"Men of Honor ")</f>
        <v>Men of Honor </v>
      </c>
      <c r="H1448" s="2">
        <v>16814909</v>
      </c>
    </row>
    <row r="1449" spans="7:8" x14ac:dyDescent="0.25">
      <c r="G1449" s="2" t="str">
        <f ca="1">IFERROR(__xludf.DUMMYFUNCTION("""COMPUTED_VALUE"""),"Takers ")</f>
        <v>Takers </v>
      </c>
      <c r="H1449" s="2">
        <v>37744720</v>
      </c>
    </row>
    <row r="1450" spans="7:8" x14ac:dyDescent="0.25">
      <c r="G1450" s="2" t="str">
        <f ca="1">IFERROR(__xludf.DUMMYFUNCTION("""COMPUTED_VALUE"""),"The Big Wedding ")</f>
        <v>The Big Wedding </v>
      </c>
      <c r="H1450" s="2">
        <v>-13215568</v>
      </c>
    </row>
    <row r="1451" spans="7:8" x14ac:dyDescent="0.25">
      <c r="G1451" s="2" t="str">
        <f ca="1">IFERROR(__xludf.DUMMYFUNCTION("""COMPUTED_VALUE"""),"Big Mommas: Like Father, Like Son ")</f>
        <v>Big Mommas: Like Father, Like Son </v>
      </c>
      <c r="H1451" s="2">
        <v>5911876</v>
      </c>
    </row>
    <row r="1452" spans="7:8" x14ac:dyDescent="0.25">
      <c r="G1452" s="2" t="str">
        <f ca="1">IFERROR(__xludf.DUMMYFUNCTION("""COMPUTED_VALUE"""),"Source Code ")</f>
        <v>Source Code </v>
      </c>
      <c r="H1452" s="2">
        <v>22696902</v>
      </c>
    </row>
    <row r="1453" spans="7:8" x14ac:dyDescent="0.25">
      <c r="G1453" s="2" t="str">
        <f ca="1">IFERROR(__xludf.DUMMYFUNCTION("""COMPUTED_VALUE"""),"Alive ")</f>
        <v>Alive </v>
      </c>
      <c r="H1453" s="2">
        <v>4733909</v>
      </c>
    </row>
    <row r="1454" spans="7:8" x14ac:dyDescent="0.25">
      <c r="G1454" s="2" t="str">
        <f ca="1">IFERROR(__xludf.DUMMYFUNCTION("""COMPUTED_VALUE"""),"The Number 23 ")</f>
        <v>The Number 23 </v>
      </c>
      <c r="H1454" s="2">
        <v>3063732</v>
      </c>
    </row>
    <row r="1455" spans="7:8" x14ac:dyDescent="0.25">
      <c r="G1455" s="2" t="str">
        <f ca="1">IFERROR(__xludf.DUMMYFUNCTION("""COMPUTED_VALUE"""),"The Young and Prodigious T.S. Spivet ")</f>
        <v>The Young and Prodigious T.S. Spivet </v>
      </c>
      <c r="H1455" s="2">
        <v>-32900538</v>
      </c>
    </row>
    <row r="1456" spans="7:8" x14ac:dyDescent="0.25">
      <c r="G1456" s="2" t="str">
        <f ca="1">IFERROR(__xludf.DUMMYFUNCTION("""COMPUTED_VALUE"""),"Dreamer: Inspired by a True Story ")</f>
        <v>Dreamer: Inspired by a True Story </v>
      </c>
      <c r="H1456" s="2">
        <v>701088</v>
      </c>
    </row>
    <row r="1457" spans="7:8" x14ac:dyDescent="0.25">
      <c r="G1457" s="2" t="str">
        <f ca="1">IFERROR(__xludf.DUMMYFUNCTION("""COMPUTED_VALUE"""),"A History of Violence ")</f>
        <v>A History of Violence </v>
      </c>
      <c r="H1457" s="2">
        <v>-506218</v>
      </c>
    </row>
    <row r="1458" spans="7:8" x14ac:dyDescent="0.25">
      <c r="G1458" s="2" t="str">
        <f ca="1">IFERROR(__xludf.DUMMYFUNCTION("""COMPUTED_VALUE"""),"Transporter 2 ")</f>
        <v>Transporter 2 </v>
      </c>
      <c r="H1458" s="2">
        <v>11095600</v>
      </c>
    </row>
    <row r="1459" spans="7:8" x14ac:dyDescent="0.25">
      <c r="G1459" s="2" t="str">
        <f ca="1">IFERROR(__xludf.DUMMYFUNCTION("""COMPUTED_VALUE"""),"The Quick and the Dead ")</f>
        <v>The Quick and the Dead </v>
      </c>
      <c r="H1459" s="2">
        <v>-13363463</v>
      </c>
    </row>
    <row r="1460" spans="7:8" x14ac:dyDescent="0.25">
      <c r="G1460" s="2" t="str">
        <f ca="1">IFERROR(__xludf.DUMMYFUNCTION("""COMPUTED_VALUE"""),"Laws of Attraction ")</f>
        <v>Laws of Attraction </v>
      </c>
      <c r="H1460" s="2">
        <v>-10151678</v>
      </c>
    </row>
    <row r="1461" spans="7:8" x14ac:dyDescent="0.25">
      <c r="G1461" s="2" t="str">
        <f ca="1">IFERROR(__xludf.DUMMYFUNCTION("""COMPUTED_VALUE"""),"Bringing Out the Dead ")</f>
        <v>Bringing Out the Dead </v>
      </c>
      <c r="H1461" s="2">
        <v>-38359790</v>
      </c>
    </row>
    <row r="1462" spans="7:8" x14ac:dyDescent="0.25">
      <c r="G1462" s="2" t="str">
        <f ca="1">IFERROR(__xludf.DUMMYFUNCTION("""COMPUTED_VALUE"""),"Repo Men ")</f>
        <v>Repo Men </v>
      </c>
      <c r="H1462" s="2">
        <v>-18236870</v>
      </c>
    </row>
    <row r="1463" spans="7:8" x14ac:dyDescent="0.25">
      <c r="G1463" s="2" t="str">
        <f ca="1">IFERROR(__xludf.DUMMYFUNCTION("""COMPUTED_VALUE"""),"Dragon Wars: D-War ")</f>
        <v>Dragon Wars: D-War </v>
      </c>
      <c r="H1463" s="2">
        <v>-24043621</v>
      </c>
    </row>
    <row r="1464" spans="7:8" x14ac:dyDescent="0.25">
      <c r="G1464" s="2" t="str">
        <f ca="1">IFERROR(__xludf.DUMMYFUNCTION("""COMPUTED_VALUE"""),"Bogus ")</f>
        <v>Bogus </v>
      </c>
      <c r="H1464" s="2">
        <v>-25643000</v>
      </c>
    </row>
    <row r="1465" spans="7:8" x14ac:dyDescent="0.25">
      <c r="G1465" s="2" t="str">
        <f ca="1">IFERROR(__xludf.DUMMYFUNCTION("""COMPUTED_VALUE"""),"The Incredible Burt Wonderstone ")</f>
        <v>The Incredible Burt Wonderstone </v>
      </c>
      <c r="H1465" s="2">
        <v>-7474079</v>
      </c>
    </row>
    <row r="1466" spans="7:8" x14ac:dyDescent="0.25">
      <c r="G1466" s="2" t="str">
        <f ca="1">IFERROR(__xludf.DUMMYFUNCTION("""COMPUTED_VALUE"""),"Cats Don't Dance ")</f>
        <v>Cats Don't Dance </v>
      </c>
      <c r="H1466" s="2">
        <v>-28437251</v>
      </c>
    </row>
    <row r="1467" spans="7:8" x14ac:dyDescent="0.25">
      <c r="G1467" s="2" t="str">
        <f ca="1">IFERROR(__xludf.DUMMYFUNCTION("""COMPUTED_VALUE"""),"Cradle Will Rock ")</f>
        <v>Cradle Will Rock </v>
      </c>
      <c r="H1467" s="2">
        <v>-29100030</v>
      </c>
    </row>
    <row r="1468" spans="7:8" x14ac:dyDescent="0.25">
      <c r="G1468" s="2" t="str">
        <f ca="1">IFERROR(__xludf.DUMMYFUNCTION("""COMPUTED_VALUE"""),"The Good German ")</f>
        <v>The Good German </v>
      </c>
      <c r="H1468" s="2">
        <v>-30695163</v>
      </c>
    </row>
    <row r="1469" spans="7:8" x14ac:dyDescent="0.25">
      <c r="G1469" s="2" t="str">
        <f ca="1">IFERROR(__xludf.DUMMYFUNCTION("""COMPUTED_VALUE"""),"Apocalypse Now ")</f>
        <v>Apocalypse Now </v>
      </c>
      <c r="H1469" s="2">
        <v>47300000</v>
      </c>
    </row>
    <row r="1470" spans="7:8" x14ac:dyDescent="0.25">
      <c r="G1470" s="2" t="str">
        <f ca="1">IFERROR(__xludf.DUMMYFUNCTION("""COMPUTED_VALUE"""),"Going the Distance ")</f>
        <v>Going the Distance </v>
      </c>
      <c r="H1470" s="2">
        <v>-14202684</v>
      </c>
    </row>
    <row r="1471" spans="7:8" x14ac:dyDescent="0.25">
      <c r="G1471" s="2" t="str">
        <f ca="1">IFERROR(__xludf.DUMMYFUNCTION("""COMPUTED_VALUE"""),"Mr. Holland's Opus ")</f>
        <v>Mr. Holland's Opus </v>
      </c>
      <c r="H1471" s="2">
        <v>76028097</v>
      </c>
    </row>
    <row r="1472" spans="7:8" x14ac:dyDescent="0.25">
      <c r="G1472" s="2" t="str">
        <f ca="1">IFERROR(__xludf.DUMMYFUNCTION("""COMPUTED_VALUE"""),"Criminal ")</f>
        <v>Criminal </v>
      </c>
      <c r="H1472" s="2">
        <v>-17231467</v>
      </c>
    </row>
    <row r="1473" spans="7:8" x14ac:dyDescent="0.25">
      <c r="G1473" s="2" t="str">
        <f ca="1">IFERROR(__xludf.DUMMYFUNCTION("""COMPUTED_VALUE"""),"Out of Africa ")</f>
        <v>Out of Africa </v>
      </c>
      <c r="H1473" s="2">
        <v>56100000</v>
      </c>
    </row>
    <row r="1474" spans="7:8" x14ac:dyDescent="0.25">
      <c r="G1474" s="2" t="str">
        <f ca="1">IFERROR(__xludf.DUMMYFUNCTION("""COMPUTED_VALUE"""),"Flight ")</f>
        <v>Flight </v>
      </c>
      <c r="H1474" s="2">
        <v>62749203</v>
      </c>
    </row>
    <row r="1475" spans="7:8" x14ac:dyDescent="0.25">
      <c r="G1475" s="2" t="str">
        <f ca="1">IFERROR(__xludf.DUMMYFUNCTION("""COMPUTED_VALUE"""),"Moonraker ")</f>
        <v>Moonraker </v>
      </c>
      <c r="H1475" s="2">
        <v>28700000</v>
      </c>
    </row>
    <row r="1476" spans="7:8" x14ac:dyDescent="0.25">
      <c r="G1476" s="2" t="str">
        <f ca="1">IFERROR(__xludf.DUMMYFUNCTION("""COMPUTED_VALUE"""),"The Grand Budapest Hotel ")</f>
        <v>The Grand Budapest Hotel </v>
      </c>
      <c r="H1476" s="2">
        <v>34073773</v>
      </c>
    </row>
    <row r="1477" spans="7:8" x14ac:dyDescent="0.25">
      <c r="G1477" s="2" t="str">
        <f ca="1">IFERROR(__xludf.DUMMYFUNCTION("""COMPUTED_VALUE"""),"Hearts in Atlantis ")</f>
        <v>Hearts in Atlantis </v>
      </c>
      <c r="H1477" s="2">
        <v>-6814219</v>
      </c>
    </row>
    <row r="1478" spans="7:8" x14ac:dyDescent="0.25">
      <c r="G1478" s="2" t="str">
        <f ca="1">IFERROR(__xludf.DUMMYFUNCTION("""COMPUTED_VALUE"""),"Arachnophobia ")</f>
        <v>Arachnophobia </v>
      </c>
      <c r="H1478" s="2">
        <v>22133888</v>
      </c>
    </row>
    <row r="1479" spans="7:8" x14ac:dyDescent="0.25">
      <c r="G1479" s="2" t="str">
        <f ca="1">IFERROR(__xludf.DUMMYFUNCTION("""COMPUTED_VALUE"""),"Frequency ")</f>
        <v>Frequency </v>
      </c>
      <c r="H1479" s="2">
        <v>13983704</v>
      </c>
    </row>
    <row r="1480" spans="7:8" x14ac:dyDescent="0.25">
      <c r="G1480" s="2" t="str">
        <f ca="1">IFERROR(__xludf.DUMMYFUNCTION("""COMPUTED_VALUE"""),"Vacation ")</f>
        <v>Vacation </v>
      </c>
      <c r="H1480" s="2">
        <v>27879132</v>
      </c>
    </row>
    <row r="1481" spans="7:8" x14ac:dyDescent="0.25">
      <c r="G1481" s="2" t="str">
        <f ca="1">IFERROR(__xludf.DUMMYFUNCTION("""COMPUTED_VALUE"""),"Get Shorty ")</f>
        <v>Get Shorty </v>
      </c>
      <c r="H1481" s="2">
        <v>41827000</v>
      </c>
    </row>
    <row r="1482" spans="7:8" x14ac:dyDescent="0.25">
      <c r="G1482" s="2" t="str">
        <f ca="1">IFERROR(__xludf.DUMMYFUNCTION("""COMPUTED_VALUE"""),"Chicago ")</f>
        <v>Chicago </v>
      </c>
      <c r="H1482" s="2">
        <v>125684505</v>
      </c>
    </row>
    <row r="1483" spans="7:8" x14ac:dyDescent="0.25">
      <c r="G1483" s="2" t="str">
        <f ca="1">IFERROR(__xludf.DUMMYFUNCTION("""COMPUTED_VALUE"""),"Big Daddy ")</f>
        <v>Big Daddy </v>
      </c>
      <c r="H1483" s="2">
        <v>129279795</v>
      </c>
    </row>
    <row r="1484" spans="7:8" x14ac:dyDescent="0.25">
      <c r="G1484" s="2" t="str">
        <f ca="1">IFERROR(__xludf.DUMMYFUNCTION("""COMPUTED_VALUE"""),"American Pie 2 ")</f>
        <v>American Pie 2 </v>
      </c>
      <c r="H1484" s="2">
        <v>115096820</v>
      </c>
    </row>
    <row r="1485" spans="7:8" x14ac:dyDescent="0.25">
      <c r="G1485" s="2" t="str">
        <f ca="1">IFERROR(__xludf.DUMMYFUNCTION("""COMPUTED_VALUE"""),"Toy Story ")</f>
        <v>Toy Story </v>
      </c>
      <c r="H1485" s="2">
        <v>161796233</v>
      </c>
    </row>
    <row r="1486" spans="7:8" x14ac:dyDescent="0.25">
      <c r="G1486" s="2" t="str">
        <f ca="1">IFERROR(__xludf.DUMMYFUNCTION("""COMPUTED_VALUE"""),"Speed ")</f>
        <v>Speed </v>
      </c>
      <c r="H1486" s="2">
        <v>96248145</v>
      </c>
    </row>
    <row r="1487" spans="7:8" x14ac:dyDescent="0.25">
      <c r="G1487" s="2" t="str">
        <f ca="1">IFERROR(__xludf.DUMMYFUNCTION("""COMPUTED_VALUE"""),"The Vow ")</f>
        <v>The Vow </v>
      </c>
      <c r="H1487" s="2">
        <v>95014030</v>
      </c>
    </row>
    <row r="1488" spans="7:8" x14ac:dyDescent="0.25">
      <c r="G1488" s="2" t="str">
        <f ca="1">IFERROR(__xludf.DUMMYFUNCTION("""COMPUTED_VALUE"""),"Extraordinary Measures ")</f>
        <v>Extraordinary Measures </v>
      </c>
      <c r="H1488" s="2">
        <v>-19145306</v>
      </c>
    </row>
    <row r="1489" spans="7:8" x14ac:dyDescent="0.25">
      <c r="G1489" s="2" t="str">
        <f ca="1">IFERROR(__xludf.DUMMYFUNCTION("""COMPUTED_VALUE"""),"Remember the Titans ")</f>
        <v>Remember the Titans </v>
      </c>
      <c r="H1489" s="2">
        <v>85648585</v>
      </c>
    </row>
    <row r="1490" spans="7:8" x14ac:dyDescent="0.25">
      <c r="G1490" s="2" t="str">
        <f ca="1">IFERROR(__xludf.DUMMYFUNCTION("""COMPUTED_VALUE"""),"The Hunt for Red October ")</f>
        <v>The Hunt for Red October </v>
      </c>
      <c r="H1490" s="2">
        <v>92012643</v>
      </c>
    </row>
    <row r="1491" spans="7:8" x14ac:dyDescent="0.25">
      <c r="G1491" s="2" t="str">
        <f ca="1">IFERROR(__xludf.DUMMYFUNCTION("""COMPUTED_VALUE"""),"Lee Daniels' The Butler ")</f>
        <v>Lee Daniels' The Butler </v>
      </c>
      <c r="H1491" s="2">
        <v>86631310</v>
      </c>
    </row>
    <row r="1492" spans="7:8" x14ac:dyDescent="0.25">
      <c r="G1492" s="2" t="str">
        <f ca="1">IFERROR(__xludf.DUMMYFUNCTION("""COMPUTED_VALUE"""),"Dodgeball: A True Underdog Story ")</f>
        <v>Dodgeball: A True Underdog Story </v>
      </c>
      <c r="H1492" s="2">
        <v>94324072</v>
      </c>
    </row>
    <row r="1493" spans="7:8" x14ac:dyDescent="0.25">
      <c r="G1493" s="2" t="str">
        <f ca="1">IFERROR(__xludf.DUMMYFUNCTION("""COMPUTED_VALUE"""),"The Addams Family ")</f>
        <v>The Addams Family </v>
      </c>
      <c r="H1493" s="2">
        <v>75502246</v>
      </c>
    </row>
    <row r="1494" spans="7:8" x14ac:dyDescent="0.25">
      <c r="G1494" s="2" t="str">
        <f ca="1">IFERROR(__xludf.DUMMYFUNCTION("""COMPUTED_VALUE"""),"Ace Ventura: When Nature Calls ")</f>
        <v>Ace Ventura: When Nature Calls </v>
      </c>
      <c r="H1494" s="2">
        <v>78360000</v>
      </c>
    </row>
    <row r="1495" spans="7:8" x14ac:dyDescent="0.25">
      <c r="G1495" s="2" t="str">
        <f ca="1">IFERROR(__xludf.DUMMYFUNCTION("""COMPUTED_VALUE"""),"The Princess Diaries ")</f>
        <v>The Princess Diaries </v>
      </c>
      <c r="H1495" s="2">
        <v>71244774</v>
      </c>
    </row>
    <row r="1496" spans="7:8" x14ac:dyDescent="0.25">
      <c r="G1496" s="2" t="str">
        <f ca="1">IFERROR(__xludf.DUMMYFUNCTION("""COMPUTED_VALUE"""),"The First Wives Club ")</f>
        <v>The First Wives Club </v>
      </c>
      <c r="H1496" s="2">
        <v>79444419</v>
      </c>
    </row>
    <row r="1497" spans="7:8" x14ac:dyDescent="0.25">
      <c r="G1497" s="2" t="str">
        <f ca="1">IFERROR(__xludf.DUMMYFUNCTION("""COMPUTED_VALUE"""),"Se7en ")</f>
        <v>Se7en </v>
      </c>
      <c r="H1497" s="2">
        <v>67125340</v>
      </c>
    </row>
    <row r="1498" spans="7:8" x14ac:dyDescent="0.25">
      <c r="G1498" s="2" t="str">
        <f ca="1">IFERROR(__xludf.DUMMYFUNCTION("""COMPUTED_VALUE"""),"District 9 ")</f>
        <v>District 9 </v>
      </c>
      <c r="H1498" s="2">
        <v>85646235</v>
      </c>
    </row>
    <row r="1499" spans="7:8" x14ac:dyDescent="0.25">
      <c r="G1499" s="2" t="str">
        <f ca="1">IFERROR(__xludf.DUMMYFUNCTION("""COMPUTED_VALUE"""),"The SpongeBob SquarePants Movie ")</f>
        <v>The SpongeBob SquarePants Movie </v>
      </c>
      <c r="H1499" s="2">
        <v>55416609</v>
      </c>
    </row>
    <row r="1500" spans="7:8" x14ac:dyDescent="0.25">
      <c r="G1500" s="2" t="str">
        <f ca="1">IFERROR(__xludf.DUMMYFUNCTION("""COMPUTED_VALUE"""),"Mystic River ")</f>
        <v>Mystic River </v>
      </c>
      <c r="H1500" s="2">
        <v>65135191</v>
      </c>
    </row>
    <row r="1501" spans="7:8" x14ac:dyDescent="0.25">
      <c r="G1501" s="2" t="str">
        <f ca="1">IFERROR(__xludf.DUMMYFUNCTION("""COMPUTED_VALUE"""),"Million Dollar Baby ")</f>
        <v>Million Dollar Baby </v>
      </c>
      <c r="H1501" s="2">
        <v>70422786</v>
      </c>
    </row>
    <row r="1502" spans="7:8" x14ac:dyDescent="0.25">
      <c r="G1502" s="2" t="str">
        <f ca="1">IFERROR(__xludf.DUMMYFUNCTION("""COMPUTED_VALUE"""),"Analyze This ")</f>
        <v>Analyze This </v>
      </c>
      <c r="H1502" s="2">
        <v>76694016</v>
      </c>
    </row>
    <row r="1503" spans="7:8" x14ac:dyDescent="0.25">
      <c r="G1503" s="2" t="str">
        <f ca="1">IFERROR(__xludf.DUMMYFUNCTION("""COMPUTED_VALUE"""),"The Notebook ")</f>
        <v>The Notebook </v>
      </c>
      <c r="H1503" s="2">
        <v>-28935714</v>
      </c>
    </row>
    <row r="1504" spans="7:8" x14ac:dyDescent="0.25">
      <c r="G1504" s="2" t="str">
        <f ca="1">IFERROR(__xludf.DUMMYFUNCTION("""COMPUTED_VALUE"""),"27 Dresses ")</f>
        <v>27 Dresses </v>
      </c>
      <c r="H1504" s="2">
        <v>46806312</v>
      </c>
    </row>
    <row r="1505" spans="7:8" x14ac:dyDescent="0.25">
      <c r="G1505" s="2" t="str">
        <f ca="1">IFERROR(__xludf.DUMMYFUNCTION("""COMPUTED_VALUE"""),"Hannah Montana: The Movie ")</f>
        <v>Hannah Montana: The Movie </v>
      </c>
      <c r="H1505" s="2">
        <v>49566871</v>
      </c>
    </row>
    <row r="1506" spans="7:8" x14ac:dyDescent="0.25">
      <c r="G1506" s="2" t="str">
        <f ca="1">IFERROR(__xludf.DUMMYFUNCTION("""COMPUTED_VALUE"""),"Rugrats in Paris: The Movie ")</f>
        <v>Rugrats in Paris: The Movie </v>
      </c>
      <c r="H1506" s="2">
        <v>46501438</v>
      </c>
    </row>
    <row r="1507" spans="7:8" x14ac:dyDescent="0.25">
      <c r="G1507" s="2" t="str">
        <f ca="1">IFERROR(__xludf.DUMMYFUNCTION("""COMPUTED_VALUE"""),"The Prince of Tides ")</f>
        <v>The Prince of Tides </v>
      </c>
      <c r="H1507" s="2">
        <v>44787599</v>
      </c>
    </row>
    <row r="1508" spans="7:8" x14ac:dyDescent="0.25">
      <c r="G1508" s="2" t="str">
        <f ca="1">IFERROR(__xludf.DUMMYFUNCTION("""COMPUTED_VALUE"""),"Legends of the Fall ")</f>
        <v>Legends of the Fall </v>
      </c>
      <c r="H1508" s="2">
        <v>36528842</v>
      </c>
    </row>
    <row r="1509" spans="7:8" x14ac:dyDescent="0.25">
      <c r="G1509" s="2" t="str">
        <f ca="1">IFERROR(__xludf.DUMMYFUNCTION("""COMPUTED_VALUE"""),"Up in the Air ")</f>
        <v>Up in the Air </v>
      </c>
      <c r="H1509" s="2">
        <v>58813460</v>
      </c>
    </row>
    <row r="1510" spans="7:8" x14ac:dyDescent="0.25">
      <c r="G1510" s="2" t="str">
        <f ca="1">IFERROR(__xludf.DUMMYFUNCTION("""COMPUTED_VALUE"""),"About Schmidt ")</f>
        <v>About Schmidt </v>
      </c>
      <c r="H1510" s="2">
        <v>35010106</v>
      </c>
    </row>
    <row r="1511" spans="7:8" x14ac:dyDescent="0.25">
      <c r="G1511" s="2" t="str">
        <f ca="1">IFERROR(__xludf.DUMMYFUNCTION("""COMPUTED_VALUE"""),"Warm Bodies ")</f>
        <v>Warm Bodies </v>
      </c>
      <c r="H1511" s="2">
        <v>31359959</v>
      </c>
    </row>
    <row r="1512" spans="7:8" x14ac:dyDescent="0.25">
      <c r="G1512" s="2" t="str">
        <f ca="1">IFERROR(__xludf.DUMMYFUNCTION("""COMPUTED_VALUE"""),"Looper ")</f>
        <v>Looper </v>
      </c>
      <c r="H1512" s="2">
        <v>36468315</v>
      </c>
    </row>
    <row r="1513" spans="7:8" x14ac:dyDescent="0.25">
      <c r="G1513" s="2" t="str">
        <f ca="1">IFERROR(__xludf.DUMMYFUNCTION("""COMPUTED_VALUE"""),"Down to Earth ")</f>
        <v>Down to Earth </v>
      </c>
      <c r="H1513" s="2">
        <v>34172251</v>
      </c>
    </row>
    <row r="1514" spans="7:8" x14ac:dyDescent="0.25">
      <c r="G1514" s="2" t="str">
        <f ca="1">IFERROR(__xludf.DUMMYFUNCTION("""COMPUTED_VALUE"""),"Babe ")</f>
        <v>Babe </v>
      </c>
      <c r="H1514" s="2">
        <v>36600000</v>
      </c>
    </row>
    <row r="1515" spans="7:8" x14ac:dyDescent="0.25">
      <c r="G1515" s="2" t="str">
        <f ca="1">IFERROR(__xludf.DUMMYFUNCTION("""COMPUTED_VALUE"""),"Hope Springs ")</f>
        <v>Hope Springs </v>
      </c>
      <c r="H1515" s="2">
        <v>33536011</v>
      </c>
    </row>
    <row r="1516" spans="7:8" x14ac:dyDescent="0.25">
      <c r="G1516" s="2" t="str">
        <f ca="1">IFERROR(__xludf.DUMMYFUNCTION("""COMPUTED_VALUE"""),"Forgetting Sarah Marshall ")</f>
        <v>Forgetting Sarah Marshall </v>
      </c>
      <c r="H1516" s="2">
        <v>32877175</v>
      </c>
    </row>
    <row r="1517" spans="7:8" x14ac:dyDescent="0.25">
      <c r="G1517" s="2" t="str">
        <f ca="1">IFERROR(__xludf.DUMMYFUNCTION("""COMPUTED_VALUE"""),"Four Brothers ")</f>
        <v>Four Brothers </v>
      </c>
      <c r="H1517" s="2">
        <v>29484168</v>
      </c>
    </row>
    <row r="1518" spans="7:8" x14ac:dyDescent="0.25">
      <c r="G1518" s="2" t="str">
        <f ca="1">IFERROR(__xludf.DUMMYFUNCTION("""COMPUTED_VALUE"""),"Baby Mama ")</f>
        <v>Baby Mama </v>
      </c>
      <c r="H1518" s="2">
        <v>30269340</v>
      </c>
    </row>
    <row r="1519" spans="7:8" x14ac:dyDescent="0.25">
      <c r="G1519" s="2" t="str">
        <f ca="1">IFERROR(__xludf.DUMMYFUNCTION("""COMPUTED_VALUE"""),"Hope Floats ")</f>
        <v>Hope Floats </v>
      </c>
      <c r="H1519" s="2">
        <v>30033780</v>
      </c>
    </row>
    <row r="1520" spans="7:8" x14ac:dyDescent="0.25">
      <c r="G1520" s="2" t="str">
        <f ca="1">IFERROR(__xludf.DUMMYFUNCTION("""COMPUTED_VALUE"""),"Bride Wars ")</f>
        <v>Bride Wars </v>
      </c>
      <c r="H1520" s="2">
        <v>28715510</v>
      </c>
    </row>
    <row r="1521" spans="7:8" x14ac:dyDescent="0.25">
      <c r="G1521" s="2" t="str">
        <f ca="1">IFERROR(__xludf.DUMMYFUNCTION("""COMPUTED_VALUE"""),"Without a Paddle ")</f>
        <v>Without a Paddle </v>
      </c>
      <c r="H1521" s="2">
        <v>39156435</v>
      </c>
    </row>
    <row r="1522" spans="7:8" x14ac:dyDescent="0.25">
      <c r="G1522" s="2" t="str">
        <f ca="1">IFERROR(__xludf.DUMMYFUNCTION("""COMPUTED_VALUE"""),"13 Going on 30 ")</f>
        <v>13 Going on 30 </v>
      </c>
      <c r="H1522" s="2">
        <v>19044241</v>
      </c>
    </row>
    <row r="1523" spans="7:8" x14ac:dyDescent="0.25">
      <c r="G1523" s="2" t="str">
        <f ca="1">IFERROR(__xludf.DUMMYFUNCTION("""COMPUTED_VALUE"""),"Midnight in Paris ")</f>
        <v>Midnight in Paris </v>
      </c>
      <c r="H1523" s="2">
        <v>39816662</v>
      </c>
    </row>
    <row r="1524" spans="7:8" x14ac:dyDescent="0.25">
      <c r="G1524" s="2" t="str">
        <f ca="1">IFERROR(__xludf.DUMMYFUNCTION("""COMPUTED_VALUE"""),"The Nut Job ")</f>
        <v>The Nut Job </v>
      </c>
      <c r="H1524" s="2">
        <v>22238770</v>
      </c>
    </row>
    <row r="1525" spans="7:8" x14ac:dyDescent="0.25">
      <c r="G1525" s="2" t="str">
        <f ca="1">IFERROR(__xludf.DUMMYFUNCTION("""COMPUTED_VALUE"""),"Blow ")</f>
        <v>Blow </v>
      </c>
      <c r="H1525" s="2">
        <v>22937130</v>
      </c>
    </row>
    <row r="1526" spans="7:8" x14ac:dyDescent="0.25">
      <c r="G1526" s="2" t="str">
        <f ca="1">IFERROR(__xludf.DUMMYFUNCTION("""COMPUTED_VALUE"""),"Message in a Bottle ")</f>
        <v>Message in a Bottle </v>
      </c>
      <c r="H1526" s="2">
        <v>-2200996</v>
      </c>
    </row>
    <row r="1527" spans="7:8" x14ac:dyDescent="0.25">
      <c r="G1527" s="2" t="str">
        <f ca="1">IFERROR(__xludf.DUMMYFUNCTION("""COMPUTED_VALUE"""),"Star Trek V: The Final Frontier ")</f>
        <v>Star Trek V: The Final Frontier </v>
      </c>
      <c r="H1527" s="2">
        <v>27410049</v>
      </c>
    </row>
    <row r="1528" spans="7:8" x14ac:dyDescent="0.25">
      <c r="G1528" s="2" t="str">
        <f ca="1">IFERROR(__xludf.DUMMYFUNCTION("""COMPUTED_VALUE"""),"Like Mike ")</f>
        <v>Like Mike </v>
      </c>
      <c r="H1528" s="2">
        <v>21432423</v>
      </c>
    </row>
    <row r="1529" spans="7:8" x14ac:dyDescent="0.25">
      <c r="G1529" s="2" t="str">
        <f ca="1">IFERROR(__xludf.DUMMYFUNCTION("""COMPUTED_VALUE"""),"Naked Gun 33 1/3: The Final Insult ")</f>
        <v>Naked Gun 33 1/3: The Final Insult </v>
      </c>
      <c r="H1529" s="2">
        <v>21109400</v>
      </c>
    </row>
    <row r="1530" spans="7:8" x14ac:dyDescent="0.25">
      <c r="G1530" s="2" t="str">
        <f ca="1">IFERROR(__xludf.DUMMYFUNCTION("""COMPUTED_VALUE"""),"A View to a Kill ")</f>
        <v>A View to a Kill </v>
      </c>
      <c r="H1530" s="2">
        <v>20300000</v>
      </c>
    </row>
    <row r="1531" spans="7:8" x14ac:dyDescent="0.25">
      <c r="G1531" s="2" t="str">
        <f ca="1">IFERROR(__xludf.DUMMYFUNCTION("""COMPUTED_VALUE"""),"The Curse of the Were-Rabbit ")</f>
        <v>The Curse of the Were-Rabbit </v>
      </c>
      <c r="H1531" s="2">
        <v>26068547</v>
      </c>
    </row>
    <row r="1532" spans="7:8" x14ac:dyDescent="0.25">
      <c r="G1532" s="2" t="str">
        <f ca="1">IFERROR(__xludf.DUMMYFUNCTION("""COMPUTED_VALUE"""),"P.S. I Love You ")</f>
        <v>P.S. I Love You </v>
      </c>
      <c r="H1532" s="2">
        <v>23680848</v>
      </c>
    </row>
    <row r="1533" spans="7:8" x14ac:dyDescent="0.25">
      <c r="G1533" s="2" t="str">
        <f ca="1">IFERROR(__xludf.DUMMYFUNCTION("""COMPUTED_VALUE"""),"Atonement ")</f>
        <v>Atonement </v>
      </c>
      <c r="H1533" s="2">
        <v>20921738</v>
      </c>
    </row>
    <row r="1534" spans="7:8" x14ac:dyDescent="0.25">
      <c r="G1534" s="2" t="str">
        <f ca="1">IFERROR(__xludf.DUMMYFUNCTION("""COMPUTED_VALUE"""),"Letters to Juliet ")</f>
        <v>Letters to Juliet </v>
      </c>
      <c r="H1534" s="2">
        <v>23021560</v>
      </c>
    </row>
    <row r="1535" spans="7:8" x14ac:dyDescent="0.25">
      <c r="G1535" s="2" t="str">
        <f ca="1">IFERROR(__xludf.DUMMYFUNCTION("""COMPUTED_VALUE"""),"Black Rain ")</f>
        <v>Black Rain </v>
      </c>
      <c r="H1535" s="2">
        <v>15645204</v>
      </c>
    </row>
    <row r="1536" spans="7:8" x14ac:dyDescent="0.25">
      <c r="G1536" s="2" t="str">
        <f ca="1">IFERROR(__xludf.DUMMYFUNCTION("""COMPUTED_VALUE"""),"Corpse Bride ")</f>
        <v>Corpse Bride </v>
      </c>
      <c r="H1536" s="2">
        <v>13337608</v>
      </c>
    </row>
    <row r="1537" spans="7:8" x14ac:dyDescent="0.25">
      <c r="G1537" s="2" t="str">
        <f ca="1">IFERROR(__xludf.DUMMYFUNCTION("""COMPUTED_VALUE"""),"Sicario ")</f>
        <v>Sicario </v>
      </c>
      <c r="H1537" s="2">
        <v>16875468</v>
      </c>
    </row>
    <row r="1538" spans="7:8" x14ac:dyDescent="0.25">
      <c r="G1538" s="2" t="str">
        <f ca="1">IFERROR(__xludf.DUMMYFUNCTION("""COMPUTED_VALUE"""),"Southpaw ")</f>
        <v>Southpaw </v>
      </c>
      <c r="H1538" s="2">
        <v>22418902</v>
      </c>
    </row>
    <row r="1539" spans="7:8" x14ac:dyDescent="0.25">
      <c r="G1539" s="2" t="str">
        <f ca="1">IFERROR(__xludf.DUMMYFUNCTION("""COMPUTED_VALUE"""),"Drag Me to Hell ")</f>
        <v>Drag Me to Hell </v>
      </c>
      <c r="H1539" s="2">
        <v>12057340</v>
      </c>
    </row>
    <row r="1540" spans="7:8" x14ac:dyDescent="0.25">
      <c r="G1540" s="2" t="str">
        <f ca="1">IFERROR(__xludf.DUMMYFUNCTION("""COMPUTED_VALUE"""),"The Age of Adaline ")</f>
        <v>The Age of Adaline </v>
      </c>
      <c r="H1540" s="2">
        <v>17478175</v>
      </c>
    </row>
    <row r="1541" spans="7:8" x14ac:dyDescent="0.25">
      <c r="G1541" s="2" t="str">
        <f ca="1">IFERROR(__xludf.DUMMYFUNCTION("""COMPUTED_VALUE"""),"Secondhand Lions ")</f>
        <v>Secondhand Lions </v>
      </c>
      <c r="H1541" s="2">
        <v>11407470</v>
      </c>
    </row>
    <row r="1542" spans="7:8" x14ac:dyDescent="0.25">
      <c r="G1542" s="2" t="str">
        <f ca="1">IFERROR(__xludf.DUMMYFUNCTION("""COMPUTED_VALUE"""),"Step Up 3D ")</f>
        <v>Step Up 3D </v>
      </c>
      <c r="H1542" s="2">
        <v>12385520</v>
      </c>
    </row>
    <row r="1543" spans="7:8" x14ac:dyDescent="0.25">
      <c r="G1543" s="2" t="str">
        <f ca="1">IFERROR(__xludf.DUMMYFUNCTION("""COMPUTED_VALUE"""),"Blue Crush ")</f>
        <v>Blue Crush </v>
      </c>
      <c r="H1543" s="2">
        <v>10118420</v>
      </c>
    </row>
    <row r="1544" spans="7:8" x14ac:dyDescent="0.25">
      <c r="G1544" s="2" t="str">
        <f ca="1">IFERROR(__xludf.DUMMYFUNCTION("""COMPUTED_VALUE"""),"Stranger Than Fiction ")</f>
        <v>Stranger Than Fiction </v>
      </c>
      <c r="H1544" s="2">
        <v>2137776</v>
      </c>
    </row>
    <row r="1545" spans="7:8" x14ac:dyDescent="0.25">
      <c r="G1545" s="2" t="str">
        <f ca="1">IFERROR(__xludf.DUMMYFUNCTION("""COMPUTED_VALUE"""),"30 Days of Night ")</f>
        <v>30 Days of Night </v>
      </c>
      <c r="H1545" s="2">
        <v>7568996</v>
      </c>
    </row>
    <row r="1546" spans="7:8" x14ac:dyDescent="0.25">
      <c r="G1546" s="2" t="str">
        <f ca="1">IFERROR(__xludf.DUMMYFUNCTION("""COMPUTED_VALUE"""),"The Cabin in the Woods ")</f>
        <v>The Cabin in the Woods </v>
      </c>
      <c r="H1546" s="2">
        <v>12043633</v>
      </c>
    </row>
    <row r="1547" spans="7:8" x14ac:dyDescent="0.25">
      <c r="G1547" s="2" t="str">
        <f ca="1">IFERROR(__xludf.DUMMYFUNCTION("""COMPUTED_VALUE"""),"Meet the Spartans ")</f>
        <v>Meet the Spartans </v>
      </c>
      <c r="H1547" s="2">
        <v>8232624</v>
      </c>
    </row>
    <row r="1548" spans="7:8" x14ac:dyDescent="0.25">
      <c r="G1548" s="2" t="str">
        <f ca="1">IFERROR(__xludf.DUMMYFUNCTION("""COMPUTED_VALUE"""),"Midnight Run ")</f>
        <v>Midnight Run </v>
      </c>
      <c r="H1548" s="2">
        <v>8413606</v>
      </c>
    </row>
    <row r="1549" spans="7:8" x14ac:dyDescent="0.25">
      <c r="G1549" s="2" t="str">
        <f ca="1">IFERROR(__xludf.DUMMYFUNCTION("""COMPUTED_VALUE"""),"The Running Man ")</f>
        <v>The Running Man </v>
      </c>
      <c r="H1549" s="2">
        <v>11122105</v>
      </c>
    </row>
    <row r="1550" spans="7:8" x14ac:dyDescent="0.25">
      <c r="G1550" s="2" t="str">
        <f ca="1">IFERROR(__xludf.DUMMYFUNCTION("""COMPUTED_VALUE"""),"Little Shop of Horrors ")</f>
        <v>Little Shop of Horrors </v>
      </c>
      <c r="H1550" s="2">
        <v>13747385</v>
      </c>
    </row>
    <row r="1551" spans="7:8" x14ac:dyDescent="0.25">
      <c r="G1551" s="2" t="str">
        <f ca="1">IFERROR(__xludf.DUMMYFUNCTION("""COMPUTED_VALUE"""),"Hanna ")</f>
        <v>Hanna </v>
      </c>
      <c r="H1551" s="2">
        <v>10247512</v>
      </c>
    </row>
    <row r="1552" spans="7:8" x14ac:dyDescent="0.25">
      <c r="G1552" s="2" t="str">
        <f ca="1">IFERROR(__xludf.DUMMYFUNCTION("""COMPUTED_VALUE"""),"Mortal Kombat: Annihilation ")</f>
        <v>Mortal Kombat: Annihilation </v>
      </c>
      <c r="H1552" s="2">
        <v>5927406</v>
      </c>
    </row>
    <row r="1553" spans="7:8" x14ac:dyDescent="0.25">
      <c r="G1553" s="2" t="str">
        <f ca="1">IFERROR(__xludf.DUMMYFUNCTION("""COMPUTED_VALUE"""),"Larry Crowne ")</f>
        <v>Larry Crowne </v>
      </c>
      <c r="H1553" s="2">
        <v>5565975</v>
      </c>
    </row>
    <row r="1554" spans="7:8" x14ac:dyDescent="0.25">
      <c r="G1554" s="2" t="str">
        <f ca="1">IFERROR(__xludf.DUMMYFUNCTION("""COMPUTED_VALUE"""),"Carrie ")</f>
        <v>Carrie </v>
      </c>
      <c r="H1554" s="2">
        <v>5266619</v>
      </c>
    </row>
    <row r="1555" spans="7:8" x14ac:dyDescent="0.25">
      <c r="G1555" s="2" t="str">
        <f ca="1">IFERROR(__xludf.DUMMYFUNCTION("""COMPUTED_VALUE"""),"Take the Lead ")</f>
        <v>Take the Lead </v>
      </c>
      <c r="H1555" s="2">
        <v>4703228</v>
      </c>
    </row>
    <row r="1556" spans="7:8" x14ac:dyDescent="0.25">
      <c r="G1556" s="2" t="str">
        <f ca="1">IFERROR(__xludf.DUMMYFUNCTION("""COMPUTED_VALUE"""),"Gridiron Gang ")</f>
        <v>Gridiron Gang </v>
      </c>
      <c r="H1556" s="2">
        <v>8432823</v>
      </c>
    </row>
    <row r="1557" spans="7:8" x14ac:dyDescent="0.25">
      <c r="G1557" s="2" t="str">
        <f ca="1">IFERROR(__xludf.DUMMYFUNCTION("""COMPUTED_VALUE"""),"What's the Worst That Could Happen? ")</f>
        <v>What's the Worst That Could Happen? </v>
      </c>
      <c r="H1557" s="2">
        <v>-12904682</v>
      </c>
    </row>
    <row r="1558" spans="7:8" x14ac:dyDescent="0.25">
      <c r="G1558" s="2" t="str">
        <f ca="1">IFERROR(__xludf.DUMMYFUNCTION("""COMPUTED_VALUE"""),"9 ")</f>
        <v>9 </v>
      </c>
      <c r="H1558" s="2">
        <v>1743332</v>
      </c>
    </row>
    <row r="1559" spans="7:8" x14ac:dyDescent="0.25">
      <c r="G1559" s="2" t="str">
        <f ca="1">IFERROR(__xludf.DUMMYFUNCTION("""COMPUTED_VALUE"""),"Side Effects ")</f>
        <v>Side Effects </v>
      </c>
      <c r="H1559" s="2">
        <v>2154410</v>
      </c>
    </row>
    <row r="1560" spans="7:8" x14ac:dyDescent="0.25">
      <c r="G1560" s="2" t="str">
        <f ca="1">IFERROR(__xludf.DUMMYFUNCTION("""COMPUTED_VALUE"""),"Winnie the Pooh ")</f>
        <v>Winnie the Pooh </v>
      </c>
      <c r="H1560" s="2">
        <v>-3312828</v>
      </c>
    </row>
    <row r="1561" spans="7:8" x14ac:dyDescent="0.25">
      <c r="G1561" s="2" t="str">
        <f ca="1">IFERROR(__xludf.DUMMYFUNCTION("""COMPUTED_VALUE"""),"Dumb and Dumberer: When Harry Met Lloyd ")</f>
        <v>Dumb and Dumberer: When Harry Met Lloyd </v>
      </c>
      <c r="H1561" s="2">
        <v>7096584</v>
      </c>
    </row>
    <row r="1562" spans="7:8" x14ac:dyDescent="0.25">
      <c r="G1562" s="2" t="str">
        <f ca="1">IFERROR(__xludf.DUMMYFUNCTION("""COMPUTED_VALUE"""),"Bulworth ")</f>
        <v>Bulworth </v>
      </c>
      <c r="H1562" s="2">
        <v>-3474166</v>
      </c>
    </row>
    <row r="1563" spans="7:8" x14ac:dyDescent="0.25">
      <c r="G1563" s="2" t="str">
        <f ca="1">IFERROR(__xludf.DUMMYFUNCTION("""COMPUTED_VALUE"""),"Get on Up ")</f>
        <v>Get on Up </v>
      </c>
      <c r="H1563" s="2">
        <v>513940</v>
      </c>
    </row>
    <row r="1564" spans="7:8" x14ac:dyDescent="0.25">
      <c r="G1564" s="2" t="str">
        <f ca="1">IFERROR(__xludf.DUMMYFUNCTION("""COMPUTED_VALUE"""),"One True Thing ")</f>
        <v>One True Thing </v>
      </c>
      <c r="H1564" s="2">
        <v>-6790560</v>
      </c>
    </row>
    <row r="1565" spans="7:8" x14ac:dyDescent="0.25">
      <c r="G1565" s="2" t="str">
        <f ca="1">IFERROR(__xludf.DUMMYFUNCTION("""COMPUTED_VALUE"""),"Virtuosity ")</f>
        <v>Virtuosity </v>
      </c>
      <c r="H1565" s="2">
        <v>-5952000</v>
      </c>
    </row>
    <row r="1566" spans="7:8" x14ac:dyDescent="0.25">
      <c r="G1566" s="2" t="str">
        <f ca="1">IFERROR(__xludf.DUMMYFUNCTION("""COMPUTED_VALUE"""),"My Super Ex-Girlfriend ")</f>
        <v>My Super Ex-Girlfriend </v>
      </c>
      <c r="H1566" s="2">
        <v>-7473856</v>
      </c>
    </row>
    <row r="1567" spans="7:8" x14ac:dyDescent="0.25">
      <c r="G1567" s="2" t="str">
        <f ca="1">IFERROR(__xludf.DUMMYFUNCTION("""COMPUTED_VALUE"""),"Deliver Us from Evil ")</f>
        <v>Deliver Us from Evil </v>
      </c>
      <c r="H1567" s="2">
        <v>523568</v>
      </c>
    </row>
    <row r="1568" spans="7:8" x14ac:dyDescent="0.25">
      <c r="G1568" s="2" t="str">
        <f ca="1">IFERROR(__xludf.DUMMYFUNCTION("""COMPUTED_VALUE"""),"Sanctum ")</f>
        <v>Sanctum </v>
      </c>
      <c r="H1568" s="2">
        <v>-6929955</v>
      </c>
    </row>
    <row r="1569" spans="7:8" x14ac:dyDescent="0.25">
      <c r="G1569" s="2" t="str">
        <f ca="1">IFERROR(__xludf.DUMMYFUNCTION("""COMPUTED_VALUE"""),"Little Black Book ")</f>
        <v>Little Black Book </v>
      </c>
      <c r="H1569" s="2">
        <v>-14577793</v>
      </c>
    </row>
    <row r="1570" spans="7:8" x14ac:dyDescent="0.25">
      <c r="G1570" s="2" t="str">
        <f ca="1">IFERROR(__xludf.DUMMYFUNCTION("""COMPUTED_VALUE"""),"The Five-Year Engagement ")</f>
        <v>The Five-Year Engagement </v>
      </c>
      <c r="H1570" s="2">
        <v>-1355230</v>
      </c>
    </row>
    <row r="1571" spans="7:8" x14ac:dyDescent="0.25">
      <c r="G1571" s="2" t="str">
        <f ca="1">IFERROR(__xludf.DUMMYFUNCTION("""COMPUTED_VALUE"""),"Mr 3000 ")</f>
        <v>Mr 3000 </v>
      </c>
      <c r="H1571" s="2">
        <v>-8199698</v>
      </c>
    </row>
    <row r="1572" spans="7:8" x14ac:dyDescent="0.25">
      <c r="G1572" s="2" t="str">
        <f ca="1">IFERROR(__xludf.DUMMYFUNCTION("""COMPUTED_VALUE"""),"The Next Three Days ")</f>
        <v>The Next Three Days </v>
      </c>
      <c r="H1572" s="2">
        <v>-13870652</v>
      </c>
    </row>
    <row r="1573" spans="7:8" x14ac:dyDescent="0.25">
      <c r="G1573" s="2" t="str">
        <f ca="1">IFERROR(__xludf.DUMMYFUNCTION("""COMPUTED_VALUE"""),"Ultraviolet ")</f>
        <v>Ultraviolet </v>
      </c>
      <c r="H1573" s="2">
        <v>-11499034</v>
      </c>
    </row>
    <row r="1574" spans="7:8" x14ac:dyDescent="0.25">
      <c r="G1574" s="2" t="str">
        <f ca="1">IFERROR(__xludf.DUMMYFUNCTION("""COMPUTED_VALUE"""),"Assault on Precinct 13 ")</f>
        <v>Assault on Precinct 13 </v>
      </c>
      <c r="H1574" s="2">
        <v>-23927</v>
      </c>
    </row>
    <row r="1575" spans="7:8" x14ac:dyDescent="0.25">
      <c r="G1575" s="2" t="str">
        <f ca="1">IFERROR(__xludf.DUMMYFUNCTION("""COMPUTED_VALUE"""),"The Replacement Killers ")</f>
        <v>The Replacement Killers </v>
      </c>
      <c r="H1575" s="2">
        <v>-11032429</v>
      </c>
    </row>
    <row r="1576" spans="7:8" x14ac:dyDescent="0.25">
      <c r="G1576" s="2" t="str">
        <f ca="1">IFERROR(__xludf.DUMMYFUNCTION("""COMPUTED_VALUE"""),"Fled ")</f>
        <v>Fled </v>
      </c>
      <c r="H1576" s="2">
        <v>-7900000</v>
      </c>
    </row>
    <row r="1577" spans="7:8" x14ac:dyDescent="0.25">
      <c r="G1577" s="2" t="str">
        <f ca="1">IFERROR(__xludf.DUMMYFUNCTION("""COMPUTED_VALUE"""),"Eight Legged Freaks ")</f>
        <v>Eight Legged Freaks </v>
      </c>
      <c r="H1577" s="2">
        <v>-12733495</v>
      </c>
    </row>
    <row r="1578" spans="7:8" x14ac:dyDescent="0.25">
      <c r="G1578" s="2" t="str">
        <f ca="1">IFERROR(__xludf.DUMMYFUNCTION("""COMPUTED_VALUE"""),"Love &amp; Other Drugs ")</f>
        <v>Love &amp; Other Drugs </v>
      </c>
      <c r="H1578" s="2">
        <v>2357532</v>
      </c>
    </row>
    <row r="1579" spans="7:8" x14ac:dyDescent="0.25">
      <c r="G1579" s="2" t="str">
        <f ca="1">IFERROR(__xludf.DUMMYFUNCTION("""COMPUTED_VALUE"""),"88 Minutes ")</f>
        <v>88 Minutes </v>
      </c>
      <c r="H1579" s="2">
        <v>-13069116</v>
      </c>
    </row>
    <row r="1580" spans="7:8" x14ac:dyDescent="0.25">
      <c r="G1580" s="2" t="str">
        <f ca="1">IFERROR(__xludf.DUMMYFUNCTION("""COMPUTED_VALUE"""),"North Country ")</f>
        <v>North Country </v>
      </c>
      <c r="H1580" s="2">
        <v>-16675758</v>
      </c>
    </row>
    <row r="1581" spans="7:8" x14ac:dyDescent="0.25">
      <c r="G1581" s="2" t="str">
        <f ca="1">IFERROR(__xludf.DUMMYFUNCTION("""COMPUTED_VALUE"""),"The Whole Ten Yards ")</f>
        <v>The Whole Ten Yards </v>
      </c>
      <c r="H1581" s="2">
        <v>-23676031</v>
      </c>
    </row>
    <row r="1582" spans="7:8" x14ac:dyDescent="0.25">
      <c r="G1582" s="2" t="str">
        <f ca="1">IFERROR(__xludf.DUMMYFUNCTION("""COMPUTED_VALUE"""),"Splice ")</f>
        <v>Splice </v>
      </c>
      <c r="H1582" s="2">
        <v>-9000954</v>
      </c>
    </row>
    <row r="1583" spans="7:8" x14ac:dyDescent="0.25">
      <c r="G1583" s="2" t="str">
        <f ca="1">IFERROR(__xludf.DUMMYFUNCTION("""COMPUTED_VALUE"""),"Howard the Duck ")</f>
        <v>Howard the Duck </v>
      </c>
      <c r="H1583" s="2">
        <v>-18704226</v>
      </c>
    </row>
    <row r="1584" spans="7:8" x14ac:dyDescent="0.25">
      <c r="G1584" s="2" t="str">
        <f ca="1">IFERROR(__xludf.DUMMYFUNCTION("""COMPUTED_VALUE"""),"Pride and Glory ")</f>
        <v>Pride and Glory </v>
      </c>
      <c r="H1584" s="2">
        <v>-14290615</v>
      </c>
    </row>
    <row r="1585" spans="7:8" x14ac:dyDescent="0.25">
      <c r="G1585" s="2" t="str">
        <f ca="1">IFERROR(__xludf.DUMMYFUNCTION("""COMPUTED_VALUE"""),"The Cave ")</f>
        <v>The Cave </v>
      </c>
      <c r="H1585" s="2">
        <v>-15111972</v>
      </c>
    </row>
    <row r="1586" spans="7:8" x14ac:dyDescent="0.25">
      <c r="G1586" s="2" t="str">
        <f ca="1">IFERROR(__xludf.DUMMYFUNCTION("""COMPUTED_VALUE"""),"Alex &amp; Emma ")</f>
        <v>Alex &amp; Emma </v>
      </c>
      <c r="H1586" s="2">
        <v>-15791616</v>
      </c>
    </row>
    <row r="1587" spans="7:8" x14ac:dyDescent="0.25">
      <c r="G1587" s="2" t="str">
        <f ca="1">IFERROR(__xludf.DUMMYFUNCTION("""COMPUTED_VALUE"""),"Wicker Park ")</f>
        <v>Wicker Park </v>
      </c>
      <c r="H1587" s="2">
        <v>-17168879</v>
      </c>
    </row>
    <row r="1588" spans="7:8" x14ac:dyDescent="0.25">
      <c r="G1588" s="2" t="str">
        <f ca="1">IFERROR(__xludf.DUMMYFUNCTION("""COMPUTED_VALUE"""),"Fright Night ")</f>
        <v>Fright Night </v>
      </c>
      <c r="H1588" s="2">
        <v>-11701351</v>
      </c>
    </row>
    <row r="1589" spans="7:8" x14ac:dyDescent="0.25">
      <c r="G1589" s="2" t="str">
        <f ca="1">IFERROR(__xludf.DUMMYFUNCTION("""COMPUTED_VALUE"""),"The New World ")</f>
        <v>The New World </v>
      </c>
      <c r="H1589" s="2">
        <v>-17287907</v>
      </c>
    </row>
    <row r="1590" spans="7:8" x14ac:dyDescent="0.25">
      <c r="G1590" s="2" t="str">
        <f ca="1">IFERROR(__xludf.DUMMYFUNCTION("""COMPUTED_VALUE"""),"Wing Commander ")</f>
        <v>Wing Commander </v>
      </c>
      <c r="H1590" s="2">
        <v>-18423913</v>
      </c>
    </row>
    <row r="1591" spans="7:8" x14ac:dyDescent="0.25">
      <c r="G1591" s="2" t="str">
        <f ca="1">IFERROR(__xludf.DUMMYFUNCTION("""COMPUTED_VALUE"""),"In Dreams ")</f>
        <v>In Dreams </v>
      </c>
      <c r="H1591" s="2">
        <v>-18100000</v>
      </c>
    </row>
    <row r="1592" spans="7:8" x14ac:dyDescent="0.25">
      <c r="G1592" s="2" t="str">
        <f ca="1">IFERROR(__xludf.DUMMYFUNCTION("""COMPUTED_VALUE"""),"Dragonball: Evolution ")</f>
        <v>Dragonball: Evolution </v>
      </c>
      <c r="H1592" s="2">
        <v>-35646427</v>
      </c>
    </row>
    <row r="1593" spans="7:8" x14ac:dyDescent="0.25">
      <c r="G1593" s="2" t="str">
        <f ca="1">IFERROR(__xludf.DUMMYFUNCTION("""COMPUTED_VALUE"""),"The Last Stand ")</f>
        <v>The Last Stand </v>
      </c>
      <c r="H1593" s="2">
        <v>-32973330</v>
      </c>
    </row>
    <row r="1594" spans="7:8" x14ac:dyDescent="0.25">
      <c r="G1594" s="2" t="str">
        <f ca="1">IFERROR(__xludf.DUMMYFUNCTION("""COMPUTED_VALUE"""),"Godsend ")</f>
        <v>Godsend </v>
      </c>
      <c r="H1594" s="2">
        <v>-10665355</v>
      </c>
    </row>
    <row r="1595" spans="7:8" x14ac:dyDescent="0.25">
      <c r="G1595" s="2" t="str">
        <f ca="1">IFERROR(__xludf.DUMMYFUNCTION("""COMPUTED_VALUE"""),"Chasing Liberty ")</f>
        <v>Chasing Liberty </v>
      </c>
      <c r="H1595" s="2">
        <v>-10810486</v>
      </c>
    </row>
    <row r="1596" spans="7:8" x14ac:dyDescent="0.25">
      <c r="G1596" s="2" t="str">
        <f ca="1">IFERROR(__xludf.DUMMYFUNCTION("""COMPUTED_VALUE"""),"Hoodwinked Too! Hood vs. Evil ")</f>
        <v>Hoodwinked Too! Hood vs. Evil </v>
      </c>
      <c r="H1596" s="2">
        <v>-19865246</v>
      </c>
    </row>
    <row r="1597" spans="7:8" x14ac:dyDescent="0.25">
      <c r="G1597" s="2" t="str">
        <f ca="1">IFERROR(__xludf.DUMMYFUNCTION("""COMPUTED_VALUE"""),"An Unfinished Life ")</f>
        <v>An Unfinished Life </v>
      </c>
      <c r="H1597" s="2">
        <v>-21464425</v>
      </c>
    </row>
    <row r="1598" spans="7:8" x14ac:dyDescent="0.25">
      <c r="G1598" s="2" t="str">
        <f ca="1">IFERROR(__xludf.DUMMYFUNCTION("""COMPUTED_VALUE"""),"The Imaginarium of Doctor Parnassus ")</f>
        <v>The Imaginarium of Doctor Parnassus </v>
      </c>
      <c r="H1598" s="2">
        <v>-32310542</v>
      </c>
    </row>
    <row r="1599" spans="7:8" x14ac:dyDescent="0.25">
      <c r="G1599" s="2" t="str">
        <f ca="1">IFERROR(__xludf.DUMMYFUNCTION("""COMPUTED_VALUE"""),"Runner Runner ")</f>
        <v>Runner Runner </v>
      </c>
      <c r="H1599" s="2">
        <v>-10683354</v>
      </c>
    </row>
    <row r="1600" spans="7:8" x14ac:dyDescent="0.25">
      <c r="G1600" s="2" t="str">
        <f ca="1">IFERROR(__xludf.DUMMYFUNCTION("""COMPUTED_VALUE"""),"Antitrust ")</f>
        <v>Antitrust </v>
      </c>
      <c r="H1600" s="2">
        <v>-19034791</v>
      </c>
    </row>
    <row r="1601" spans="7:8" x14ac:dyDescent="0.25">
      <c r="G1601" s="2" t="str">
        <f ca="1">IFERROR(__xludf.DUMMYFUNCTION("""COMPUTED_VALUE"""),"Glory ")</f>
        <v>Glory </v>
      </c>
      <c r="H1601" s="2">
        <v>8830000</v>
      </c>
    </row>
    <row r="1602" spans="7:8" x14ac:dyDescent="0.25">
      <c r="G1602" s="2" t="str">
        <f ca="1">IFERROR(__xludf.DUMMYFUNCTION("""COMPUTED_VALUE"""),"Once Upon a Time in America ")</f>
        <v>Once Upon a Time in America </v>
      </c>
      <c r="H1602" s="2">
        <v>-24700000</v>
      </c>
    </row>
    <row r="1603" spans="7:8" x14ac:dyDescent="0.25">
      <c r="G1603" s="2" t="str">
        <f ca="1">IFERROR(__xludf.DUMMYFUNCTION("""COMPUTED_VALUE"""),"Dead Man Down ")</f>
        <v>Dead Man Down </v>
      </c>
      <c r="H1603" s="2">
        <v>-19119074</v>
      </c>
    </row>
    <row r="1604" spans="7:8" x14ac:dyDescent="0.25">
      <c r="G1604" s="2" t="str">
        <f ca="1">IFERROR(__xludf.DUMMYFUNCTION("""COMPUTED_VALUE"""),"The Merchant of Venice ")</f>
        <v>The Merchant of Venice </v>
      </c>
      <c r="H1604" s="2">
        <v>-14247275</v>
      </c>
    </row>
    <row r="1605" spans="7:8" x14ac:dyDescent="0.25">
      <c r="G1605" s="2" t="str">
        <f ca="1">IFERROR(__xludf.DUMMYFUNCTION("""COMPUTED_VALUE"""),"The Good Thief ")</f>
        <v>The Good Thief </v>
      </c>
      <c r="H1605" s="2">
        <v>-21482203</v>
      </c>
    </row>
    <row r="1606" spans="7:8" x14ac:dyDescent="0.25">
      <c r="G1606" s="2" t="str">
        <f ca="1">IFERROR(__xludf.DUMMYFUNCTION("""COMPUTED_VALUE"""),"Miss Potter ")</f>
        <v>Miss Potter </v>
      </c>
      <c r="H1606" s="2">
        <v>-27024351</v>
      </c>
    </row>
    <row r="1607" spans="7:8" x14ac:dyDescent="0.25">
      <c r="G1607" s="2" t="str">
        <f ca="1">IFERROR(__xludf.DUMMYFUNCTION("""COMPUTED_VALUE"""),"The Promise ")</f>
        <v>The Promise </v>
      </c>
      <c r="H1607" s="2">
        <v>-59331829</v>
      </c>
    </row>
    <row r="1608" spans="7:8" x14ac:dyDescent="0.25">
      <c r="G1608" s="2" t="str">
        <f ca="1">IFERROR(__xludf.DUMMYFUNCTION("""COMPUTED_VALUE"""),"DOA: Dead or Alive ")</f>
        <v>DOA: Dead or Alive </v>
      </c>
      <c r="H1608" s="2">
        <v>-20519686</v>
      </c>
    </row>
    <row r="1609" spans="7:8" x14ac:dyDescent="0.25">
      <c r="G1609" s="2" t="str">
        <f ca="1">IFERROR(__xludf.DUMMYFUNCTION("""COMPUTED_VALUE"""),"The Assassination of Jesse James by the Coward Robert Ford ")</f>
        <v>The Assassination of Jesse James by the Coward Robert Ford </v>
      </c>
      <c r="H1609" s="2">
        <v>-26095018</v>
      </c>
    </row>
    <row r="1610" spans="7:8" x14ac:dyDescent="0.25">
      <c r="G1610" s="2" t="str">
        <f ca="1">IFERROR(__xludf.DUMMYFUNCTION("""COMPUTED_VALUE"""),"1911 ")</f>
        <v>1911 </v>
      </c>
      <c r="H1610" s="2">
        <v>-17872563</v>
      </c>
    </row>
    <row r="1611" spans="7:8" x14ac:dyDescent="0.25">
      <c r="G1611" s="2" t="str">
        <f ca="1">IFERROR(__xludf.DUMMYFUNCTION("""COMPUTED_VALUE"""),"Machine Gun Preacher ")</f>
        <v>Machine Gun Preacher </v>
      </c>
      <c r="H1611" s="2">
        <v>-29462420</v>
      </c>
    </row>
    <row r="1612" spans="7:8" x14ac:dyDescent="0.25">
      <c r="G1612" s="2" t="str">
        <f ca="1">IFERROR(__xludf.DUMMYFUNCTION("""COMPUTED_VALUE"""),"Pitch Perfect 2 ")</f>
        <v>Pitch Perfect 2 </v>
      </c>
      <c r="H1612" s="2">
        <v>154436380</v>
      </c>
    </row>
    <row r="1613" spans="7:8" x14ac:dyDescent="0.25">
      <c r="G1613" s="2" t="str">
        <f ca="1">IFERROR(__xludf.DUMMYFUNCTION("""COMPUTED_VALUE"""),"Walk the Line ")</f>
        <v>Walk the Line </v>
      </c>
      <c r="H1613" s="2">
        <v>91518352</v>
      </c>
    </row>
    <row r="1614" spans="7:8" x14ac:dyDescent="0.25">
      <c r="G1614" s="2" t="str">
        <f ca="1">IFERROR(__xludf.DUMMYFUNCTION("""COMPUTED_VALUE"""),"Keeping the Faith ")</f>
        <v>Keeping the Faith </v>
      </c>
      <c r="H1614" s="2">
        <v>7036404</v>
      </c>
    </row>
    <row r="1615" spans="7:8" x14ac:dyDescent="0.25">
      <c r="G1615" s="2" t="str">
        <f ca="1">IFERROR(__xludf.DUMMYFUNCTION("""COMPUTED_VALUE"""),"The Borrowers ")</f>
        <v>The Borrowers </v>
      </c>
      <c r="H1615" s="2">
        <v>-6640707</v>
      </c>
    </row>
    <row r="1616" spans="7:8" x14ac:dyDescent="0.25">
      <c r="G1616" s="2" t="str">
        <f ca="1">IFERROR(__xludf.DUMMYFUNCTION("""COMPUTED_VALUE"""),"Frost/Nixon ")</f>
        <v>Frost/Nixon </v>
      </c>
      <c r="H1616" s="2">
        <v>-16406844</v>
      </c>
    </row>
    <row r="1617" spans="7:8" x14ac:dyDescent="0.25">
      <c r="G1617" s="2" t="str">
        <f ca="1">IFERROR(__xludf.DUMMYFUNCTION("""COMPUTED_VALUE"""),"Serving Sara ")</f>
        <v>Serving Sara </v>
      </c>
      <c r="H1617" s="2">
        <v>-12069815</v>
      </c>
    </row>
    <row r="1618" spans="7:8" x14ac:dyDescent="0.25">
      <c r="G1618" s="2" t="str">
        <f ca="1">IFERROR(__xludf.DUMMYFUNCTION("""COMPUTED_VALUE"""),"The Boss ")</f>
        <v>The Boss </v>
      </c>
      <c r="H1618" s="2">
        <v>34034755</v>
      </c>
    </row>
    <row r="1619" spans="7:8" x14ac:dyDescent="0.25">
      <c r="G1619" s="2" t="str">
        <f ca="1">IFERROR(__xludf.DUMMYFUNCTION("""COMPUTED_VALUE"""),"Cry Freedom ")</f>
        <v>Cry Freedom </v>
      </c>
      <c r="H1619" s="2">
        <v>-23100203</v>
      </c>
    </row>
    <row r="1620" spans="7:8" x14ac:dyDescent="0.25">
      <c r="G1620" s="2" t="str">
        <f ca="1">IFERROR(__xludf.DUMMYFUNCTION("""COMPUTED_VALUE"""),"Mumford ")</f>
        <v>Mumford </v>
      </c>
      <c r="H1620" s="2">
        <v>-23445431</v>
      </c>
    </row>
    <row r="1621" spans="7:8" x14ac:dyDescent="0.25">
      <c r="G1621" s="2" t="str">
        <f ca="1">IFERROR(__xludf.DUMMYFUNCTION("""COMPUTED_VALUE"""),"Seed of Chucky ")</f>
        <v>Seed of Chucky </v>
      </c>
      <c r="H1621" s="2">
        <v>5016190</v>
      </c>
    </row>
    <row r="1622" spans="7:8" x14ac:dyDescent="0.25">
      <c r="G1622" s="2" t="str">
        <f ca="1">IFERROR(__xludf.DUMMYFUNCTION("""COMPUTED_VALUE"""),"The Jacket ")</f>
        <v>The Jacket </v>
      </c>
      <c r="H1622" s="2">
        <v>-22698869</v>
      </c>
    </row>
    <row r="1623" spans="7:8" x14ac:dyDescent="0.25">
      <c r="G1623" s="2" t="str">
        <f ca="1">IFERROR(__xludf.DUMMYFUNCTION("""COMPUTED_VALUE"""),"Aladdin ")</f>
        <v>Aladdin </v>
      </c>
      <c r="H1623" s="2">
        <v>189350219</v>
      </c>
    </row>
    <row r="1624" spans="7:8" x14ac:dyDescent="0.25">
      <c r="G1624" s="2" t="str">
        <f ca="1">IFERROR(__xludf.DUMMYFUNCTION("""COMPUTED_VALUE"""),"Straight Outta Compton ")</f>
        <v>Straight Outta Compton </v>
      </c>
      <c r="H1624" s="2">
        <v>133029270</v>
      </c>
    </row>
    <row r="1625" spans="7:8" x14ac:dyDescent="0.25">
      <c r="G1625" s="2" t="str">
        <f ca="1">IFERROR(__xludf.DUMMYFUNCTION("""COMPUTED_VALUE"""),"Indiana Jones and the Temple of Doom ")</f>
        <v>Indiana Jones and the Temple of Doom </v>
      </c>
      <c r="H1625" s="2">
        <v>151870271</v>
      </c>
    </row>
    <row r="1626" spans="7:8" x14ac:dyDescent="0.25">
      <c r="G1626" s="2" t="str">
        <f ca="1">IFERROR(__xludf.DUMMYFUNCTION("""COMPUTED_VALUE"""),"The Rugrats Movie ")</f>
        <v>The Rugrats Movie </v>
      </c>
      <c r="H1626" s="2">
        <v>76491683</v>
      </c>
    </row>
    <row r="1627" spans="7:8" x14ac:dyDescent="0.25">
      <c r="G1627" s="2" t="str">
        <f ca="1">IFERROR(__xludf.DUMMYFUNCTION("""COMPUTED_VALUE"""),"Along Came a Spider ")</f>
        <v>Along Came a Spider </v>
      </c>
      <c r="H1627" s="2">
        <v>14058698</v>
      </c>
    </row>
    <row r="1628" spans="7:8" x14ac:dyDescent="0.25">
      <c r="G1628" s="2" t="str">
        <f ca="1">IFERROR(__xludf.DUMMYFUNCTION("""COMPUTED_VALUE"""),"Once Upon a Time in Mexico ")</f>
        <v>Once Upon a Time in Mexico </v>
      </c>
      <c r="H1628" s="2">
        <v>26845943</v>
      </c>
    </row>
    <row r="1629" spans="7:8" x14ac:dyDescent="0.25">
      <c r="G1629" s="2" t="str">
        <f ca="1">IFERROR(__xludf.DUMMYFUNCTION("""COMPUTED_VALUE"""),"Die Hard ")</f>
        <v>Die Hard </v>
      </c>
      <c r="H1629" s="2">
        <v>53350242</v>
      </c>
    </row>
    <row r="1630" spans="7:8" x14ac:dyDescent="0.25">
      <c r="G1630" s="2" t="str">
        <f ca="1">IFERROR(__xludf.DUMMYFUNCTION("""COMPUTED_VALUE"""),"Role Models ")</f>
        <v>Role Models </v>
      </c>
      <c r="H1630" s="2">
        <v>39266300</v>
      </c>
    </row>
    <row r="1631" spans="7:8" x14ac:dyDescent="0.25">
      <c r="G1631" s="2" t="str">
        <f ca="1">IFERROR(__xludf.DUMMYFUNCTION("""COMPUTED_VALUE"""),"The Big Short ")</f>
        <v>The Big Short </v>
      </c>
      <c r="H1631" s="2">
        <v>42235322</v>
      </c>
    </row>
    <row r="1632" spans="7:8" x14ac:dyDescent="0.25">
      <c r="G1632" s="2" t="str">
        <f ca="1">IFERROR(__xludf.DUMMYFUNCTION("""COMPUTED_VALUE"""),"Taking Woodstock ")</f>
        <v>Taking Woodstock </v>
      </c>
      <c r="H1632" s="2">
        <v>-22556993</v>
      </c>
    </row>
    <row r="1633" spans="7:8" x14ac:dyDescent="0.25">
      <c r="G1633" s="2" t="str">
        <f ca="1">IFERROR(__xludf.DUMMYFUNCTION("""COMPUTED_VALUE"""),"Miracle ")</f>
        <v>Miracle </v>
      </c>
      <c r="H1633" s="2">
        <v>36371181</v>
      </c>
    </row>
    <row r="1634" spans="7:8" x14ac:dyDescent="0.25">
      <c r="G1634" s="2" t="str">
        <f ca="1">IFERROR(__xludf.DUMMYFUNCTION("""COMPUTED_VALUE"""),"Dawn of the Dead ")</f>
        <v>Dawn of the Dead </v>
      </c>
      <c r="H1634" s="2">
        <v>32885635</v>
      </c>
    </row>
    <row r="1635" spans="7:8" x14ac:dyDescent="0.25">
      <c r="G1635" s="2" t="str">
        <f ca="1">IFERROR(__xludf.DUMMYFUNCTION("""COMPUTED_VALUE"""),"The Wedding Planner ")</f>
        <v>The Wedding Planner </v>
      </c>
      <c r="H1635" s="2">
        <v>25400856</v>
      </c>
    </row>
    <row r="1636" spans="7:8" x14ac:dyDescent="0.25">
      <c r="G1636" s="2" t="str">
        <f ca="1">IFERROR(__xludf.DUMMYFUNCTION("""COMPUTED_VALUE"""),"The Royal Tenenbaums ")</f>
        <v>The Royal Tenenbaums </v>
      </c>
      <c r="H1636" s="2">
        <v>31353636</v>
      </c>
    </row>
    <row r="1637" spans="7:8" x14ac:dyDescent="0.25">
      <c r="G1637" s="2" t="str">
        <f ca="1">IFERROR(__xludf.DUMMYFUNCTION("""COMPUTED_VALUE"""),"Identity ")</f>
        <v>Identity </v>
      </c>
      <c r="H1637" s="2">
        <v>21475962</v>
      </c>
    </row>
    <row r="1638" spans="7:8" x14ac:dyDescent="0.25">
      <c r="G1638" s="2" t="str">
        <f ca="1">IFERROR(__xludf.DUMMYFUNCTION("""COMPUTED_VALUE"""),"Last Vegas ")</f>
        <v>Last Vegas </v>
      </c>
      <c r="H1638" s="2">
        <v>35910583</v>
      </c>
    </row>
    <row r="1639" spans="7:8" x14ac:dyDescent="0.25">
      <c r="G1639" s="2" t="str">
        <f ca="1">IFERROR(__xludf.DUMMYFUNCTION("""COMPUTED_VALUE"""),"For Your Eyes Only ")</f>
        <v>For Your Eyes Only </v>
      </c>
      <c r="H1639" s="2">
        <v>34300000</v>
      </c>
    </row>
    <row r="1640" spans="7:8" x14ac:dyDescent="0.25">
      <c r="G1640" s="2" t="str">
        <f ca="1">IFERROR(__xludf.DUMMYFUNCTION("""COMPUTED_VALUE"""),"Serendipity ")</f>
        <v>Serendipity </v>
      </c>
      <c r="H1640" s="2">
        <v>21968653</v>
      </c>
    </row>
    <row r="1641" spans="7:8" x14ac:dyDescent="0.25">
      <c r="G1641" s="2" t="str">
        <f ca="1">IFERROR(__xludf.DUMMYFUNCTION("""COMPUTED_VALUE"""),"Timecop ")</f>
        <v>Timecop </v>
      </c>
      <c r="H1641" s="2">
        <v>17450000</v>
      </c>
    </row>
    <row r="1642" spans="7:8" x14ac:dyDescent="0.25">
      <c r="G1642" s="2" t="str">
        <f ca="1">IFERROR(__xludf.DUMMYFUNCTION("""COMPUTED_VALUE"""),"Zoolander ")</f>
        <v>Zoolander </v>
      </c>
      <c r="H1642" s="2">
        <v>17162741</v>
      </c>
    </row>
    <row r="1643" spans="7:8" x14ac:dyDescent="0.25">
      <c r="G1643" s="2" t="str">
        <f ca="1">IFERROR(__xludf.DUMMYFUNCTION("""COMPUTED_VALUE"""),"Safe Haven ")</f>
        <v>Safe Haven </v>
      </c>
      <c r="H1643" s="2">
        <v>43346930</v>
      </c>
    </row>
    <row r="1644" spans="7:8" x14ac:dyDescent="0.25">
      <c r="G1644" s="2" t="str">
        <f ca="1">IFERROR(__xludf.DUMMYFUNCTION("""COMPUTED_VALUE"""),"Hocus Pocus ")</f>
        <v>Hocus Pocus </v>
      </c>
      <c r="H1644" s="2">
        <v>11514713</v>
      </c>
    </row>
    <row r="1645" spans="7:8" x14ac:dyDescent="0.25">
      <c r="G1645" s="2" t="str">
        <f ca="1">IFERROR(__xludf.DUMMYFUNCTION("""COMPUTED_VALUE"""),"No Reservations ")</f>
        <v>No Reservations </v>
      </c>
      <c r="H1645" s="2">
        <v>15097652</v>
      </c>
    </row>
    <row r="1646" spans="7:8" x14ac:dyDescent="0.25">
      <c r="G1646" s="2" t="str">
        <f ca="1">IFERROR(__xludf.DUMMYFUNCTION("""COMPUTED_VALUE"""),"Kick-Ass ")</f>
        <v>Kick-Ass </v>
      </c>
      <c r="H1646" s="2">
        <v>18043505</v>
      </c>
    </row>
    <row r="1647" spans="7:8" x14ac:dyDescent="0.25">
      <c r="G1647" s="2" t="str">
        <f ca="1">IFERROR(__xludf.DUMMYFUNCTION("""COMPUTED_VALUE"""),"30 Minutes or Less ")</f>
        <v>30 Minutes or Less </v>
      </c>
      <c r="H1647" s="2">
        <v>9053924</v>
      </c>
    </row>
    <row r="1648" spans="7:8" x14ac:dyDescent="0.25">
      <c r="G1648" s="2" t="str">
        <f ca="1">IFERROR(__xludf.DUMMYFUNCTION("""COMPUTED_VALUE"""),"Dracula 2000 ")</f>
        <v>Dracula 2000 </v>
      </c>
      <c r="H1648" s="2">
        <v>5000377</v>
      </c>
    </row>
    <row r="1649" spans="7:8" x14ac:dyDescent="0.25">
      <c r="G1649" s="2" t="str">
        <f ca="1">IFERROR(__xludf.DUMMYFUNCTION("""COMPUTED_VALUE"""),"Alexander and the Terrible, Horrible, No Good, Very Bad Day ")</f>
        <v>Alexander and the Terrible, Horrible, No Good, Very Bad Day </v>
      </c>
      <c r="H1649" s="2">
        <v>38950483</v>
      </c>
    </row>
    <row r="1650" spans="7:8" x14ac:dyDescent="0.25">
      <c r="G1650" s="2" t="str">
        <f ca="1">IFERROR(__xludf.DUMMYFUNCTION("""COMPUTED_VALUE"""),"Pride &amp; Prejudice ")</f>
        <v>Pride &amp; Prejudice </v>
      </c>
      <c r="H1650" s="2">
        <v>10372662</v>
      </c>
    </row>
    <row r="1651" spans="7:8" x14ac:dyDescent="0.25">
      <c r="G1651" s="2" t="str">
        <f ca="1">IFERROR(__xludf.DUMMYFUNCTION("""COMPUTED_VALUE"""),"Blade Runner ")</f>
        <v>Blade Runner </v>
      </c>
      <c r="H1651" s="2">
        <v>-1000000</v>
      </c>
    </row>
    <row r="1652" spans="7:8" x14ac:dyDescent="0.25">
      <c r="G1652" s="2" t="str">
        <f ca="1">IFERROR(__xludf.DUMMYFUNCTION("""COMPUTED_VALUE"""),"Rob Roy ")</f>
        <v>Rob Roy </v>
      </c>
      <c r="H1652" s="2">
        <v>3600000</v>
      </c>
    </row>
    <row r="1653" spans="7:8" x14ac:dyDescent="0.25">
      <c r="G1653" s="2" t="str">
        <f ca="1">IFERROR(__xludf.DUMMYFUNCTION("""COMPUTED_VALUE"""),"3 Days to Kill ")</f>
        <v>3 Days to Kill </v>
      </c>
      <c r="H1653" s="2">
        <v>2688364</v>
      </c>
    </row>
    <row r="1654" spans="7:8" x14ac:dyDescent="0.25">
      <c r="G1654" s="2" t="str">
        <f ca="1">IFERROR(__xludf.DUMMYFUNCTION("""COMPUTED_VALUE"""),"We Own the Night ")</f>
        <v>We Own the Night </v>
      </c>
      <c r="H1654" s="2">
        <v>7563179</v>
      </c>
    </row>
    <row r="1655" spans="7:8" x14ac:dyDescent="0.25">
      <c r="G1655" s="2" t="str">
        <f ca="1">IFERROR(__xludf.DUMMYFUNCTION("""COMPUTED_VALUE"""),"Lost Souls ")</f>
        <v>Lost Souls </v>
      </c>
      <c r="H1655" s="2">
        <v>-11220364</v>
      </c>
    </row>
    <row r="1656" spans="7:8" x14ac:dyDescent="0.25">
      <c r="G1656" s="2" t="str">
        <f ca="1">IFERROR(__xludf.DUMMYFUNCTION("""COMPUTED_VALUE"""),"Winged Migration ")</f>
        <v>Winged Migration </v>
      </c>
      <c r="H1656" s="2">
        <v>-149237822</v>
      </c>
    </row>
    <row r="1657" spans="7:8" x14ac:dyDescent="0.25">
      <c r="G1657" s="2" t="str">
        <f ca="1">IFERROR(__xludf.DUMMYFUNCTION("""COMPUTED_VALUE"""),"Just My Luck ")</f>
        <v>Just My Luck </v>
      </c>
      <c r="H1657" s="2">
        <v>-10675256</v>
      </c>
    </row>
    <row r="1658" spans="7:8" x14ac:dyDescent="0.25">
      <c r="G1658" s="2" t="str">
        <f ca="1">IFERROR(__xludf.DUMMYFUNCTION("""COMPUTED_VALUE"""),"Mystery, Alaska ")</f>
        <v>Mystery, Alaska </v>
      </c>
      <c r="H1658" s="2">
        <v>-19111857</v>
      </c>
    </row>
    <row r="1659" spans="7:8" x14ac:dyDescent="0.25">
      <c r="G1659" s="2" t="str">
        <f ca="1">IFERROR(__xludf.DUMMYFUNCTION("""COMPUTED_VALUE"""),"The Spy Next Door ")</f>
        <v>The Spy Next Door </v>
      </c>
      <c r="H1659" s="2">
        <v>-3731172</v>
      </c>
    </row>
    <row r="1660" spans="7:8" x14ac:dyDescent="0.25">
      <c r="G1660" s="2" t="str">
        <f ca="1">IFERROR(__xludf.DUMMYFUNCTION("""COMPUTED_VALUE"""),"A Simple Wish ")</f>
        <v>A Simple Wish </v>
      </c>
      <c r="H1660" s="2">
        <v>-19880795</v>
      </c>
    </row>
    <row r="1661" spans="7:8" x14ac:dyDescent="0.25">
      <c r="G1661" s="2" t="str">
        <f ca="1">IFERROR(__xludf.DUMMYFUNCTION("""COMPUTED_VALUE"""),"Ghosts of Mars ")</f>
        <v>Ghosts of Mars </v>
      </c>
      <c r="H1661" s="2">
        <v>-19565399</v>
      </c>
    </row>
    <row r="1662" spans="7:8" x14ac:dyDescent="0.25">
      <c r="G1662" s="2" t="str">
        <f ca="1">IFERROR(__xludf.DUMMYFUNCTION("""COMPUTED_VALUE"""),"Our Brand Is Crisis ")</f>
        <v>Our Brand Is Crisis </v>
      </c>
      <c r="H1662" s="2">
        <v>-21001676</v>
      </c>
    </row>
    <row r="1663" spans="7:8" x14ac:dyDescent="0.25">
      <c r="G1663" s="2" t="str">
        <f ca="1">IFERROR(__xludf.DUMMYFUNCTION("""COMPUTED_VALUE"""),"Pride and Prejudice and Zombies ")</f>
        <v>Pride and Prejudice and Zombies </v>
      </c>
      <c r="H1663" s="2">
        <v>-17092709</v>
      </c>
    </row>
    <row r="1664" spans="7:8" x14ac:dyDescent="0.25">
      <c r="G1664" s="2" t="str">
        <f ca="1">IFERROR(__xludf.DUMMYFUNCTION("""COMPUTED_VALUE"""),"Kundun ")</f>
        <v>Kundun </v>
      </c>
      <c r="H1664" s="2">
        <v>-22467699</v>
      </c>
    </row>
    <row r="1665" spans="7:8" x14ac:dyDescent="0.25">
      <c r="G1665" s="2" t="str">
        <f ca="1">IFERROR(__xludf.DUMMYFUNCTION("""COMPUTED_VALUE"""),"How to Lose Friends &amp; Alienate People ")</f>
        <v>How to Lose Friends &amp; Alienate People </v>
      </c>
      <c r="H1665" s="2">
        <v>-24224407</v>
      </c>
    </row>
    <row r="1666" spans="7:8" x14ac:dyDescent="0.25">
      <c r="G1666" s="2" t="str">
        <f ca="1">IFERROR(__xludf.DUMMYFUNCTION("""COMPUTED_VALUE"""),"Kick-Ass 2 ")</f>
        <v>Kick-Ass 2 </v>
      </c>
      <c r="H1666" s="2">
        <v>751715</v>
      </c>
    </row>
    <row r="1667" spans="7:8" x14ac:dyDescent="0.25">
      <c r="G1667" s="2" t="str">
        <f ca="1">IFERROR(__xludf.DUMMYFUNCTION("""COMPUTED_VALUE"""),"Brick Mansions ")</f>
        <v>Brick Mansions </v>
      </c>
      <c r="H1667" s="2">
        <v>-7714482</v>
      </c>
    </row>
    <row r="1668" spans="7:8" x14ac:dyDescent="0.25">
      <c r="G1668" s="2" t="str">
        <f ca="1">IFERROR(__xludf.DUMMYFUNCTION("""COMPUTED_VALUE"""),"Octopussy ")</f>
        <v>Octopussy </v>
      </c>
      <c r="H1668" s="2">
        <v>40400000</v>
      </c>
    </row>
    <row r="1669" spans="7:8" x14ac:dyDescent="0.25">
      <c r="G1669" s="2" t="str">
        <f ca="1">IFERROR(__xludf.DUMMYFUNCTION("""COMPUTED_VALUE"""),"Knocked Up ")</f>
        <v>Knocked Up </v>
      </c>
      <c r="H1669" s="2">
        <v>118734225</v>
      </c>
    </row>
    <row r="1670" spans="7:8" x14ac:dyDescent="0.25">
      <c r="G1670" s="2" t="str">
        <f ca="1">IFERROR(__xludf.DUMMYFUNCTION("""COMPUTED_VALUE"""),"My Sister's Keeper ")</f>
        <v>My Sister's Keeper </v>
      </c>
      <c r="H1670" s="2">
        <v>19185998</v>
      </c>
    </row>
    <row r="1671" spans="7:8" x14ac:dyDescent="0.25">
      <c r="G1671" s="2" t="str">
        <f ca="1">IFERROR(__xludf.DUMMYFUNCTION("""COMPUTED_VALUE"""),"Welcome Home, Roscoe Jenkins ")</f>
        <v>Welcome Home, Roscoe Jenkins </v>
      </c>
      <c r="H1671" s="2">
        <v>7168445</v>
      </c>
    </row>
    <row r="1672" spans="7:8" x14ac:dyDescent="0.25">
      <c r="G1672" s="2" t="str">
        <f ca="1">IFERROR(__xludf.DUMMYFUNCTION("""COMPUTED_VALUE"""),"A Passage to India ")</f>
        <v>A Passage to India </v>
      </c>
      <c r="H1672" s="2">
        <v>10400000</v>
      </c>
    </row>
    <row r="1673" spans="7:8" x14ac:dyDescent="0.25">
      <c r="G1673" s="2" t="str">
        <f ca="1">IFERROR(__xludf.DUMMYFUNCTION("""COMPUTED_VALUE"""),"Notes on a Scandal ")</f>
        <v>Notes on a Scandal </v>
      </c>
      <c r="H1673" s="2">
        <v>2508670</v>
      </c>
    </row>
    <row r="1674" spans="7:8" x14ac:dyDescent="0.25">
      <c r="G1674" s="2" t="str">
        <f ca="1">IFERROR(__xludf.DUMMYFUNCTION("""COMPUTED_VALUE"""),"Rendition ")</f>
        <v>Rendition </v>
      </c>
      <c r="H1674" s="2">
        <v>-17835684</v>
      </c>
    </row>
    <row r="1675" spans="7:8" x14ac:dyDescent="0.25">
      <c r="G1675" s="2" t="str">
        <f ca="1">IFERROR(__xludf.DUMMYFUNCTION("""COMPUTED_VALUE"""),"Star Trek VI: The Undiscovered Country ")</f>
        <v>Star Trek VI: The Undiscovered Country </v>
      </c>
      <c r="H1675" s="2">
        <v>44888996</v>
      </c>
    </row>
    <row r="1676" spans="7:8" x14ac:dyDescent="0.25">
      <c r="G1676" s="2" t="str">
        <f ca="1">IFERROR(__xludf.DUMMYFUNCTION("""COMPUTED_VALUE"""),"Divine Secrets of the Ya-Ya Sisterhood ")</f>
        <v>Divine Secrets of the Ya-Ya Sisterhood </v>
      </c>
      <c r="H1676" s="2">
        <v>42586544</v>
      </c>
    </row>
    <row r="1677" spans="7:8" x14ac:dyDescent="0.25">
      <c r="G1677" s="2" t="str">
        <f ca="1">IFERROR(__xludf.DUMMYFUNCTION("""COMPUTED_VALUE"""),"Kiss the Girls ")</f>
        <v>Kiss the Girls </v>
      </c>
      <c r="H1677" s="2">
        <v>33491560</v>
      </c>
    </row>
    <row r="1678" spans="7:8" x14ac:dyDescent="0.25">
      <c r="G1678" s="2" t="str">
        <f ca="1">IFERROR(__xludf.DUMMYFUNCTION("""COMPUTED_VALUE"""),"The Blues Brothers ")</f>
        <v>The Blues Brothers </v>
      </c>
      <c r="H1678" s="2">
        <v>27200000</v>
      </c>
    </row>
    <row r="1679" spans="7:8" x14ac:dyDescent="0.25">
      <c r="G1679" s="2" t="str">
        <f ca="1">IFERROR(__xludf.DUMMYFUNCTION("""COMPUTED_VALUE"""),"Joyful Noise ")</f>
        <v>Joyful Noise </v>
      </c>
      <c r="H1679" s="2">
        <v>5920167</v>
      </c>
    </row>
    <row r="1680" spans="7:8" x14ac:dyDescent="0.25">
      <c r="G1680" s="2" t="str">
        <f ca="1">IFERROR(__xludf.DUMMYFUNCTION("""COMPUTED_VALUE"""),"About a Boy ")</f>
        <v>About a Boy </v>
      </c>
      <c r="H1680" s="2">
        <v>10566655</v>
      </c>
    </row>
    <row r="1681" spans="7:8" x14ac:dyDescent="0.25">
      <c r="G1681" s="2" t="str">
        <f ca="1">IFERROR(__xludf.DUMMYFUNCTION("""COMPUTED_VALUE"""),"Lake Placid ")</f>
        <v>Lake Placid </v>
      </c>
      <c r="H1681" s="2">
        <v>4768374</v>
      </c>
    </row>
    <row r="1682" spans="7:8" x14ac:dyDescent="0.25">
      <c r="G1682" s="2" t="str">
        <f ca="1">IFERROR(__xludf.DUMMYFUNCTION("""COMPUTED_VALUE"""),"Lucky Number Slevin ")</f>
        <v>Lucky Number Slevin </v>
      </c>
      <c r="H1682" s="2">
        <v>-4505513</v>
      </c>
    </row>
    <row r="1683" spans="7:8" x14ac:dyDescent="0.25">
      <c r="G1683" s="2" t="str">
        <f ca="1">IFERROR(__xludf.DUMMYFUNCTION("""COMPUTED_VALUE"""),"The Right Stuff ")</f>
        <v>The Right Stuff </v>
      </c>
      <c r="H1683" s="2">
        <v>-5500000</v>
      </c>
    </row>
    <row r="1684" spans="7:8" x14ac:dyDescent="0.25">
      <c r="G1684" s="2" t="str">
        <f ca="1">IFERROR(__xludf.DUMMYFUNCTION("""COMPUTED_VALUE"""),"Anonymous ")</f>
        <v>Anonymous </v>
      </c>
      <c r="H1684" s="2">
        <v>-25536708</v>
      </c>
    </row>
    <row r="1685" spans="7:8" x14ac:dyDescent="0.25">
      <c r="G1685" s="2" t="str">
        <f ca="1">IFERROR(__xludf.DUMMYFUNCTION("""COMPUTED_VALUE"""),"Dark City ")</f>
        <v>Dark City </v>
      </c>
      <c r="H1685" s="2">
        <v>-12662421</v>
      </c>
    </row>
    <row r="1686" spans="7:8" x14ac:dyDescent="0.25">
      <c r="G1686" s="2" t="str">
        <f ca="1">IFERROR(__xludf.DUMMYFUNCTION("""COMPUTED_VALUE"""),"The Duchess ")</f>
        <v>The Duchess </v>
      </c>
      <c r="H1686" s="2">
        <v>323741</v>
      </c>
    </row>
    <row r="1687" spans="7:8" x14ac:dyDescent="0.25">
      <c r="G1687" s="2" t="str">
        <f ca="1">IFERROR(__xludf.DUMMYFUNCTION("""COMPUTED_VALUE"""),"The Newton Boys ")</f>
        <v>The Newton Boys </v>
      </c>
      <c r="H1687" s="2">
        <v>-16702103</v>
      </c>
    </row>
    <row r="1688" spans="7:8" x14ac:dyDescent="0.25">
      <c r="G1688" s="2" t="str">
        <f ca="1">IFERROR(__xludf.DUMMYFUNCTION("""COMPUTED_VALUE"""),"Case 39 ")</f>
        <v>Case 39 </v>
      </c>
      <c r="H1688" s="2">
        <v>-13751523</v>
      </c>
    </row>
    <row r="1689" spans="7:8" x14ac:dyDescent="0.25">
      <c r="G1689" s="2" t="str">
        <f ca="1">IFERROR(__xludf.DUMMYFUNCTION("""COMPUTED_VALUE"""),"Suspect Zero ")</f>
        <v>Suspect Zero </v>
      </c>
      <c r="H1689" s="2">
        <v>-18287436</v>
      </c>
    </row>
    <row r="1690" spans="7:8" x14ac:dyDescent="0.25">
      <c r="G1690" s="2" t="str">
        <f ca="1">IFERROR(__xludf.DUMMYFUNCTION("""COMPUTED_VALUE"""),"Martian Child ")</f>
        <v>Martian Child </v>
      </c>
      <c r="H1690" s="2">
        <v>-19513094</v>
      </c>
    </row>
    <row r="1691" spans="7:8" x14ac:dyDescent="0.25">
      <c r="G1691" s="2" t="str">
        <f ca="1">IFERROR(__xludf.DUMMYFUNCTION("""COMPUTED_VALUE"""),"Spy Kids: All the Time in the World in 4D ")</f>
        <v>Spy Kids: All the Time in the World in 4D </v>
      </c>
      <c r="H1691" s="2">
        <v>11536376</v>
      </c>
    </row>
    <row r="1692" spans="7:8" x14ac:dyDescent="0.25">
      <c r="G1692" s="2" t="str">
        <f ca="1">IFERROR(__xludf.DUMMYFUNCTION("""COMPUTED_VALUE"""),"Money Monster ")</f>
        <v>Money Monster </v>
      </c>
      <c r="H1692" s="2">
        <v>14008532</v>
      </c>
    </row>
    <row r="1693" spans="7:8" x14ac:dyDescent="0.25">
      <c r="G1693" s="2" t="str">
        <f ca="1">IFERROR(__xludf.DUMMYFUNCTION("""COMPUTED_VALUE"""),"Formula 51 ")</f>
        <v>Formula 51 </v>
      </c>
      <c r="H1693" s="2">
        <v>-22795993</v>
      </c>
    </row>
    <row r="1694" spans="7:8" x14ac:dyDescent="0.25">
      <c r="G1694" s="2" t="str">
        <f ca="1">IFERROR(__xludf.DUMMYFUNCTION("""COMPUTED_VALUE"""),"Flawless ")</f>
        <v>Flawless </v>
      </c>
      <c r="H1694" s="2">
        <v>-10514515</v>
      </c>
    </row>
    <row r="1695" spans="7:8" x14ac:dyDescent="0.25">
      <c r="G1695" s="2" t="str">
        <f ca="1">IFERROR(__xludf.DUMMYFUNCTION("""COMPUTED_VALUE"""),"Mindhunters ")</f>
        <v>Mindhunters </v>
      </c>
      <c r="H1695" s="2">
        <v>-22523765</v>
      </c>
    </row>
    <row r="1696" spans="7:8" x14ac:dyDescent="0.25">
      <c r="G1696" s="2" t="str">
        <f ca="1">IFERROR(__xludf.DUMMYFUNCTION("""COMPUTED_VALUE"""),"What Just Happened ")</f>
        <v>What Just Happened </v>
      </c>
      <c r="H1696" s="2">
        <v>-23910635</v>
      </c>
    </row>
    <row r="1697" spans="7:8" x14ac:dyDescent="0.25">
      <c r="G1697" s="2" t="str">
        <f ca="1">IFERROR(__xludf.DUMMYFUNCTION("""COMPUTED_VALUE"""),"The Statement ")</f>
        <v>The Statement </v>
      </c>
      <c r="H1697" s="2">
        <v>-22236956</v>
      </c>
    </row>
    <row r="1698" spans="7:8" x14ac:dyDescent="0.25">
      <c r="G1698" s="2" t="str">
        <f ca="1">IFERROR(__xludf.DUMMYFUNCTION("""COMPUTED_VALUE"""),"Paul Blart: Mall Cop ")</f>
        <v>Paul Blart: Mall Cop </v>
      </c>
      <c r="H1698" s="2">
        <v>-5180871</v>
      </c>
    </row>
    <row r="1699" spans="7:8" x14ac:dyDescent="0.25">
      <c r="G1699" s="2" t="str">
        <f ca="1">IFERROR(__xludf.DUMMYFUNCTION("""COMPUTED_VALUE"""),"Freaky Friday ")</f>
        <v>Freaky Friday </v>
      </c>
      <c r="H1699" s="2">
        <v>84222438</v>
      </c>
    </row>
    <row r="1700" spans="7:8" x14ac:dyDescent="0.25">
      <c r="G1700" s="2" t="str">
        <f ca="1">IFERROR(__xludf.DUMMYFUNCTION("""COMPUTED_VALUE"""),"The 40-Year-Old Virgin ")</f>
        <v>The 40-Year-Old Virgin </v>
      </c>
      <c r="H1700" s="2">
        <v>83243478</v>
      </c>
    </row>
    <row r="1701" spans="7:8" x14ac:dyDescent="0.25">
      <c r="G1701" s="2" t="str">
        <f ca="1">IFERROR(__xludf.DUMMYFUNCTION("""COMPUTED_VALUE"""),"Shakespeare in Love ")</f>
        <v>Shakespeare in Love </v>
      </c>
      <c r="H1701" s="2">
        <v>75241322</v>
      </c>
    </row>
    <row r="1702" spans="7:8" x14ac:dyDescent="0.25">
      <c r="G1702" s="2" t="str">
        <f ca="1">IFERROR(__xludf.DUMMYFUNCTION("""COMPUTED_VALUE"""),"A Walk Among the Tombstones ")</f>
        <v>A Walk Among the Tombstones </v>
      </c>
      <c r="H1702" s="2">
        <v>-2022635</v>
      </c>
    </row>
    <row r="1703" spans="7:8" x14ac:dyDescent="0.25">
      <c r="G1703" s="2" t="str">
        <f ca="1">IFERROR(__xludf.DUMMYFUNCTION("""COMPUTED_VALUE"""),"Kindergarten Cop ")</f>
        <v>Kindergarten Cop </v>
      </c>
      <c r="H1703" s="2">
        <v>65457688</v>
      </c>
    </row>
    <row r="1704" spans="7:8" x14ac:dyDescent="0.25">
      <c r="G1704" s="2" t="str">
        <f ca="1">IFERROR(__xludf.DUMMYFUNCTION("""COMPUTED_VALUE"""),"Pineapple Express ")</f>
        <v>Pineapple Express </v>
      </c>
      <c r="H1704" s="2">
        <v>60341380</v>
      </c>
    </row>
    <row r="1705" spans="7:8" x14ac:dyDescent="0.25">
      <c r="G1705" s="2" t="str">
        <f ca="1">IFERROR(__xludf.DUMMYFUNCTION("""COMPUTED_VALUE"""),"Ever After: A Cinderella Story ")</f>
        <v>Ever After: A Cinderella Story </v>
      </c>
      <c r="H1705" s="2">
        <v>39703412</v>
      </c>
    </row>
    <row r="1706" spans="7:8" x14ac:dyDescent="0.25">
      <c r="G1706" s="2" t="str">
        <f ca="1">IFERROR(__xludf.DUMMYFUNCTION("""COMPUTED_VALUE"""),"Open Range ")</f>
        <v>Open Range </v>
      </c>
      <c r="H1706" s="2">
        <v>36328680</v>
      </c>
    </row>
    <row r="1707" spans="7:8" x14ac:dyDescent="0.25">
      <c r="G1707" s="2" t="str">
        <f ca="1">IFERROR(__xludf.DUMMYFUNCTION("""COMPUTED_VALUE"""),"Flatliners ")</f>
        <v>Flatliners </v>
      </c>
      <c r="H1707" s="2">
        <v>35490000</v>
      </c>
    </row>
    <row r="1708" spans="7:8" x14ac:dyDescent="0.25">
      <c r="G1708" s="2" t="str">
        <f ca="1">IFERROR(__xludf.DUMMYFUNCTION("""COMPUTED_VALUE"""),"A Bridge Too Far ")</f>
        <v>A Bridge Too Far </v>
      </c>
      <c r="H1708" s="2">
        <v>24800000</v>
      </c>
    </row>
    <row r="1709" spans="7:8" x14ac:dyDescent="0.25">
      <c r="G1709" s="2" t="str">
        <f ca="1">IFERROR(__xludf.DUMMYFUNCTION("""COMPUTED_VALUE"""),"Red Eye ")</f>
        <v>Red Eye </v>
      </c>
      <c r="H1709" s="2">
        <v>31859105</v>
      </c>
    </row>
    <row r="1710" spans="7:8" x14ac:dyDescent="0.25">
      <c r="G1710" s="2" t="str">
        <f ca="1">IFERROR(__xludf.DUMMYFUNCTION("""COMPUTED_VALUE"""),"Final Destination 2 ")</f>
        <v>Final Destination 2 </v>
      </c>
      <c r="H1710" s="2">
        <v>20455802</v>
      </c>
    </row>
    <row r="1711" spans="7:8" x14ac:dyDescent="0.25">
      <c r="G1711" s="2" t="str">
        <f ca="1">IFERROR(__xludf.DUMMYFUNCTION("""COMPUTED_VALUE"""),"O Brother, Where Art Thou? ")</f>
        <v>O Brother, Where Art Thou? </v>
      </c>
      <c r="H1711" s="2">
        <v>19506619</v>
      </c>
    </row>
    <row r="1712" spans="7:8" x14ac:dyDescent="0.25">
      <c r="G1712" s="2" t="str">
        <f ca="1">IFERROR(__xludf.DUMMYFUNCTION("""COMPUTED_VALUE"""),"Legion ")</f>
        <v>Legion </v>
      </c>
      <c r="H1712" s="2">
        <v>14168080</v>
      </c>
    </row>
    <row r="1713" spans="7:8" x14ac:dyDescent="0.25">
      <c r="G1713" s="2" t="str">
        <f ca="1">IFERROR(__xludf.DUMMYFUNCTION("""COMPUTED_VALUE"""),"Pain &amp; Gain ")</f>
        <v>Pain &amp; Gain </v>
      </c>
      <c r="H1713" s="2">
        <v>23874933</v>
      </c>
    </row>
    <row r="1714" spans="7:8" x14ac:dyDescent="0.25">
      <c r="G1714" s="2" t="str">
        <f ca="1">IFERROR(__xludf.DUMMYFUNCTION("""COMPUTED_VALUE"""),"In Good Company ")</f>
        <v>In Good Company </v>
      </c>
      <c r="H1714" s="2">
        <v>19489752</v>
      </c>
    </row>
    <row r="1715" spans="7:8" x14ac:dyDescent="0.25">
      <c r="G1715" s="2" t="str">
        <f ca="1">IFERROR(__xludf.DUMMYFUNCTION("""COMPUTED_VALUE"""),"Clockstoppers ")</f>
        <v>Clockstoppers </v>
      </c>
      <c r="H1715" s="2">
        <v>10985501</v>
      </c>
    </row>
    <row r="1716" spans="7:8" x14ac:dyDescent="0.25">
      <c r="G1716" s="2" t="str">
        <f ca="1">IFERROR(__xludf.DUMMYFUNCTION("""COMPUTED_VALUE"""),"Silverado ")</f>
        <v>Silverado </v>
      </c>
      <c r="H1716" s="2">
        <v>7200000</v>
      </c>
    </row>
    <row r="1717" spans="7:8" x14ac:dyDescent="0.25">
      <c r="G1717" s="2" t="str">
        <f ca="1">IFERROR(__xludf.DUMMYFUNCTION("""COMPUTED_VALUE"""),"Brothers ")</f>
        <v>Brothers </v>
      </c>
      <c r="H1717" s="2">
        <v>2501651</v>
      </c>
    </row>
    <row r="1718" spans="7:8" x14ac:dyDescent="0.25">
      <c r="G1718" s="2" t="str">
        <f ca="1">IFERROR(__xludf.DUMMYFUNCTION("""COMPUTED_VALUE"""),"Agent Cody Banks 2: Destination London ")</f>
        <v>Agent Cody Banks 2: Destination London </v>
      </c>
      <c r="H1718" s="2">
        <v>-2777139</v>
      </c>
    </row>
    <row r="1719" spans="7:8" x14ac:dyDescent="0.25">
      <c r="G1719" s="2" t="str">
        <f ca="1">IFERROR(__xludf.DUMMYFUNCTION("""COMPUTED_VALUE"""),"New Year's Eve ")</f>
        <v>New Year's Eve </v>
      </c>
      <c r="H1719" s="2">
        <v>-1459475</v>
      </c>
    </row>
    <row r="1720" spans="7:8" x14ac:dyDescent="0.25">
      <c r="G1720" s="2" t="str">
        <f ca="1">IFERROR(__xludf.DUMMYFUNCTION("""COMPUTED_VALUE"""),"Original Sin ")</f>
        <v>Original Sin </v>
      </c>
      <c r="H1720" s="2">
        <v>-25747235</v>
      </c>
    </row>
    <row r="1721" spans="7:8" x14ac:dyDescent="0.25">
      <c r="G1721" s="2" t="str">
        <f ca="1">IFERROR(__xludf.DUMMYFUNCTION("""COMPUTED_VALUE"""),"The Raven ")</f>
        <v>The Raven </v>
      </c>
      <c r="H1721" s="2">
        <v>-9994022</v>
      </c>
    </row>
    <row r="1722" spans="7:8" x14ac:dyDescent="0.25">
      <c r="G1722" s="2" t="str">
        <f ca="1">IFERROR(__xludf.DUMMYFUNCTION("""COMPUTED_VALUE"""),"Welcome to Mooseport ")</f>
        <v>Welcome to Mooseport </v>
      </c>
      <c r="H1722" s="2">
        <v>-11530572</v>
      </c>
    </row>
    <row r="1723" spans="7:8" x14ac:dyDescent="0.25">
      <c r="G1723" s="2" t="str">
        <f ca="1">IFERROR(__xludf.DUMMYFUNCTION("""COMPUTED_VALUE"""),"Highlander: The Final Dimension ")</f>
        <v>Highlander: The Final Dimension </v>
      </c>
      <c r="H1723" s="2">
        <v>-12170266</v>
      </c>
    </row>
    <row r="1724" spans="7:8" x14ac:dyDescent="0.25">
      <c r="G1724" s="2" t="str">
        <f ca="1">IFERROR(__xludf.DUMMYFUNCTION("""COMPUTED_VALUE"""),"Blood and Wine ")</f>
        <v>Blood and Wine </v>
      </c>
      <c r="H1724" s="2">
        <v>-20924712</v>
      </c>
    </row>
    <row r="1725" spans="7:8" x14ac:dyDescent="0.25">
      <c r="G1725" s="2" t="str">
        <f ca="1">IFERROR(__xludf.DUMMYFUNCTION("""COMPUTED_VALUE"""),"The Curse of the Jade Scorpion ")</f>
        <v>The Curse of the Jade Scorpion </v>
      </c>
      <c r="H1725" s="2">
        <v>-18503478</v>
      </c>
    </row>
    <row r="1726" spans="7:8" x14ac:dyDescent="0.25">
      <c r="G1726" s="2" t="str">
        <f ca="1">IFERROR(__xludf.DUMMYFUNCTION("""COMPUTED_VALUE"""),"Flipper ")</f>
        <v>Flipper </v>
      </c>
      <c r="H1726" s="2">
        <v>-5482285</v>
      </c>
    </row>
    <row r="1727" spans="7:8" x14ac:dyDescent="0.25">
      <c r="G1727" s="2" t="str">
        <f ca="1">IFERROR(__xludf.DUMMYFUNCTION("""COMPUTED_VALUE"""),"Self/less ")</f>
        <v>Self/less </v>
      </c>
      <c r="H1727" s="2">
        <v>-13723190</v>
      </c>
    </row>
    <row r="1728" spans="7:8" x14ac:dyDescent="0.25">
      <c r="G1728" s="2" t="str">
        <f ca="1">IFERROR(__xludf.DUMMYFUNCTION("""COMPUTED_VALUE"""),"The Constant Gardener ")</f>
        <v>The Constant Gardener </v>
      </c>
      <c r="H1728" s="2">
        <v>18565375</v>
      </c>
    </row>
    <row r="1729" spans="7:8" x14ac:dyDescent="0.25">
      <c r="G1729" s="2" t="str">
        <f ca="1">IFERROR(__xludf.DUMMYFUNCTION("""COMPUTED_VALUE"""),"The Passion of the Christ ")</f>
        <v>The Passion of the Christ </v>
      </c>
      <c r="H1729" s="2">
        <v>-29500737</v>
      </c>
    </row>
    <row r="1730" spans="7:8" x14ac:dyDescent="0.25">
      <c r="G1730" s="2" t="str">
        <f ca="1">IFERROR(__xludf.DUMMYFUNCTION("""COMPUTED_VALUE"""),"Mrs. Doubtfire ")</f>
        <v>Mrs. Doubtfire </v>
      </c>
      <c r="H1730" s="2">
        <v>194200000</v>
      </c>
    </row>
    <row r="1731" spans="7:8" x14ac:dyDescent="0.25">
      <c r="G1731" s="2" t="str">
        <f ca="1">IFERROR(__xludf.DUMMYFUNCTION("""COMPUTED_VALUE"""),"Rain Man ")</f>
        <v>Rain Man </v>
      </c>
      <c r="H1731" s="2">
        <v>147825435</v>
      </c>
    </row>
    <row r="1732" spans="7:8" x14ac:dyDescent="0.25">
      <c r="G1732" s="2" t="str">
        <f ca="1">IFERROR(__xludf.DUMMYFUNCTION("""COMPUTED_VALUE"""),"Gran Torino ")</f>
        <v>Gran Torino </v>
      </c>
      <c r="H1732" s="2">
        <v>115085755</v>
      </c>
    </row>
    <row r="1733" spans="7:8" x14ac:dyDescent="0.25">
      <c r="G1733" s="2" t="str">
        <f ca="1">IFERROR(__xludf.DUMMYFUNCTION("""COMPUTED_VALUE"""),"W. ")</f>
        <v>W. </v>
      </c>
      <c r="H1733" s="2">
        <v>417500</v>
      </c>
    </row>
    <row r="1734" spans="7:8" x14ac:dyDescent="0.25">
      <c r="G1734" s="2" t="str">
        <f ca="1">IFERROR(__xludf.DUMMYFUNCTION("""COMPUTED_VALUE"""),"Taken ")</f>
        <v>Taken </v>
      </c>
      <c r="H1734" s="2">
        <v>120000989</v>
      </c>
    </row>
    <row r="1735" spans="7:8" x14ac:dyDescent="0.25">
      <c r="G1735" s="2" t="str">
        <f ca="1">IFERROR(__xludf.DUMMYFUNCTION("""COMPUTED_VALUE"""),"The Best of Me ")</f>
        <v>The Best of Me </v>
      </c>
      <c r="H1735" s="2">
        <v>761283</v>
      </c>
    </row>
    <row r="1736" spans="7:8" x14ac:dyDescent="0.25">
      <c r="G1736" s="2" t="str">
        <f ca="1">IFERROR(__xludf.DUMMYFUNCTION("""COMPUTED_VALUE"""),"The Bodyguard ")</f>
        <v>The Bodyguard </v>
      </c>
      <c r="H1736" s="2">
        <v>96945720</v>
      </c>
    </row>
    <row r="1737" spans="7:8" x14ac:dyDescent="0.25">
      <c r="G1737" s="2" t="str">
        <f ca="1">IFERROR(__xludf.DUMMYFUNCTION("""COMPUTED_VALUE"""),"Schindler's List ")</f>
        <v>Schindler's List </v>
      </c>
      <c r="H1737" s="2">
        <v>74067179</v>
      </c>
    </row>
    <row r="1738" spans="7:8" x14ac:dyDescent="0.25">
      <c r="G1738" s="2" t="str">
        <f ca="1">IFERROR(__xludf.DUMMYFUNCTION("""COMPUTED_VALUE"""),"The Help ")</f>
        <v>The Help </v>
      </c>
      <c r="H1738" s="2">
        <v>144705587</v>
      </c>
    </row>
    <row r="1739" spans="7:8" x14ac:dyDescent="0.25">
      <c r="G1739" s="2" t="str">
        <f ca="1">IFERROR(__xludf.DUMMYFUNCTION("""COMPUTED_VALUE"""),"The Fifth Estate ")</f>
        <v>The Fifth Estate </v>
      </c>
      <c r="H1739" s="2">
        <v>-24745828</v>
      </c>
    </row>
    <row r="1740" spans="7:8" x14ac:dyDescent="0.25">
      <c r="G1740" s="2" t="str">
        <f ca="1">IFERROR(__xludf.DUMMYFUNCTION("""COMPUTED_VALUE"""),"Scooby-Doo 2: Monsters Unleashed ")</f>
        <v>Scooby-Doo 2: Monsters Unleashed </v>
      </c>
      <c r="H1740" s="2">
        <v>4185387</v>
      </c>
    </row>
    <row r="1741" spans="7:8" x14ac:dyDescent="0.25">
      <c r="G1741" s="2" t="str">
        <f ca="1">IFERROR(__xludf.DUMMYFUNCTION("""COMPUTED_VALUE"""),"Freddy vs. Jason ")</f>
        <v>Freddy vs. Jason </v>
      </c>
      <c r="H1741" s="2">
        <v>52163317</v>
      </c>
    </row>
    <row r="1742" spans="7:8" x14ac:dyDescent="0.25">
      <c r="G1742" s="2" t="str">
        <f ca="1">IFERROR(__xludf.DUMMYFUNCTION("""COMPUTED_VALUE"""),"Jimmy Neutron: Boy Genius ")</f>
        <v>Jimmy Neutron: Boy Genius </v>
      </c>
      <c r="H1742" s="2">
        <v>50920948</v>
      </c>
    </row>
    <row r="1743" spans="7:8" x14ac:dyDescent="0.25">
      <c r="G1743" s="2" t="str">
        <f ca="1">IFERROR(__xludf.DUMMYFUNCTION("""COMPUTED_VALUE"""),"Cloverfield ")</f>
        <v>Cloverfield </v>
      </c>
      <c r="H1743" s="2">
        <v>55034302</v>
      </c>
    </row>
    <row r="1744" spans="7:8" x14ac:dyDescent="0.25">
      <c r="G1744" s="2" t="str">
        <f ca="1">IFERROR(__xludf.DUMMYFUNCTION("""COMPUTED_VALUE"""),"Teenage Mutant Ninja Turtles II: The Secret of the Ooze ")</f>
        <v>Teenage Mutant Ninja Turtles II: The Secret of the Ooze </v>
      </c>
      <c r="H1744" s="2">
        <v>53656813</v>
      </c>
    </row>
    <row r="1745" spans="7:8" x14ac:dyDescent="0.25">
      <c r="G1745" s="2" t="str">
        <f ca="1">IFERROR(__xludf.DUMMYFUNCTION("""COMPUTED_VALUE"""),"The Untouchables ")</f>
        <v>The Untouchables </v>
      </c>
      <c r="H1745" s="2">
        <v>51270454</v>
      </c>
    </row>
    <row r="1746" spans="7:8" x14ac:dyDescent="0.25">
      <c r="G1746" s="2" t="str">
        <f ca="1">IFERROR(__xludf.DUMMYFUNCTION("""COMPUTED_VALUE"""),"No Country for Old Men ")</f>
        <v>No Country for Old Men </v>
      </c>
      <c r="H1746" s="2">
        <v>49273505</v>
      </c>
    </row>
    <row r="1747" spans="7:8" x14ac:dyDescent="0.25">
      <c r="G1747" s="2" t="str">
        <f ca="1">IFERROR(__xludf.DUMMYFUNCTION("""COMPUTED_VALUE"""),"Ride Along ")</f>
        <v>Ride Along </v>
      </c>
      <c r="H1747" s="2">
        <v>109141530</v>
      </c>
    </row>
    <row r="1748" spans="7:8" x14ac:dyDescent="0.25">
      <c r="G1748" s="2" t="str">
        <f ca="1">IFERROR(__xludf.DUMMYFUNCTION("""COMPUTED_VALUE"""),"Bridget Jones's Diary ")</f>
        <v>Bridget Jones's Diary </v>
      </c>
      <c r="H1748" s="2">
        <v>45500556</v>
      </c>
    </row>
    <row r="1749" spans="7:8" x14ac:dyDescent="0.25">
      <c r="G1749" s="2" t="str">
        <f ca="1">IFERROR(__xludf.DUMMYFUNCTION("""COMPUTED_VALUE"""),"Chocolat ")</f>
        <v>Chocolat </v>
      </c>
      <c r="H1749" s="2">
        <v>46309760</v>
      </c>
    </row>
    <row r="1750" spans="7:8" x14ac:dyDescent="0.25">
      <c r="G1750" s="2" t="str">
        <f ca="1">IFERROR(__xludf.DUMMYFUNCTION("""COMPUTED_VALUE"""),"Legally Blonde 2: Red, White &amp; Blonde ")</f>
        <v>Legally Blonde 2: Red, White &amp; Blonde </v>
      </c>
      <c r="H1750" s="2">
        <v>44808372</v>
      </c>
    </row>
    <row r="1751" spans="7:8" x14ac:dyDescent="0.25">
      <c r="G1751" s="2" t="str">
        <f ca="1">IFERROR(__xludf.DUMMYFUNCTION("""COMPUTED_VALUE"""),"Parental Guidance ")</f>
        <v>Parental Guidance </v>
      </c>
      <c r="H1751" s="2">
        <v>52264926</v>
      </c>
    </row>
    <row r="1752" spans="7:8" x14ac:dyDescent="0.25">
      <c r="G1752" s="2" t="str">
        <f ca="1">IFERROR(__xludf.DUMMYFUNCTION("""COMPUTED_VALUE"""),"No Strings Attached ")</f>
        <v>No Strings Attached </v>
      </c>
      <c r="H1752" s="2">
        <v>45625986</v>
      </c>
    </row>
    <row r="1753" spans="7:8" x14ac:dyDescent="0.25">
      <c r="G1753" s="2" t="str">
        <f ca="1">IFERROR(__xludf.DUMMYFUNCTION("""COMPUTED_VALUE"""),"Tombstone ")</f>
        <v>Tombstone </v>
      </c>
      <c r="H1753" s="2">
        <v>31505065</v>
      </c>
    </row>
    <row r="1754" spans="7:8" x14ac:dyDescent="0.25">
      <c r="G1754" s="2" t="str">
        <f ca="1">IFERROR(__xludf.DUMMYFUNCTION("""COMPUTED_VALUE"""),"Romeo Must Die ")</f>
        <v>Romeo Must Die </v>
      </c>
      <c r="H1754" s="2">
        <v>30973336</v>
      </c>
    </row>
    <row r="1755" spans="7:8" x14ac:dyDescent="0.25">
      <c r="G1755" s="2" t="str">
        <f ca="1">IFERROR(__xludf.DUMMYFUNCTION("""COMPUTED_VALUE"""),"Final Destination 3 ")</f>
        <v>Final Destination 3 </v>
      </c>
      <c r="H1755" s="2">
        <v>29098051</v>
      </c>
    </row>
    <row r="1756" spans="7:8" x14ac:dyDescent="0.25">
      <c r="G1756" s="2" t="str">
        <f ca="1">IFERROR(__xludf.DUMMYFUNCTION("""COMPUTED_VALUE"""),"The Lucky One ")</f>
        <v>The Lucky One </v>
      </c>
      <c r="H1756" s="2">
        <v>35443237</v>
      </c>
    </row>
    <row r="1757" spans="7:8" x14ac:dyDescent="0.25">
      <c r="G1757" s="2" t="str">
        <f ca="1">IFERROR(__xludf.DUMMYFUNCTION("""COMPUTED_VALUE"""),"Bridge to Terabithia ")</f>
        <v>Bridge to Terabithia </v>
      </c>
      <c r="H1757" s="2">
        <v>65234139</v>
      </c>
    </row>
    <row r="1758" spans="7:8" x14ac:dyDescent="0.25">
      <c r="G1758" s="2" t="str">
        <f ca="1">IFERROR(__xludf.DUMMYFUNCTION("""COMPUTED_VALUE"""),"Finding Neverland ")</f>
        <v>Finding Neverland </v>
      </c>
      <c r="H1758" s="2">
        <v>26676606</v>
      </c>
    </row>
    <row r="1759" spans="7:8" x14ac:dyDescent="0.25">
      <c r="G1759" s="2" t="str">
        <f ca="1">IFERROR(__xludf.DUMMYFUNCTION("""COMPUTED_VALUE"""),"A Madea Christmas ")</f>
        <v>A Madea Christmas </v>
      </c>
      <c r="H1759" s="2">
        <v>27528330</v>
      </c>
    </row>
    <row r="1760" spans="7:8" x14ac:dyDescent="0.25">
      <c r="G1760" s="2" t="str">
        <f ca="1">IFERROR(__xludf.DUMMYFUNCTION("""COMPUTED_VALUE"""),"The Grey ")</f>
        <v>The Grey </v>
      </c>
      <c r="H1760" s="2">
        <v>26533608</v>
      </c>
    </row>
    <row r="1761" spans="7:8" x14ac:dyDescent="0.25">
      <c r="G1761" s="2" t="str">
        <f ca="1">IFERROR(__xludf.DUMMYFUNCTION("""COMPUTED_VALUE"""),"Hide and Seek ")</f>
        <v>Hide and Seek </v>
      </c>
      <c r="H1761" s="2">
        <v>21097664</v>
      </c>
    </row>
    <row r="1762" spans="7:8" x14ac:dyDescent="0.25">
      <c r="G1762" s="2" t="str">
        <f ca="1">IFERROR(__xludf.DUMMYFUNCTION("""COMPUTED_VALUE"""),"Anchorman: The Legend of Ron Burgundy ")</f>
        <v>Anchorman: The Legend of Ron Burgundy </v>
      </c>
      <c r="H1762" s="2">
        <v>58136909</v>
      </c>
    </row>
    <row r="1763" spans="7:8" x14ac:dyDescent="0.25">
      <c r="G1763" s="2" t="str">
        <f ca="1">IFERROR(__xludf.DUMMYFUNCTION("""COMPUTED_VALUE"""),"Goodfellas ")</f>
        <v>Goodfellas </v>
      </c>
      <c r="H1763" s="2">
        <v>21836394</v>
      </c>
    </row>
    <row r="1764" spans="7:8" x14ac:dyDescent="0.25">
      <c r="G1764" s="2" t="str">
        <f ca="1">IFERROR(__xludf.DUMMYFUNCTION("""COMPUTED_VALUE"""),"Agent Cody Banks ")</f>
        <v>Agent Cody Banks </v>
      </c>
      <c r="H1764" s="2">
        <v>21285499</v>
      </c>
    </row>
    <row r="1765" spans="7:8" x14ac:dyDescent="0.25">
      <c r="G1765" s="2" t="str">
        <f ca="1">IFERROR(__xludf.DUMMYFUNCTION("""COMPUTED_VALUE"""),"Nanny McPhee ")</f>
        <v>Nanny McPhee </v>
      </c>
      <c r="H1765" s="2">
        <v>22124400</v>
      </c>
    </row>
    <row r="1766" spans="7:8" x14ac:dyDescent="0.25">
      <c r="G1766" s="2" t="str">
        <f ca="1">IFERROR(__xludf.DUMMYFUNCTION("""COMPUTED_VALUE"""),"Scarface ")</f>
        <v>Scarface </v>
      </c>
      <c r="H1766" s="2">
        <v>19700000</v>
      </c>
    </row>
    <row r="1767" spans="7:8" x14ac:dyDescent="0.25">
      <c r="G1767" s="2" t="str">
        <f ca="1">IFERROR(__xludf.DUMMYFUNCTION("""COMPUTED_VALUE"""),"Nothing to Lose ")</f>
        <v>Nothing to Lose </v>
      </c>
      <c r="H1767" s="2">
        <v>19455658</v>
      </c>
    </row>
    <row r="1768" spans="7:8" x14ac:dyDescent="0.25">
      <c r="G1768" s="2" t="str">
        <f ca="1">IFERROR(__xludf.DUMMYFUNCTION("""COMPUTED_VALUE"""),"The Last Emperor ")</f>
        <v>The Last Emperor </v>
      </c>
      <c r="H1768" s="2">
        <v>20984230</v>
      </c>
    </row>
    <row r="1769" spans="7:8" x14ac:dyDescent="0.25">
      <c r="G1769" s="2" t="str">
        <f ca="1">IFERROR(__xludf.DUMMYFUNCTION("""COMPUTED_VALUE"""),"Contraband ")</f>
        <v>Contraband </v>
      </c>
      <c r="H1769" s="2">
        <v>41489425</v>
      </c>
    </row>
    <row r="1770" spans="7:8" x14ac:dyDescent="0.25">
      <c r="G1770" s="2" t="str">
        <f ca="1">IFERROR(__xludf.DUMMYFUNCTION("""COMPUTED_VALUE"""),"Money Talks ")</f>
        <v>Money Talks </v>
      </c>
      <c r="H1770" s="2">
        <v>16067398</v>
      </c>
    </row>
    <row r="1771" spans="7:8" x14ac:dyDescent="0.25">
      <c r="G1771" s="2" t="str">
        <f ca="1">IFERROR(__xludf.DUMMYFUNCTION("""COMPUTED_VALUE"""),"There Will Be Blood ")</f>
        <v>There Will Be Blood </v>
      </c>
      <c r="H1771" s="2">
        <v>15218903</v>
      </c>
    </row>
    <row r="1772" spans="7:8" x14ac:dyDescent="0.25">
      <c r="G1772" s="2" t="str">
        <f ca="1">IFERROR(__xludf.DUMMYFUNCTION("""COMPUTED_VALUE"""),"The Wild Thornberrys Movie ")</f>
        <v>The Wild Thornberrys Movie </v>
      </c>
      <c r="H1772" s="2">
        <v>14880476</v>
      </c>
    </row>
    <row r="1773" spans="7:8" x14ac:dyDescent="0.25">
      <c r="G1773" s="2" t="str">
        <f ca="1">IFERROR(__xludf.DUMMYFUNCTION("""COMPUTED_VALUE"""),"Rugrats Go Wild ")</f>
        <v>Rugrats Go Wild </v>
      </c>
      <c r="H1773" s="2">
        <v>14399750</v>
      </c>
    </row>
    <row r="1774" spans="7:8" x14ac:dyDescent="0.25">
      <c r="G1774" s="2" t="str">
        <f ca="1">IFERROR(__xludf.DUMMYFUNCTION("""COMPUTED_VALUE"""),"Undercover Brother ")</f>
        <v>Undercover Brother </v>
      </c>
      <c r="H1774" s="2">
        <v>13230435</v>
      </c>
    </row>
    <row r="1775" spans="7:8" x14ac:dyDescent="0.25">
      <c r="G1775" s="2" t="str">
        <f ca="1">IFERROR(__xludf.DUMMYFUNCTION("""COMPUTED_VALUE"""),"The Sisterhood of the Traveling Pants ")</f>
        <v>The Sisterhood of the Traveling Pants </v>
      </c>
      <c r="H1775" s="2">
        <v>14008741</v>
      </c>
    </row>
    <row r="1776" spans="7:8" x14ac:dyDescent="0.25">
      <c r="G1776" s="2" t="str">
        <f ca="1">IFERROR(__xludf.DUMMYFUNCTION("""COMPUTED_VALUE"""),"Kiss of the Dragon ")</f>
        <v>Kiss of the Dragon </v>
      </c>
      <c r="H1776" s="2">
        <v>11833473</v>
      </c>
    </row>
    <row r="1777" spans="7:8" x14ac:dyDescent="0.25">
      <c r="G1777" s="2" t="str">
        <f ca="1">IFERROR(__xludf.DUMMYFUNCTION("""COMPUTED_VALUE"""),"The House Bunny ")</f>
        <v>The House Bunny </v>
      </c>
      <c r="H1777" s="2">
        <v>23237389</v>
      </c>
    </row>
    <row r="1778" spans="7:8" x14ac:dyDescent="0.25">
      <c r="G1778" s="2" t="str">
        <f ca="1">IFERROR(__xludf.DUMMYFUNCTION("""COMPUTED_VALUE"""),"Million Dollar Arm ")</f>
        <v>Million Dollar Arm </v>
      </c>
      <c r="H1778" s="2">
        <v>11447959</v>
      </c>
    </row>
    <row r="1779" spans="7:8" x14ac:dyDescent="0.25">
      <c r="G1779" s="2" t="str">
        <f ca="1">IFERROR(__xludf.DUMMYFUNCTION("""COMPUTED_VALUE"""),"The Giver ")</f>
        <v>The Giver </v>
      </c>
      <c r="H1779" s="2">
        <v>20089048</v>
      </c>
    </row>
    <row r="1780" spans="7:8" x14ac:dyDescent="0.25">
      <c r="G1780" s="2" t="str">
        <f ca="1">IFERROR(__xludf.DUMMYFUNCTION("""COMPUTED_VALUE"""),"What a Girl Wants ")</f>
        <v>What a Girl Wants </v>
      </c>
      <c r="H1780" s="2">
        <v>15990505</v>
      </c>
    </row>
    <row r="1781" spans="7:8" x14ac:dyDescent="0.25">
      <c r="G1781" s="2" t="str">
        <f ca="1">IFERROR(__xludf.DUMMYFUNCTION("""COMPUTED_VALUE"""),"Jeepers Creepers II ")</f>
        <v>Jeepers Creepers II </v>
      </c>
      <c r="H1781" s="2">
        <v>18143332</v>
      </c>
    </row>
    <row r="1782" spans="7:8" x14ac:dyDescent="0.25">
      <c r="G1782" s="2" t="str">
        <f ca="1">IFERROR(__xludf.DUMMYFUNCTION("""COMPUTED_VALUE"""),"Good Luck Chuck ")</f>
        <v>Good Luck Chuck </v>
      </c>
      <c r="H1782" s="2">
        <v>10000629</v>
      </c>
    </row>
    <row r="1783" spans="7:8" x14ac:dyDescent="0.25">
      <c r="G1783" s="2" t="str">
        <f ca="1">IFERROR(__xludf.DUMMYFUNCTION("""COMPUTED_VALUE"""),"Cradle 2 the Grave ")</f>
        <v>Cradle 2 the Grave </v>
      </c>
      <c r="H1783" s="2">
        <v>4604054</v>
      </c>
    </row>
    <row r="1784" spans="7:8" x14ac:dyDescent="0.25">
      <c r="G1784" s="2" t="str">
        <f ca="1">IFERROR(__xludf.DUMMYFUNCTION("""COMPUTED_VALUE"""),"The Hours ")</f>
        <v>The Hours </v>
      </c>
      <c r="H1784" s="2">
        <v>16597830</v>
      </c>
    </row>
    <row r="1785" spans="7:8" x14ac:dyDescent="0.25">
      <c r="G1785" s="2" t="str">
        <f ca="1">IFERROR(__xludf.DUMMYFUNCTION("""COMPUTED_VALUE"""),"She's the Man ")</f>
        <v>She's the Man </v>
      </c>
      <c r="H1785" s="2">
        <v>13687630</v>
      </c>
    </row>
    <row r="1786" spans="7:8" x14ac:dyDescent="0.25">
      <c r="G1786" s="2" t="str">
        <f ca="1">IFERROR(__xludf.DUMMYFUNCTION("""COMPUTED_VALUE"""),"Mr. Bean's Holiday ")</f>
        <v>Mr. Bean's Holiday </v>
      </c>
      <c r="H1786" s="2">
        <v>7553210</v>
      </c>
    </row>
    <row r="1787" spans="7:8" x14ac:dyDescent="0.25">
      <c r="G1787" s="2" t="str">
        <f ca="1">IFERROR(__xludf.DUMMYFUNCTION("""COMPUTED_VALUE"""),"Anacondas: The Hunt for the Blood Orchid ")</f>
        <v>Anacondas: The Hunt for the Blood Orchid </v>
      </c>
      <c r="H1787" s="2">
        <v>6526393</v>
      </c>
    </row>
    <row r="1788" spans="7:8" x14ac:dyDescent="0.25">
      <c r="G1788" s="2" t="str">
        <f ca="1">IFERROR(__xludf.DUMMYFUNCTION("""COMPUTED_VALUE"""),"Blood Ties ")</f>
        <v>Blood Ties </v>
      </c>
      <c r="H1788" s="2">
        <v>-25458771</v>
      </c>
    </row>
    <row r="1789" spans="7:8" x14ac:dyDescent="0.25">
      <c r="G1789" s="2" t="str">
        <f ca="1">IFERROR(__xludf.DUMMYFUNCTION("""COMPUTED_VALUE"""),"August Rush ")</f>
        <v>August Rush </v>
      </c>
      <c r="H1789" s="2">
        <v>1655091</v>
      </c>
    </row>
    <row r="1790" spans="7:8" x14ac:dyDescent="0.25">
      <c r="G1790" s="2" t="str">
        <f ca="1">IFERROR(__xludf.DUMMYFUNCTION("""COMPUTED_VALUE"""),"Elizabeth ")</f>
        <v>Elizabeth </v>
      </c>
      <c r="H1790" s="2">
        <v>5012990</v>
      </c>
    </row>
    <row r="1791" spans="7:8" x14ac:dyDescent="0.25">
      <c r="G1791" s="2" t="str">
        <f ca="1">IFERROR(__xludf.DUMMYFUNCTION("""COMPUTED_VALUE"""),"Bride of Chucky ")</f>
        <v>Bride of Chucky </v>
      </c>
      <c r="H1791" s="2">
        <v>7368960</v>
      </c>
    </row>
    <row r="1792" spans="7:8" x14ac:dyDescent="0.25">
      <c r="G1792" s="2" t="str">
        <f ca="1">IFERROR(__xludf.DUMMYFUNCTION("""COMPUTED_VALUE"""),"Tora! Tora! Tora! ")</f>
        <v>Tora! Tora! Tora! </v>
      </c>
      <c r="H1792" s="2">
        <v>-10500000</v>
      </c>
    </row>
    <row r="1793" spans="7:8" x14ac:dyDescent="0.25">
      <c r="G1793" s="2" t="str">
        <f ca="1">IFERROR(__xludf.DUMMYFUNCTION("""COMPUTED_VALUE"""),"Spice World ")</f>
        <v>Spice World </v>
      </c>
      <c r="H1793" s="2">
        <v>4247405</v>
      </c>
    </row>
    <row r="1794" spans="7:8" x14ac:dyDescent="0.25">
      <c r="G1794" s="2" t="str">
        <f ca="1">IFERROR(__xludf.DUMMYFUNCTION("""COMPUTED_VALUE"""),"Dance Flick ")</f>
        <v>Dance Flick </v>
      </c>
      <c r="H1794" s="2">
        <v>615792</v>
      </c>
    </row>
    <row r="1795" spans="7:8" x14ac:dyDescent="0.25">
      <c r="G1795" s="2" t="str">
        <f ca="1">IFERROR(__xludf.DUMMYFUNCTION("""COMPUTED_VALUE"""),"The Shawshank Redemption ")</f>
        <v>The Shawshank Redemption </v>
      </c>
      <c r="H1795" s="2">
        <v>3341469</v>
      </c>
    </row>
    <row r="1796" spans="7:8" x14ac:dyDescent="0.25">
      <c r="G1796" s="2" t="str">
        <f ca="1">IFERROR(__xludf.DUMMYFUNCTION("""COMPUTED_VALUE"""),"Crocodile Dundee in Los Angeles ")</f>
        <v>Crocodile Dundee in Los Angeles </v>
      </c>
      <c r="H1796" s="2">
        <v>4440119</v>
      </c>
    </row>
    <row r="1797" spans="7:8" x14ac:dyDescent="0.25">
      <c r="G1797" s="2" t="str">
        <f ca="1">IFERROR(__xludf.DUMMYFUNCTION("""COMPUTED_VALUE"""),"Kingpin ")</f>
        <v>Kingpin </v>
      </c>
      <c r="H1797" s="2">
        <v>-2055787</v>
      </c>
    </row>
    <row r="1798" spans="7:8" x14ac:dyDescent="0.25">
      <c r="G1798" s="2" t="str">
        <f ca="1">IFERROR(__xludf.DUMMYFUNCTION("""COMPUTED_VALUE"""),"The Gambler ")</f>
        <v>The Gambler </v>
      </c>
      <c r="H1798" s="2">
        <v>8631221</v>
      </c>
    </row>
    <row r="1799" spans="7:8" x14ac:dyDescent="0.25">
      <c r="G1799" s="2" t="str">
        <f ca="1">IFERROR(__xludf.DUMMYFUNCTION("""COMPUTED_VALUE"""),"August: Osage County ")</f>
        <v>August: Osage County </v>
      </c>
      <c r="H1799" s="2">
        <v>12738400</v>
      </c>
    </row>
    <row r="1800" spans="7:8" x14ac:dyDescent="0.25">
      <c r="G1800" s="2" t="str">
        <f ca="1">IFERROR(__xludf.DUMMYFUNCTION("""COMPUTED_VALUE"""),"A Lot Like Love ")</f>
        <v>A Lot Like Love </v>
      </c>
      <c r="H1800" s="2">
        <v>-8164216</v>
      </c>
    </row>
    <row r="1801" spans="7:8" x14ac:dyDescent="0.25">
      <c r="G1801" s="2" t="str">
        <f ca="1">IFERROR(__xludf.DUMMYFUNCTION("""COMPUTED_VALUE"""),"Eddie the Eagle ")</f>
        <v>Eddie the Eagle </v>
      </c>
      <c r="H1801" s="2">
        <v>-7214368</v>
      </c>
    </row>
    <row r="1802" spans="7:8" x14ac:dyDescent="0.25">
      <c r="G1802" s="2" t="str">
        <f ca="1">IFERROR(__xludf.DUMMYFUNCTION("""COMPUTED_VALUE"""),"He Got Game ")</f>
        <v>He Got Game </v>
      </c>
      <c r="H1802" s="2">
        <v>-3445415</v>
      </c>
    </row>
    <row r="1803" spans="7:8" x14ac:dyDescent="0.25">
      <c r="G1803" s="2" t="str">
        <f ca="1">IFERROR(__xludf.DUMMYFUNCTION("""COMPUTED_VALUE"""),"Don Juan DeMarco ")</f>
        <v>Don Juan DeMarco </v>
      </c>
      <c r="H1803" s="2">
        <v>-2800000</v>
      </c>
    </row>
    <row r="1804" spans="7:8" x14ac:dyDescent="0.25">
      <c r="G1804" s="2" t="str">
        <f ca="1">IFERROR(__xludf.DUMMYFUNCTION("""COMPUTED_VALUE"""),"Dear John ")</f>
        <v>Dear John </v>
      </c>
      <c r="H1804" s="2">
        <v>55014842</v>
      </c>
    </row>
    <row r="1805" spans="7:8" x14ac:dyDescent="0.25">
      <c r="G1805" s="2" t="str">
        <f ca="1">IFERROR(__xludf.DUMMYFUNCTION("""COMPUTED_VALUE"""),"The Losers ")</f>
        <v>The Losers </v>
      </c>
      <c r="H1805" s="2">
        <v>-1472045</v>
      </c>
    </row>
    <row r="1806" spans="7:8" x14ac:dyDescent="0.25">
      <c r="G1806" s="2" t="str">
        <f ca="1">IFERROR(__xludf.DUMMYFUNCTION("""COMPUTED_VALUE"""),"Don't Be Afraid of the Dark ")</f>
        <v>Don't Be Afraid of the Dark </v>
      </c>
      <c r="H1806" s="2">
        <v>-957510</v>
      </c>
    </row>
    <row r="1807" spans="7:8" x14ac:dyDescent="0.25">
      <c r="G1807" s="2" t="str">
        <f ca="1">IFERROR(__xludf.DUMMYFUNCTION("""COMPUTED_VALUE"""),"War ")</f>
        <v>War </v>
      </c>
      <c r="H1807" s="2">
        <v>-2533006</v>
      </c>
    </row>
    <row r="1808" spans="7:8" x14ac:dyDescent="0.25">
      <c r="G1808" s="2" t="str">
        <f ca="1">IFERROR(__xludf.DUMMYFUNCTION("""COMPUTED_VALUE"""),"Punch-Drunk Love ")</f>
        <v>Punch-Drunk Love </v>
      </c>
      <c r="H1808" s="2">
        <v>-7208969</v>
      </c>
    </row>
    <row r="1809" spans="7:8" x14ac:dyDescent="0.25">
      <c r="G1809" s="2" t="str">
        <f ca="1">IFERROR(__xludf.DUMMYFUNCTION("""COMPUTED_VALUE"""),"EuroTrip ")</f>
        <v>EuroTrip </v>
      </c>
      <c r="H1809" s="2">
        <v>-7281777</v>
      </c>
    </row>
    <row r="1810" spans="7:8" x14ac:dyDescent="0.25">
      <c r="G1810" s="2" t="str">
        <f ca="1">IFERROR(__xludf.DUMMYFUNCTION("""COMPUTED_VALUE"""),"Half Past Dead ")</f>
        <v>Half Past Dead </v>
      </c>
      <c r="H1810" s="2">
        <v>2361537</v>
      </c>
    </row>
    <row r="1811" spans="7:8" x14ac:dyDescent="0.25">
      <c r="G1811" s="2" t="str">
        <f ca="1">IFERROR(__xludf.DUMMYFUNCTION("""COMPUTED_VALUE"""),"Unaccompanied Minors ")</f>
        <v>Unaccompanied Minors </v>
      </c>
      <c r="H1811" s="2">
        <v>-9352616</v>
      </c>
    </row>
    <row r="1812" spans="7:8" x14ac:dyDescent="0.25">
      <c r="G1812" s="2" t="str">
        <f ca="1">IFERROR(__xludf.DUMMYFUNCTION("""COMPUTED_VALUE"""),"Bright Lights, Big City ")</f>
        <v>Bright Lights, Big City </v>
      </c>
      <c r="H1812" s="2">
        <v>-8881923</v>
      </c>
    </row>
    <row r="1813" spans="7:8" x14ac:dyDescent="0.25">
      <c r="G1813" s="2" t="str">
        <f ca="1">IFERROR(__xludf.DUMMYFUNCTION("""COMPUTED_VALUE"""),"The Adventures of Pinocchio ")</f>
        <v>The Adventures of Pinocchio </v>
      </c>
      <c r="H1813" s="2">
        <v>-9908458</v>
      </c>
    </row>
    <row r="1814" spans="7:8" x14ac:dyDescent="0.25">
      <c r="G1814" s="2" t="str">
        <f ca="1">IFERROR(__xludf.DUMMYFUNCTION("""COMPUTED_VALUE"""),"The Box ")</f>
        <v>The Box </v>
      </c>
      <c r="H1814" s="2">
        <v>-954324</v>
      </c>
    </row>
    <row r="1815" spans="7:8" x14ac:dyDescent="0.25">
      <c r="G1815" s="2" t="str">
        <f ca="1">IFERROR(__xludf.DUMMYFUNCTION("""COMPUTED_VALUE"""),"The Ruins ")</f>
        <v>The Ruins </v>
      </c>
      <c r="H1815" s="2">
        <v>9427926</v>
      </c>
    </row>
    <row r="1816" spans="7:8" x14ac:dyDescent="0.25">
      <c r="G1816" s="2" t="str">
        <f ca="1">IFERROR(__xludf.DUMMYFUNCTION("""COMPUTED_VALUE"""),"The Next Best Thing ")</f>
        <v>The Next Best Thing </v>
      </c>
      <c r="H1816" s="2">
        <v>-10016428</v>
      </c>
    </row>
    <row r="1817" spans="7:8" x14ac:dyDescent="0.25">
      <c r="G1817" s="2" t="str">
        <f ca="1">IFERROR(__xludf.DUMMYFUNCTION("""COMPUTED_VALUE"""),"My Soul to Take ")</f>
        <v>My Soul to Take </v>
      </c>
      <c r="H1817" s="2">
        <v>-10362510</v>
      </c>
    </row>
    <row r="1818" spans="7:8" x14ac:dyDescent="0.25">
      <c r="G1818" s="2" t="str">
        <f ca="1">IFERROR(__xludf.DUMMYFUNCTION("""COMPUTED_VALUE"""),"The Girl Next Door ")</f>
        <v>The Girl Next Door </v>
      </c>
      <c r="H1818" s="2">
        <v>-10410556</v>
      </c>
    </row>
    <row r="1819" spans="7:8" x14ac:dyDescent="0.25">
      <c r="G1819" s="2" t="str">
        <f ca="1">IFERROR(__xludf.DUMMYFUNCTION("""COMPUTED_VALUE"""),"Maximum Risk ")</f>
        <v>Maximum Risk </v>
      </c>
      <c r="H1819" s="2">
        <v>-10904697</v>
      </c>
    </row>
    <row r="1820" spans="7:8" x14ac:dyDescent="0.25">
      <c r="G1820" s="2" t="str">
        <f ca="1">IFERROR(__xludf.DUMMYFUNCTION("""COMPUTED_VALUE"""),"Stealing Harvard ")</f>
        <v>Stealing Harvard </v>
      </c>
      <c r="H1820" s="2">
        <v>-11026468</v>
      </c>
    </row>
    <row r="1821" spans="7:8" x14ac:dyDescent="0.25">
      <c r="G1821" s="2" t="str">
        <f ca="1">IFERROR(__xludf.DUMMYFUNCTION("""COMPUTED_VALUE"""),"Legend ")</f>
        <v>Legend </v>
      </c>
      <c r="H1821" s="2">
        <v>-28134226</v>
      </c>
    </row>
    <row r="1822" spans="7:8" x14ac:dyDescent="0.25">
      <c r="G1822" s="2" t="str">
        <f ca="1">IFERROR(__xludf.DUMMYFUNCTION("""COMPUTED_VALUE"""),"Shark Night 3D ")</f>
        <v>Shark Night 3D </v>
      </c>
      <c r="H1822" s="2">
        <v>-6139597</v>
      </c>
    </row>
    <row r="1823" spans="7:8" x14ac:dyDescent="0.25">
      <c r="G1823" s="2" t="str">
        <f ca="1">IFERROR(__xludf.DUMMYFUNCTION("""COMPUTED_VALUE"""),"Angela's Ashes ")</f>
        <v>Angela's Ashes </v>
      </c>
      <c r="H1823" s="2">
        <v>-11961340</v>
      </c>
    </row>
    <row r="1824" spans="7:8" x14ac:dyDescent="0.25">
      <c r="G1824" s="2" t="str">
        <f ca="1">IFERROR(__xludf.DUMMYFUNCTION("""COMPUTED_VALUE"""),"Draft Day ")</f>
        <v>Draft Day </v>
      </c>
      <c r="H1824" s="2">
        <v>3831145</v>
      </c>
    </row>
    <row r="1825" spans="7:8" x14ac:dyDescent="0.25">
      <c r="G1825" s="2" t="str">
        <f ca="1">IFERROR(__xludf.DUMMYFUNCTION("""COMPUTED_VALUE"""),"The Conspirator ")</f>
        <v>The Conspirator </v>
      </c>
      <c r="H1825" s="2">
        <v>-13461796</v>
      </c>
    </row>
    <row r="1826" spans="7:8" x14ac:dyDescent="0.25">
      <c r="G1826" s="2" t="str">
        <f ca="1">IFERROR(__xludf.DUMMYFUNCTION("""COMPUTED_VALUE"""),"Lords of Dogtown ")</f>
        <v>Lords of Dogtown </v>
      </c>
      <c r="H1826" s="2">
        <v>-13991568</v>
      </c>
    </row>
    <row r="1827" spans="7:8" x14ac:dyDescent="0.25">
      <c r="G1827" s="2" t="str">
        <f ca="1">IFERROR(__xludf.DUMMYFUNCTION("""COMPUTED_VALUE"""),"The 33 ")</f>
        <v>The 33 </v>
      </c>
      <c r="H1827" s="2">
        <v>-13811358</v>
      </c>
    </row>
    <row r="1828" spans="7:8" x14ac:dyDescent="0.25">
      <c r="G1828" s="2" t="str">
        <f ca="1">IFERROR(__xludf.DUMMYFUNCTION("""COMPUTED_VALUE"""),"Big Trouble in Little China ")</f>
        <v>Big Trouble in Little China </v>
      </c>
      <c r="H1828" s="2">
        <v>-13900000</v>
      </c>
    </row>
    <row r="1829" spans="7:8" x14ac:dyDescent="0.25">
      <c r="G1829" s="2" t="str">
        <f ca="1">IFERROR(__xludf.DUMMYFUNCTION("""COMPUTED_VALUE"""),"Warrior ")</f>
        <v>Warrior </v>
      </c>
      <c r="H1829" s="2">
        <v>-11348338</v>
      </c>
    </row>
    <row r="1830" spans="7:8" x14ac:dyDescent="0.25">
      <c r="G1830" s="2" t="str">
        <f ca="1">IFERROR(__xludf.DUMMYFUNCTION("""COMPUTED_VALUE"""),"Michael Collins ")</f>
        <v>Michael Collins </v>
      </c>
      <c r="H1830" s="2">
        <v>-16969037</v>
      </c>
    </row>
    <row r="1831" spans="7:8" x14ac:dyDescent="0.25">
      <c r="G1831" s="2" t="str">
        <f ca="1">IFERROR(__xludf.DUMMYFUNCTION("""COMPUTED_VALUE"""),"Gettysburg ")</f>
        <v>Gettysburg </v>
      </c>
      <c r="H1831" s="2">
        <v>-14230040</v>
      </c>
    </row>
    <row r="1832" spans="7:8" x14ac:dyDescent="0.25">
      <c r="G1832" s="2" t="str">
        <f ca="1">IFERROR(__xludf.DUMMYFUNCTION("""COMPUTED_VALUE"""),"Stop-Loss ")</f>
        <v>Stop-Loss </v>
      </c>
      <c r="H1832" s="2">
        <v>-14088250</v>
      </c>
    </row>
    <row r="1833" spans="7:8" x14ac:dyDescent="0.25">
      <c r="G1833" s="2" t="str">
        <f ca="1">IFERROR(__xludf.DUMMYFUNCTION("""COMPUTED_VALUE"""),"Abandon ")</f>
        <v>Abandon </v>
      </c>
      <c r="H1833" s="2">
        <v>-14280633</v>
      </c>
    </row>
    <row r="1834" spans="7:8" x14ac:dyDescent="0.25">
      <c r="G1834" s="2" t="str">
        <f ca="1">IFERROR(__xludf.DUMMYFUNCTION("""COMPUTED_VALUE"""),"Brokedown Palace ")</f>
        <v>Brokedown Palace </v>
      </c>
      <c r="H1834" s="2">
        <v>-14885685</v>
      </c>
    </row>
    <row r="1835" spans="7:8" x14ac:dyDescent="0.25">
      <c r="G1835" s="2" t="str">
        <f ca="1">IFERROR(__xludf.DUMMYFUNCTION("""COMPUTED_VALUE"""),"The Possession ")</f>
        <v>The Possession </v>
      </c>
      <c r="H1835" s="2">
        <v>35122319</v>
      </c>
    </row>
    <row r="1836" spans="7:8" x14ac:dyDescent="0.25">
      <c r="G1836" s="2" t="str">
        <f ca="1">IFERROR(__xludf.DUMMYFUNCTION("""COMPUTED_VALUE"""),"Mrs. Winterbourne ")</f>
        <v>Mrs. Winterbourne </v>
      </c>
      <c r="H1836" s="2">
        <v>-14930000</v>
      </c>
    </row>
    <row r="1837" spans="7:8" x14ac:dyDescent="0.25">
      <c r="G1837" s="2" t="str">
        <f ca="1">IFERROR(__xludf.DUMMYFUNCTION("""COMPUTED_VALUE"""),"Straw Dogs ")</f>
        <v>Straw Dogs </v>
      </c>
      <c r="H1837" s="2">
        <v>-14675559</v>
      </c>
    </row>
    <row r="1838" spans="7:8" x14ac:dyDescent="0.25">
      <c r="G1838" s="2" t="str">
        <f ca="1">IFERROR(__xludf.DUMMYFUNCTION("""COMPUTED_VALUE"""),"The Hoax ")</f>
        <v>The Hoax </v>
      </c>
      <c r="H1838" s="2">
        <v>-17843067</v>
      </c>
    </row>
    <row r="1839" spans="7:8" x14ac:dyDescent="0.25">
      <c r="G1839" s="2" t="str">
        <f ca="1">IFERROR(__xludf.DUMMYFUNCTION("""COMPUTED_VALUE"""),"Stone Cold ")</f>
        <v>Stone Cold </v>
      </c>
      <c r="H1839" s="2">
        <v>-7713686</v>
      </c>
    </row>
    <row r="1840" spans="7:8" x14ac:dyDescent="0.25">
      <c r="G1840" s="2" t="str">
        <f ca="1">IFERROR(__xludf.DUMMYFUNCTION("""COMPUTED_VALUE"""),"The Road ")</f>
        <v>The Road </v>
      </c>
      <c r="H1840" s="2">
        <v>-24943308</v>
      </c>
    </row>
    <row r="1841" spans="7:8" x14ac:dyDescent="0.25">
      <c r="G1841" s="2" t="str">
        <f ca="1">IFERROR(__xludf.DUMMYFUNCTION("""COMPUTED_VALUE"""),"Underclassman ")</f>
        <v>Underclassman </v>
      </c>
      <c r="H1841" s="2">
        <v>-19345223</v>
      </c>
    </row>
    <row r="1842" spans="7:8" x14ac:dyDescent="0.25">
      <c r="G1842" s="2" t="str">
        <f ca="1">IFERROR(__xludf.DUMMYFUNCTION("""COMPUTED_VALUE"""),"Say It Isn't So ")</f>
        <v>Say It Isn't So </v>
      </c>
      <c r="H1842" s="2">
        <v>-19483292</v>
      </c>
    </row>
    <row r="1843" spans="7:8" x14ac:dyDescent="0.25">
      <c r="G1843" s="2" t="str">
        <f ca="1">IFERROR(__xludf.DUMMYFUNCTION("""COMPUTED_VALUE"""),"The World's Fastest Indian ")</f>
        <v>The World's Fastest Indian </v>
      </c>
      <c r="H1843" s="2">
        <v>-19871876</v>
      </c>
    </row>
    <row r="1844" spans="7:8" x14ac:dyDescent="0.25">
      <c r="G1844" s="2" t="str">
        <f ca="1">IFERROR(__xludf.DUMMYFUNCTION("""COMPUTED_VALUE"""),"Tank Girl ")</f>
        <v>Tank Girl </v>
      </c>
      <c r="H1844" s="2">
        <v>-20935667</v>
      </c>
    </row>
    <row r="1845" spans="7:8" x14ac:dyDescent="0.25">
      <c r="G1845" s="2" t="str">
        <f ca="1">IFERROR(__xludf.DUMMYFUNCTION("""COMPUTED_VALUE"""),"King's Ransom ")</f>
        <v>King's Ransom </v>
      </c>
      <c r="H1845" s="2">
        <v>-10993094</v>
      </c>
    </row>
    <row r="1846" spans="7:8" x14ac:dyDescent="0.25">
      <c r="G1846" s="2" t="str">
        <f ca="1">IFERROR(__xludf.DUMMYFUNCTION("""COMPUTED_VALUE"""),"Blindness ")</f>
        <v>Blindness </v>
      </c>
      <c r="H1846" s="2">
        <v>-21926608</v>
      </c>
    </row>
    <row r="1847" spans="7:8" x14ac:dyDescent="0.25">
      <c r="G1847" s="2" t="str">
        <f ca="1">IFERROR(__xludf.DUMMYFUNCTION("""COMPUTED_VALUE"""),"BloodRayne ")</f>
        <v>BloodRayne </v>
      </c>
      <c r="H1847" s="2">
        <v>-23450000</v>
      </c>
    </row>
    <row r="1848" spans="7:8" x14ac:dyDescent="0.25">
      <c r="G1848" s="2" t="str">
        <f ca="1">IFERROR(__xludf.DUMMYFUNCTION("""COMPUTED_VALUE"""),"Where the Truth Lies ")</f>
        <v>Where the Truth Lies </v>
      </c>
      <c r="H1848" s="2">
        <v>-24128473</v>
      </c>
    </row>
    <row r="1849" spans="7:8" x14ac:dyDescent="0.25">
      <c r="G1849" s="2" t="str">
        <f ca="1">IFERROR(__xludf.DUMMYFUNCTION("""COMPUTED_VALUE"""),"Without Limits ")</f>
        <v>Without Limits </v>
      </c>
      <c r="H1849" s="2">
        <v>-24222577</v>
      </c>
    </row>
    <row r="1850" spans="7:8" x14ac:dyDescent="0.25">
      <c r="G1850" s="2" t="str">
        <f ca="1">IFERROR(__xludf.DUMMYFUNCTION("""COMPUTED_VALUE"""),"Me and Orson Welles ")</f>
        <v>Me and Orson Welles </v>
      </c>
      <c r="H1850" s="2">
        <v>-23813043</v>
      </c>
    </row>
    <row r="1851" spans="7:8" x14ac:dyDescent="0.25">
      <c r="G1851" s="2" t="str">
        <f ca="1">IFERROR(__xludf.DUMMYFUNCTION("""COMPUTED_VALUE"""),"The Best Offer ")</f>
        <v>The Best Offer </v>
      </c>
      <c r="H1851" s="2">
        <v>-13414567</v>
      </c>
    </row>
    <row r="1852" spans="7:8" x14ac:dyDescent="0.25">
      <c r="G1852" s="2" t="str">
        <f ca="1">IFERROR(__xludf.DUMMYFUNCTION("""COMPUTED_VALUE"""),"Bad Lieutenant: Port of Call New Orleans ")</f>
        <v>Bad Lieutenant: Port of Call New Orleans </v>
      </c>
      <c r="H1852" s="2">
        <v>-18302044</v>
      </c>
    </row>
    <row r="1853" spans="7:8" x14ac:dyDescent="0.25">
      <c r="G1853" s="2" t="str">
        <f ca="1">IFERROR(__xludf.DUMMYFUNCTION("""COMPUTED_VALUE"""),"Little White Lies ")</f>
        <v>Little White Lies </v>
      </c>
      <c r="H1853" s="2">
        <v>-24816338</v>
      </c>
    </row>
    <row r="1854" spans="7:8" x14ac:dyDescent="0.25">
      <c r="G1854" s="2" t="str">
        <f ca="1">IFERROR(__xludf.DUMMYFUNCTION("""COMPUTED_VALUE"""),"Love Ranch ")</f>
        <v>Love Ranch </v>
      </c>
      <c r="H1854" s="2">
        <v>-24865096</v>
      </c>
    </row>
    <row r="1855" spans="7:8" x14ac:dyDescent="0.25">
      <c r="G1855" s="2" t="str">
        <f ca="1">IFERROR(__xludf.DUMMYFUNCTION("""COMPUTED_VALUE"""),"The Counselor ")</f>
        <v>The Counselor </v>
      </c>
      <c r="H1855" s="2">
        <v>-8030610</v>
      </c>
    </row>
    <row r="1856" spans="7:8" x14ac:dyDescent="0.25">
      <c r="G1856" s="2" t="str">
        <f ca="1">IFERROR(__xludf.DUMMYFUNCTION("""COMPUTED_VALUE"""),"Kung Fu Killer ")</f>
        <v>Kung Fu Killer </v>
      </c>
      <c r="H1856" s="2">
        <v>-24870885</v>
      </c>
    </row>
    <row r="1857" spans="7:8" x14ac:dyDescent="0.25">
      <c r="G1857" s="2" t="str">
        <f ca="1">IFERROR(__xludf.DUMMYFUNCTION("""COMPUTED_VALUE"""),"Dangerous Liaisons ")</f>
        <v>Dangerous Liaisons </v>
      </c>
      <c r="H1857" s="2">
        <v>20700000</v>
      </c>
    </row>
    <row r="1858" spans="7:8" x14ac:dyDescent="0.25">
      <c r="G1858" s="2" t="str">
        <f ca="1">IFERROR(__xludf.DUMMYFUNCTION("""COMPUTED_VALUE"""),"On the Road ")</f>
        <v>On the Road </v>
      </c>
      <c r="H1858" s="2">
        <v>-24282247</v>
      </c>
    </row>
    <row r="1859" spans="7:8" x14ac:dyDescent="0.25">
      <c r="G1859" s="2" t="str">
        <f ca="1">IFERROR(__xludf.DUMMYFUNCTION("""COMPUTED_VALUE"""),"Star Trek IV: The Voyage Home ")</f>
        <v>Star Trek IV: The Voyage Home </v>
      </c>
      <c r="H1859" s="2">
        <v>84713132</v>
      </c>
    </row>
    <row r="1860" spans="7:8" x14ac:dyDescent="0.25">
      <c r="G1860" s="2" t="str">
        <f ca="1">IFERROR(__xludf.DUMMYFUNCTION("""COMPUTED_VALUE"""),"Rocky Balboa ")</f>
        <v>Rocky Balboa </v>
      </c>
      <c r="H1860" s="2">
        <v>46269171</v>
      </c>
    </row>
    <row r="1861" spans="7:8" x14ac:dyDescent="0.25">
      <c r="G1861" s="2" t="str">
        <f ca="1">IFERROR(__xludf.DUMMYFUNCTION("""COMPUTED_VALUE"""),"Scream 2 ")</f>
        <v>Scream 2 </v>
      </c>
      <c r="H1861" s="2">
        <v>77334374</v>
      </c>
    </row>
    <row r="1862" spans="7:8" x14ac:dyDescent="0.25">
      <c r="G1862" s="2" t="str">
        <f ca="1">IFERROR(__xludf.DUMMYFUNCTION("""COMPUTED_VALUE"""),"Jane Got a Gun ")</f>
        <v>Jane Got a Gun </v>
      </c>
      <c r="H1862" s="2">
        <v>-23487185</v>
      </c>
    </row>
    <row r="1863" spans="7:8" x14ac:dyDescent="0.25">
      <c r="G1863" s="2" t="str">
        <f ca="1">IFERROR(__xludf.DUMMYFUNCTION("""COMPUTED_VALUE"""),"Think Like a Man Too ")</f>
        <v>Think Like a Man Too </v>
      </c>
      <c r="H1863" s="2">
        <v>41182182</v>
      </c>
    </row>
    <row r="1864" spans="7:8" x14ac:dyDescent="0.25">
      <c r="G1864" s="2" t="str">
        <f ca="1">IFERROR(__xludf.DUMMYFUNCTION("""COMPUTED_VALUE"""),"The Whole Nine Yards ")</f>
        <v>The Whole Nine Yards </v>
      </c>
      <c r="H1864" s="2">
        <v>33262492</v>
      </c>
    </row>
    <row r="1865" spans="7:8" x14ac:dyDescent="0.25">
      <c r="G1865" s="2" t="str">
        <f ca="1">IFERROR(__xludf.DUMMYFUNCTION("""COMPUTED_VALUE"""),"Footloose ")</f>
        <v>Footloose </v>
      </c>
      <c r="H1865" s="2">
        <v>71800000</v>
      </c>
    </row>
    <row r="1866" spans="7:8" x14ac:dyDescent="0.25">
      <c r="G1866" s="2" t="str">
        <f ca="1">IFERROR(__xludf.DUMMYFUNCTION("""COMPUTED_VALUE"""),"Old School ")</f>
        <v>Old School </v>
      </c>
      <c r="H1866" s="2">
        <v>50608545</v>
      </c>
    </row>
    <row r="1867" spans="7:8" x14ac:dyDescent="0.25">
      <c r="G1867" s="2" t="str">
        <f ca="1">IFERROR(__xludf.DUMMYFUNCTION("""COMPUTED_VALUE"""),"The Fisher King ")</f>
        <v>The Fisher King </v>
      </c>
      <c r="H1867" s="2">
        <v>17895491</v>
      </c>
    </row>
    <row r="1868" spans="7:8" x14ac:dyDescent="0.25">
      <c r="G1868" s="2" t="str">
        <f ca="1">IFERROR(__xludf.DUMMYFUNCTION("""COMPUTED_VALUE"""),"I Still Know What You Did Last Summer ")</f>
        <v>I Still Know What You Did Last Summer </v>
      </c>
      <c r="H1868" s="2">
        <v>15989008</v>
      </c>
    </row>
    <row r="1869" spans="7:8" x14ac:dyDescent="0.25">
      <c r="G1869" s="2" t="str">
        <f ca="1">IFERROR(__xludf.DUMMYFUNCTION("""COMPUTED_VALUE"""),"Return to Me ")</f>
        <v>Return to Me </v>
      </c>
      <c r="H1869" s="2">
        <v>8662299</v>
      </c>
    </row>
    <row r="1870" spans="7:8" x14ac:dyDescent="0.25">
      <c r="G1870" s="2" t="str">
        <f ca="1">IFERROR(__xludf.DUMMYFUNCTION("""COMPUTED_VALUE"""),"Zack and Miri Make a Porno ")</f>
        <v>Zack and Miri Make a Porno </v>
      </c>
      <c r="H1870" s="2">
        <v>7452765</v>
      </c>
    </row>
    <row r="1871" spans="7:8" x14ac:dyDescent="0.25">
      <c r="G1871" s="2" t="str">
        <f ca="1">IFERROR(__xludf.DUMMYFUNCTION("""COMPUTED_VALUE"""),"Nurse Betty ")</f>
        <v>Nurse Betty </v>
      </c>
      <c r="H1871" s="2">
        <v>1167270</v>
      </c>
    </row>
    <row r="1872" spans="7:8" x14ac:dyDescent="0.25">
      <c r="G1872" s="2" t="str">
        <f ca="1">IFERROR(__xludf.DUMMYFUNCTION("""COMPUTED_VALUE"""),"The Men Who Stare at Goats ")</f>
        <v>The Men Who Stare at Goats </v>
      </c>
      <c r="H1872" s="2">
        <v>7416109</v>
      </c>
    </row>
    <row r="1873" spans="7:8" x14ac:dyDescent="0.25">
      <c r="G1873" s="2" t="str">
        <f ca="1">IFERROR(__xludf.DUMMYFUNCTION("""COMPUTED_VALUE"""),"Double Take ")</f>
        <v>Double Take </v>
      </c>
      <c r="H1873" s="2">
        <v>-23979782</v>
      </c>
    </row>
    <row r="1874" spans="7:8" x14ac:dyDescent="0.25">
      <c r="G1874" s="2" t="str">
        <f ca="1">IFERROR(__xludf.DUMMYFUNCTION("""COMPUTED_VALUE"""),"Girl, Interrupted ")</f>
        <v>Girl, Interrupted </v>
      </c>
      <c r="H1874" s="2">
        <v>4871190</v>
      </c>
    </row>
    <row r="1875" spans="7:8" x14ac:dyDescent="0.25">
      <c r="G1875" s="2" t="str">
        <f ca="1">IFERROR(__xludf.DUMMYFUNCTION("""COMPUTED_VALUE"""),"Win a Date with Tad Hamilton! ")</f>
        <v>Win a Date with Tad Hamilton! </v>
      </c>
      <c r="H1875" s="2">
        <v>-7035257</v>
      </c>
    </row>
    <row r="1876" spans="7:8" x14ac:dyDescent="0.25">
      <c r="G1876" s="2" t="str">
        <f ca="1">IFERROR(__xludf.DUMMYFUNCTION("""COMPUTED_VALUE"""),"Muppets from Space ")</f>
        <v>Muppets from Space </v>
      </c>
      <c r="H1876" s="2">
        <v>-7709024</v>
      </c>
    </row>
    <row r="1877" spans="7:8" x14ac:dyDescent="0.25">
      <c r="G1877" s="2" t="str">
        <f ca="1">IFERROR(__xludf.DUMMYFUNCTION("""COMPUTED_VALUE"""),"The Wiz ")</f>
        <v>The Wiz </v>
      </c>
      <c r="H1877" s="2">
        <v>-11000000</v>
      </c>
    </row>
    <row r="1878" spans="7:8" x14ac:dyDescent="0.25">
      <c r="G1878" s="2" t="str">
        <f ca="1">IFERROR(__xludf.DUMMYFUNCTION("""COMPUTED_VALUE"""),"Ready to Rumble ")</f>
        <v>Ready to Rumble </v>
      </c>
      <c r="H1878" s="2">
        <v>-11627590</v>
      </c>
    </row>
    <row r="1879" spans="7:8" x14ac:dyDescent="0.25">
      <c r="G1879" s="2" t="str">
        <f ca="1">IFERROR(__xludf.DUMMYFUNCTION("""COMPUTED_VALUE"""),"Play It to the Bone ")</f>
        <v>Play It to the Bone </v>
      </c>
      <c r="H1879" s="2">
        <v>-15572796</v>
      </c>
    </row>
    <row r="1880" spans="7:8" x14ac:dyDescent="0.25">
      <c r="G1880" s="2" t="str">
        <f ca="1">IFERROR(__xludf.DUMMYFUNCTION("""COMPUTED_VALUE"""),"I Don't Know How She Does It ")</f>
        <v>I Don't Know How She Does It </v>
      </c>
      <c r="H1880" s="2">
        <v>-14360758</v>
      </c>
    </row>
    <row r="1881" spans="7:8" x14ac:dyDescent="0.25">
      <c r="G1881" s="2" t="str">
        <f ca="1">IFERROR(__xludf.DUMMYFUNCTION("""COMPUTED_VALUE"""),"Piranha 3D ")</f>
        <v>Piranha 3D </v>
      </c>
      <c r="H1881" s="2">
        <v>1003072</v>
      </c>
    </row>
    <row r="1882" spans="7:8" x14ac:dyDescent="0.25">
      <c r="G1882" s="2" t="str">
        <f ca="1">IFERROR(__xludf.DUMMYFUNCTION("""COMPUTED_VALUE"""),"Beyond the Sea ")</f>
        <v>Beyond the Sea </v>
      </c>
      <c r="H1882" s="2">
        <v>-16855194</v>
      </c>
    </row>
    <row r="1883" spans="7:8" x14ac:dyDescent="0.25">
      <c r="G1883" s="2" t="str">
        <f ca="1">IFERROR(__xludf.DUMMYFUNCTION("""COMPUTED_VALUE"""),"Meet the Deedles ")</f>
        <v>Meet the Deedles </v>
      </c>
      <c r="H1883" s="2">
        <v>-19691019</v>
      </c>
    </row>
    <row r="1884" spans="7:8" x14ac:dyDescent="0.25">
      <c r="G1884" s="2" t="str">
        <f ca="1">IFERROR(__xludf.DUMMYFUNCTION("""COMPUTED_VALUE"""),"The Princess and the Cobbler ")</f>
        <v>The Princess and the Cobbler </v>
      </c>
      <c r="H1884" s="2">
        <v>-27330724</v>
      </c>
    </row>
    <row r="1885" spans="7:8" x14ac:dyDescent="0.25">
      <c r="G1885" s="2" t="str">
        <f ca="1">IFERROR(__xludf.DUMMYFUNCTION("""COMPUTED_VALUE"""),"The Bridge of San Luis Rey ")</f>
        <v>The Bridge of San Luis Rey </v>
      </c>
      <c r="H1885" s="2">
        <v>-23957120</v>
      </c>
    </row>
    <row r="1886" spans="7:8" x14ac:dyDescent="0.25">
      <c r="G1886" s="2" t="str">
        <f ca="1">IFERROR(__xludf.DUMMYFUNCTION("""COMPUTED_VALUE"""),"Faster ")</f>
        <v>Faster </v>
      </c>
      <c r="H1886" s="2">
        <v>-774089</v>
      </c>
    </row>
    <row r="1887" spans="7:8" x14ac:dyDescent="0.25">
      <c r="G1887" s="2" t="str">
        <f ca="1">IFERROR(__xludf.DUMMYFUNCTION("""COMPUTED_VALUE"""),"Howl's Moving Castle ")</f>
        <v>Howl's Moving Castle </v>
      </c>
      <c r="H1887" s="2">
        <v>-19289545</v>
      </c>
    </row>
    <row r="1888" spans="7:8" x14ac:dyDescent="0.25">
      <c r="G1888" s="2" t="str">
        <f ca="1">IFERROR(__xludf.DUMMYFUNCTION("""COMPUTED_VALUE"""),"Zombieland ")</f>
        <v>Zombieland </v>
      </c>
      <c r="H1888" s="2">
        <v>51990286</v>
      </c>
    </row>
    <row r="1889" spans="7:8" x14ac:dyDescent="0.25">
      <c r="G1889" s="2" t="str">
        <f ca="1">IFERROR(__xludf.DUMMYFUNCTION("""COMPUTED_VALUE"""),"The Waterboy ")</f>
        <v>The Waterboy </v>
      </c>
      <c r="H1889" s="2">
        <v>141487252</v>
      </c>
    </row>
    <row r="1890" spans="7:8" x14ac:dyDescent="0.25">
      <c r="G1890" s="2" t="str">
        <f ca="1">IFERROR(__xludf.DUMMYFUNCTION("""COMPUTED_VALUE"""),"Star Wars: Episode V - The Empire Strikes Back ")</f>
        <v>Star Wars: Episode V - The Empire Strikes Back </v>
      </c>
      <c r="H1890" s="2">
        <v>272158751</v>
      </c>
    </row>
    <row r="1891" spans="7:8" x14ac:dyDescent="0.25">
      <c r="G1891" s="2" t="str">
        <f ca="1">IFERROR(__xludf.DUMMYFUNCTION("""COMPUTED_VALUE"""),"Bad Boys ")</f>
        <v>Bad Boys </v>
      </c>
      <c r="H1891" s="2">
        <v>46807024</v>
      </c>
    </row>
    <row r="1892" spans="7:8" x14ac:dyDescent="0.25">
      <c r="G1892" s="2" t="str">
        <f ca="1">IFERROR(__xludf.DUMMYFUNCTION("""COMPUTED_VALUE"""),"The Naked Gun 2½: The Smell of Fear ")</f>
        <v>The Naked Gun 2½: The Smell of Fear </v>
      </c>
      <c r="H1892" s="2">
        <v>63930411</v>
      </c>
    </row>
    <row r="1893" spans="7:8" x14ac:dyDescent="0.25">
      <c r="G1893" s="2" t="str">
        <f ca="1">IFERROR(__xludf.DUMMYFUNCTION("""COMPUTED_VALUE"""),"Final Destination ")</f>
        <v>Final Destination </v>
      </c>
      <c r="H1893" s="2">
        <v>30302314</v>
      </c>
    </row>
    <row r="1894" spans="7:8" x14ac:dyDescent="0.25">
      <c r="G1894" s="2" t="str">
        <f ca="1">IFERROR(__xludf.DUMMYFUNCTION("""COMPUTED_VALUE"""),"The Ides of March ")</f>
        <v>The Ides of March </v>
      </c>
      <c r="H1894" s="2">
        <v>28462534</v>
      </c>
    </row>
    <row r="1895" spans="7:8" x14ac:dyDescent="0.25">
      <c r="G1895" s="2" t="str">
        <f ca="1">IFERROR(__xludf.DUMMYFUNCTION("""COMPUTED_VALUE"""),"Pitch Black ")</f>
        <v>Pitch Black </v>
      </c>
      <c r="H1895" s="2">
        <v>16235088</v>
      </c>
    </row>
    <row r="1896" spans="7:8" x14ac:dyDescent="0.25">
      <c r="G1896" s="2" t="str">
        <f ca="1">IFERROR(__xludf.DUMMYFUNCTION("""COMPUTED_VALUE"""),"Someone Like You... ")</f>
        <v>Someone Like You... </v>
      </c>
      <c r="H1896" s="2">
        <v>4338033</v>
      </c>
    </row>
    <row r="1897" spans="7:8" x14ac:dyDescent="0.25">
      <c r="G1897" s="2" t="str">
        <f ca="1">IFERROR(__xludf.DUMMYFUNCTION("""COMPUTED_VALUE"""),"Her ")</f>
        <v>Her </v>
      </c>
      <c r="H1897" s="2">
        <v>2556065</v>
      </c>
    </row>
    <row r="1898" spans="7:8" x14ac:dyDescent="0.25">
      <c r="G1898" s="2" t="str">
        <f ca="1">IFERROR(__xludf.DUMMYFUNCTION("""COMPUTED_VALUE"""),"Joy Ride ")</f>
        <v>Joy Ride </v>
      </c>
      <c r="H1898" s="2">
        <v>-1026818</v>
      </c>
    </row>
    <row r="1899" spans="7:8" x14ac:dyDescent="0.25">
      <c r="G1899" s="2" t="str">
        <f ca="1">IFERROR(__xludf.DUMMYFUNCTION("""COMPUTED_VALUE"""),"The Adventurer: The Curse of the Midas Box ")</f>
        <v>The Adventurer: The Curse of the Midas Box </v>
      </c>
      <c r="H1899" s="2">
        <v>-24995244</v>
      </c>
    </row>
    <row r="1900" spans="7:8" x14ac:dyDescent="0.25">
      <c r="G1900" s="2" t="str">
        <f ca="1">IFERROR(__xludf.DUMMYFUNCTION("""COMPUTED_VALUE"""),"Anywhere But Here ")</f>
        <v>Anywhere But Here </v>
      </c>
      <c r="H1900" s="2">
        <v>-4346385</v>
      </c>
    </row>
    <row r="1901" spans="7:8" x14ac:dyDescent="0.25">
      <c r="G1901" s="2" t="str">
        <f ca="1">IFERROR(__xludf.DUMMYFUNCTION("""COMPUTED_VALUE"""),"The Crew ")</f>
        <v>The Crew </v>
      </c>
      <c r="H1901" s="2">
        <v>-9980747</v>
      </c>
    </row>
    <row r="1902" spans="7:8" x14ac:dyDescent="0.25">
      <c r="G1902" s="2" t="str">
        <f ca="1">IFERROR(__xludf.DUMMYFUNCTION("""COMPUTED_VALUE"""),"Haywire ")</f>
        <v>Haywire </v>
      </c>
      <c r="H1902" s="2">
        <v>-4065142</v>
      </c>
    </row>
    <row r="1903" spans="7:8" x14ac:dyDescent="0.25">
      <c r="G1903" s="2" t="str">
        <f ca="1">IFERROR(__xludf.DUMMYFUNCTION("""COMPUTED_VALUE"""),"Jaws: The Revenge ")</f>
        <v>Jaws: The Revenge </v>
      </c>
      <c r="H1903" s="2">
        <v>-2236987</v>
      </c>
    </row>
    <row r="1904" spans="7:8" x14ac:dyDescent="0.25">
      <c r="G1904" s="2" t="str">
        <f ca="1">IFERROR(__xludf.DUMMYFUNCTION("""COMPUTED_VALUE"""),"Marvin's Room ")</f>
        <v>Marvin's Room </v>
      </c>
      <c r="H1904" s="2">
        <v>-10217492</v>
      </c>
    </row>
    <row r="1905" spans="7:8" x14ac:dyDescent="0.25">
      <c r="G1905" s="2" t="str">
        <f ca="1">IFERROR(__xludf.DUMMYFUNCTION("""COMPUTED_VALUE"""),"The Longshots ")</f>
        <v>The Longshots </v>
      </c>
      <c r="H1905" s="2">
        <v>-11491577</v>
      </c>
    </row>
    <row r="1906" spans="7:8" x14ac:dyDescent="0.25">
      <c r="G1906" s="2" t="str">
        <f ca="1">IFERROR(__xludf.DUMMYFUNCTION("""COMPUTED_VALUE"""),"The End of the Affair ")</f>
        <v>The End of the Affair </v>
      </c>
      <c r="H1906" s="2">
        <v>-12339853</v>
      </c>
    </row>
    <row r="1907" spans="7:8" x14ac:dyDescent="0.25">
      <c r="G1907" s="2" t="str">
        <f ca="1">IFERROR(__xludf.DUMMYFUNCTION("""COMPUTED_VALUE"""),"Harley Davidson and the Marlboro Man ")</f>
        <v>Harley Davidson and the Marlboro Man </v>
      </c>
      <c r="H1907" s="2">
        <v>-15565274</v>
      </c>
    </row>
    <row r="1908" spans="7:8" x14ac:dyDescent="0.25">
      <c r="G1908" s="2" t="str">
        <f ca="1">IFERROR(__xludf.DUMMYFUNCTION("""COMPUTED_VALUE"""),"Coco Before Chanel ")</f>
        <v>Coco Before Chanel </v>
      </c>
      <c r="H1908" s="2">
        <v>-13320925</v>
      </c>
    </row>
    <row r="1909" spans="7:8" x14ac:dyDescent="0.25">
      <c r="G1909" s="2" t="str">
        <f ca="1">IFERROR(__xludf.DUMMYFUNCTION("""COMPUTED_VALUE"""),"Chéri ")</f>
        <v>Chéri </v>
      </c>
      <c r="H1909" s="2">
        <v>-20291812</v>
      </c>
    </row>
    <row r="1910" spans="7:8" x14ac:dyDescent="0.25">
      <c r="G1910" s="2" t="str">
        <f ca="1">IFERROR(__xludf.DUMMYFUNCTION("""COMPUTED_VALUE"""),"Vanity Fair ")</f>
        <v>Vanity Fair </v>
      </c>
      <c r="H1910" s="2">
        <v>-6876149</v>
      </c>
    </row>
    <row r="1911" spans="7:8" x14ac:dyDescent="0.25">
      <c r="G1911" s="2" t="str">
        <f ca="1">IFERROR(__xludf.DUMMYFUNCTION("""COMPUTED_VALUE"""),"1408 ")</f>
        <v>1408 </v>
      </c>
      <c r="H1911" s="2">
        <v>46975611</v>
      </c>
    </row>
    <row r="1912" spans="7:8" x14ac:dyDescent="0.25">
      <c r="G1912" s="2" t="str">
        <f ca="1">IFERROR(__xludf.DUMMYFUNCTION("""COMPUTED_VALUE"""),"Spaceballs ")</f>
        <v>Spaceballs </v>
      </c>
      <c r="H1912" s="2">
        <v>15419483</v>
      </c>
    </row>
    <row r="1913" spans="7:8" x14ac:dyDescent="0.25">
      <c r="G1913" s="2" t="str">
        <f ca="1">IFERROR(__xludf.DUMMYFUNCTION("""COMPUTED_VALUE"""),"The Water Diviner ")</f>
        <v>The Water Diviner </v>
      </c>
      <c r="H1913" s="2">
        <v>-18309470</v>
      </c>
    </row>
    <row r="1914" spans="7:8" x14ac:dyDescent="0.25">
      <c r="G1914" s="2" t="str">
        <f ca="1">IFERROR(__xludf.DUMMYFUNCTION("""COMPUTED_VALUE"""),"Ghost ")</f>
        <v>Ghost </v>
      </c>
      <c r="H1914" s="2">
        <v>195631306</v>
      </c>
    </row>
    <row r="1915" spans="7:8" x14ac:dyDescent="0.25">
      <c r="G1915" s="2" t="str">
        <f ca="1">IFERROR(__xludf.DUMMYFUNCTION("""COMPUTED_VALUE"""),"There's Something About Mary ")</f>
        <v>There's Something About Mary </v>
      </c>
      <c r="H1915" s="2">
        <v>153483808</v>
      </c>
    </row>
    <row r="1916" spans="7:8" x14ac:dyDescent="0.25">
      <c r="G1916" s="2" t="str">
        <f ca="1">IFERROR(__xludf.DUMMYFUNCTION("""COMPUTED_VALUE"""),"The Santa Clause ")</f>
        <v>The Santa Clause </v>
      </c>
      <c r="H1916" s="2">
        <v>122833357</v>
      </c>
    </row>
    <row r="1917" spans="7:8" x14ac:dyDescent="0.25">
      <c r="G1917" s="2" t="str">
        <f ca="1">IFERROR(__xludf.DUMMYFUNCTION("""COMPUTED_VALUE"""),"The Rookie ")</f>
        <v>The Rookie </v>
      </c>
      <c r="H1917" s="2">
        <v>55597042</v>
      </c>
    </row>
    <row r="1918" spans="7:8" x14ac:dyDescent="0.25">
      <c r="G1918" s="2" t="str">
        <f ca="1">IFERROR(__xludf.DUMMYFUNCTION("""COMPUTED_VALUE"""),"The Game Plan ")</f>
        <v>The Game Plan </v>
      </c>
      <c r="H1918" s="2">
        <v>68636983</v>
      </c>
    </row>
    <row r="1919" spans="7:8" x14ac:dyDescent="0.25">
      <c r="G1919" s="2" t="str">
        <f ca="1">IFERROR(__xludf.DUMMYFUNCTION("""COMPUTED_VALUE"""),"The Bridges of Madison County ")</f>
        <v>The Bridges of Madison County </v>
      </c>
      <c r="H1919" s="2">
        <v>35960517</v>
      </c>
    </row>
    <row r="1920" spans="7:8" x14ac:dyDescent="0.25">
      <c r="G1920" s="2" t="str">
        <f ca="1">IFERROR(__xludf.DUMMYFUNCTION("""COMPUTED_VALUE"""),"The Animal ")</f>
        <v>The Animal </v>
      </c>
      <c r="H1920" s="2">
        <v>33762229</v>
      </c>
    </row>
    <row r="1921" spans="7:8" x14ac:dyDescent="0.25">
      <c r="G1921" s="2" t="str">
        <f ca="1">IFERROR(__xludf.DUMMYFUNCTION("""COMPUTED_VALUE"""),"The Hundred-Foot Journey ")</f>
        <v>The Hundred-Foot Journey </v>
      </c>
      <c r="H1921" s="2">
        <v>32235441</v>
      </c>
    </row>
    <row r="1922" spans="7:8" x14ac:dyDescent="0.25">
      <c r="G1922" s="2" t="str">
        <f ca="1">IFERROR(__xludf.DUMMYFUNCTION("""COMPUTED_VALUE"""),"The Net ")</f>
        <v>The Net </v>
      </c>
      <c r="H1922" s="2">
        <v>28728000</v>
      </c>
    </row>
    <row r="1923" spans="7:8" x14ac:dyDescent="0.25">
      <c r="G1923" s="2" t="str">
        <f ca="1">IFERROR(__xludf.DUMMYFUNCTION("""COMPUTED_VALUE"""),"I Am Sam ")</f>
        <v>I Am Sam </v>
      </c>
      <c r="H1923" s="2">
        <v>18270895</v>
      </c>
    </row>
    <row r="1924" spans="7:8" x14ac:dyDescent="0.25">
      <c r="G1924" s="2" t="str">
        <f ca="1">IFERROR(__xludf.DUMMYFUNCTION("""COMPUTED_VALUE"""),"Son of God ")</f>
        <v>Son of God </v>
      </c>
      <c r="H1924" s="2">
        <v>37696176</v>
      </c>
    </row>
    <row r="1925" spans="7:8" x14ac:dyDescent="0.25">
      <c r="G1925" s="2" t="str">
        <f ca="1">IFERROR(__xludf.DUMMYFUNCTION("""COMPUTED_VALUE"""),"Underworld ")</f>
        <v>Underworld </v>
      </c>
      <c r="H1925" s="2">
        <v>29483949</v>
      </c>
    </row>
    <row r="1926" spans="7:8" x14ac:dyDescent="0.25">
      <c r="G1926" s="2" t="str">
        <f ca="1">IFERROR(__xludf.DUMMYFUNCTION("""COMPUTED_VALUE"""),"Derailed ")</f>
        <v>Derailed </v>
      </c>
      <c r="H1926" s="2">
        <v>14020063</v>
      </c>
    </row>
    <row r="1927" spans="7:8" x14ac:dyDescent="0.25">
      <c r="G1927" s="2" t="str">
        <f ca="1">IFERROR(__xludf.DUMMYFUNCTION("""COMPUTED_VALUE"""),"The Informant! ")</f>
        <v>The Informant! </v>
      </c>
      <c r="H1927" s="2">
        <v>12313582</v>
      </c>
    </row>
    <row r="1928" spans="7:8" x14ac:dyDescent="0.25">
      <c r="G1928" s="2" t="str">
        <f ca="1">IFERROR(__xludf.DUMMYFUNCTION("""COMPUTED_VALUE"""),"Shadowlands ")</f>
        <v>Shadowlands </v>
      </c>
      <c r="H1928" s="2">
        <v>3842000</v>
      </c>
    </row>
    <row r="1929" spans="7:8" x14ac:dyDescent="0.25">
      <c r="G1929" s="2" t="str">
        <f ca="1">IFERROR(__xludf.DUMMYFUNCTION("""COMPUTED_VALUE"""),"Deuce Bigalow: European Gigolo ")</f>
        <v>Deuce Bigalow: European Gigolo </v>
      </c>
      <c r="H1929" s="2">
        <v>264487</v>
      </c>
    </row>
    <row r="1930" spans="7:8" x14ac:dyDescent="0.25">
      <c r="G1930" s="2" t="str">
        <f ca="1">IFERROR(__xludf.DUMMYFUNCTION("""COMPUTED_VALUE"""),"Delivery Man ")</f>
        <v>Delivery Man </v>
      </c>
      <c r="H1930" s="2">
        <v>4659817</v>
      </c>
    </row>
    <row r="1931" spans="7:8" x14ac:dyDescent="0.25">
      <c r="G1931" s="2" t="str">
        <f ca="1">IFERROR(__xludf.DUMMYFUNCTION("""COMPUTED_VALUE"""),"Saving Silverman ")</f>
        <v>Saving Silverman </v>
      </c>
      <c r="H1931" s="2">
        <v>-2648431</v>
      </c>
    </row>
    <row r="1932" spans="7:8" x14ac:dyDescent="0.25">
      <c r="G1932" s="2" t="str">
        <f ca="1">IFERROR(__xludf.DUMMYFUNCTION("""COMPUTED_VALUE"""),"Diary of a Wimpy Kid: Dog Days ")</f>
        <v>Diary of a Wimpy Kid: Dog Days </v>
      </c>
      <c r="H1932" s="2">
        <v>27002815</v>
      </c>
    </row>
    <row r="1933" spans="7:8" x14ac:dyDescent="0.25">
      <c r="G1933" s="2" t="str">
        <f ca="1">IFERROR(__xludf.DUMMYFUNCTION("""COMPUTED_VALUE"""),"Summer of Sam ")</f>
        <v>Summer of Sam </v>
      </c>
      <c r="H1933" s="2">
        <v>-2716218</v>
      </c>
    </row>
    <row r="1934" spans="7:8" x14ac:dyDescent="0.25">
      <c r="G1934" s="2" t="str">
        <f ca="1">IFERROR(__xludf.DUMMYFUNCTION("""COMPUTED_VALUE"""),"Jay and Silent Bob Strike Back ")</f>
        <v>Jay and Silent Bob Strike Back </v>
      </c>
      <c r="H1934" s="2">
        <v>8059386</v>
      </c>
    </row>
    <row r="1935" spans="7:8" x14ac:dyDescent="0.25">
      <c r="G1935" s="2" t="str">
        <f ca="1">IFERROR(__xludf.DUMMYFUNCTION("""COMPUTED_VALUE"""),"The Glass House ")</f>
        <v>The Glass House </v>
      </c>
      <c r="H1935" s="2">
        <v>-12048569</v>
      </c>
    </row>
    <row r="1936" spans="7:8" x14ac:dyDescent="0.25">
      <c r="G1936" s="2" t="str">
        <f ca="1">IFERROR(__xludf.DUMMYFUNCTION("""COMPUTED_VALUE"""),"Hail, Caesar! ")</f>
        <v>Hail, Caesar! </v>
      </c>
      <c r="H1936" s="2">
        <v>7997095</v>
      </c>
    </row>
    <row r="1937" spans="7:8" x14ac:dyDescent="0.25">
      <c r="G1937" s="2" t="str">
        <f ca="1">IFERROR(__xludf.DUMMYFUNCTION("""COMPUTED_VALUE"""),"Josie and the Pussycats ")</f>
        <v>Josie and the Pussycats </v>
      </c>
      <c r="H1937" s="2">
        <v>-7747170</v>
      </c>
    </row>
    <row r="1938" spans="7:8" x14ac:dyDescent="0.25">
      <c r="G1938" s="2" t="str">
        <f ca="1">IFERROR(__xludf.DUMMYFUNCTION("""COMPUTED_VALUE"""),"Homefront ")</f>
        <v>Homefront </v>
      </c>
      <c r="H1938" s="2">
        <v>-2216223</v>
      </c>
    </row>
    <row r="1939" spans="7:8" x14ac:dyDescent="0.25">
      <c r="G1939" s="2" t="str">
        <f ca="1">IFERROR(__xludf.DUMMYFUNCTION("""COMPUTED_VALUE"""),"The Little Vampire ")</f>
        <v>The Little Vampire </v>
      </c>
      <c r="H1939" s="2">
        <v>-8444012</v>
      </c>
    </row>
    <row r="1940" spans="7:8" x14ac:dyDescent="0.25">
      <c r="G1940" s="2" t="str">
        <f ca="1">IFERROR(__xludf.DUMMYFUNCTION("""COMPUTED_VALUE"""),"I Heart Huckabees ")</f>
        <v>I Heart Huckabees </v>
      </c>
      <c r="H1940" s="2">
        <v>-9215287</v>
      </c>
    </row>
    <row r="1941" spans="7:8" x14ac:dyDescent="0.25">
      <c r="G1941" s="2" t="str">
        <f ca="1">IFERROR(__xludf.DUMMYFUNCTION("""COMPUTED_VALUE"""),"RoboCop 3 ")</f>
        <v>RoboCop 3 </v>
      </c>
      <c r="H1941" s="2">
        <v>-12803790</v>
      </c>
    </row>
    <row r="1942" spans="7:8" x14ac:dyDescent="0.25">
      <c r="G1942" s="2" t="str">
        <f ca="1">IFERROR(__xludf.DUMMYFUNCTION("""COMPUTED_VALUE"""),"Megiddo: The Omega Code 2 ")</f>
        <v>Megiddo: The Omega Code 2 </v>
      </c>
      <c r="H1942" s="2">
        <v>-16025347</v>
      </c>
    </row>
    <row r="1943" spans="7:8" x14ac:dyDescent="0.25">
      <c r="G1943" s="2" t="str">
        <f ca="1">IFERROR(__xludf.DUMMYFUNCTION("""COMPUTED_VALUE"""),"Darling Lili ")</f>
        <v>Darling Lili </v>
      </c>
      <c r="H1943" s="2">
        <v>-20000000</v>
      </c>
    </row>
    <row r="1944" spans="7:8" x14ac:dyDescent="0.25">
      <c r="G1944" s="2" t="str">
        <f ca="1">IFERROR(__xludf.DUMMYFUNCTION("""COMPUTED_VALUE"""),"Dudley Do-Right ")</f>
        <v>Dudley Do-Right </v>
      </c>
      <c r="H1944" s="2">
        <v>-12305895</v>
      </c>
    </row>
    <row r="1945" spans="7:8" x14ac:dyDescent="0.25">
      <c r="G1945" s="2" t="str">
        <f ca="1">IFERROR(__xludf.DUMMYFUNCTION("""COMPUTED_VALUE"""),"The Transporter Refueled ")</f>
        <v>The Transporter Refueled </v>
      </c>
      <c r="H1945" s="2">
        <v>-8972134</v>
      </c>
    </row>
    <row r="1946" spans="7:8" x14ac:dyDescent="0.25">
      <c r="G1946" s="2" t="str">
        <f ca="1">IFERROR(__xludf.DUMMYFUNCTION("""COMPUTED_VALUE"""),"Black Book ")</f>
        <v>Black Book </v>
      </c>
      <c r="H1946" s="2">
        <v>-16601608</v>
      </c>
    </row>
    <row r="1947" spans="7:8" x14ac:dyDescent="0.25">
      <c r="G1947" s="2" t="str">
        <f ca="1">IFERROR(__xludf.DUMMYFUNCTION("""COMPUTED_VALUE"""),"Joyeux Noel ")</f>
        <v>Joyeux Noel </v>
      </c>
      <c r="H1947" s="2">
        <v>-20949555</v>
      </c>
    </row>
    <row r="1948" spans="7:8" x14ac:dyDescent="0.25">
      <c r="G1948" s="2" t="str">
        <f ca="1">IFERROR(__xludf.DUMMYFUNCTION("""COMPUTED_VALUE"""),"Hit and Run ")</f>
        <v>Hit and Run </v>
      </c>
      <c r="H1948" s="2">
        <v>11746550</v>
      </c>
    </row>
    <row r="1949" spans="7:8" x14ac:dyDescent="0.25">
      <c r="G1949" s="2" t="str">
        <f ca="1">IFERROR(__xludf.DUMMYFUNCTION("""COMPUTED_VALUE"""),"Mad Money ")</f>
        <v>Mad Money </v>
      </c>
      <c r="H1949" s="2">
        <v>-1331157</v>
      </c>
    </row>
    <row r="1950" spans="7:8" x14ac:dyDescent="0.25">
      <c r="G1950" s="2" t="str">
        <f ca="1">IFERROR(__xludf.DUMMYFUNCTION("""COMPUTED_VALUE"""),"Before I Go to Sleep ")</f>
        <v>Before I Go to Sleep </v>
      </c>
      <c r="H1950" s="2">
        <v>-19036988</v>
      </c>
    </row>
    <row r="1951" spans="7:8" x14ac:dyDescent="0.25">
      <c r="G1951" s="2" t="str">
        <f ca="1">IFERROR(__xludf.DUMMYFUNCTION("""COMPUTED_VALUE"""),"Stone ")</f>
        <v>Stone </v>
      </c>
      <c r="H1951" s="2">
        <v>-20203976</v>
      </c>
    </row>
    <row r="1952" spans="7:8" x14ac:dyDescent="0.25">
      <c r="G1952" s="2" t="str">
        <f ca="1">IFERROR(__xludf.DUMMYFUNCTION("""COMPUTED_VALUE"""),"Molière ")</f>
        <v>Molière </v>
      </c>
      <c r="H1952" s="2">
        <v>-15365723</v>
      </c>
    </row>
    <row r="1953" spans="7:8" x14ac:dyDescent="0.25">
      <c r="G1953" s="2" t="str">
        <f ca="1">IFERROR(__xludf.DUMMYFUNCTION("""COMPUTED_VALUE"""),"Out of the Furnace ")</f>
        <v>Out of the Furnace </v>
      </c>
      <c r="H1953" s="2">
        <v>-10673164</v>
      </c>
    </row>
    <row r="1954" spans="7:8" x14ac:dyDescent="0.25">
      <c r="G1954" s="2" t="str">
        <f ca="1">IFERROR(__xludf.DUMMYFUNCTION("""COMPUTED_VALUE"""),"Michael Clayton ")</f>
        <v>Michael Clayton </v>
      </c>
      <c r="H1954" s="2">
        <v>24024969</v>
      </c>
    </row>
    <row r="1955" spans="7:8" x14ac:dyDescent="0.25">
      <c r="G1955" s="2" t="str">
        <f ca="1">IFERROR(__xludf.DUMMYFUNCTION("""COMPUTED_VALUE"""),"My Fellow Americans ")</f>
        <v>My Fellow Americans </v>
      </c>
      <c r="H1955" s="2">
        <v>794341</v>
      </c>
    </row>
    <row r="1956" spans="7:8" x14ac:dyDescent="0.25">
      <c r="G1956" s="2" t="str">
        <f ca="1">IFERROR(__xludf.DUMMYFUNCTION("""COMPUTED_VALUE"""),"Arlington Road ")</f>
        <v>Arlington Road </v>
      </c>
      <c r="H1956" s="2">
        <v>2862501</v>
      </c>
    </row>
    <row r="1957" spans="7:8" x14ac:dyDescent="0.25">
      <c r="G1957" s="2" t="str">
        <f ca="1">IFERROR(__xludf.DUMMYFUNCTION("""COMPUTED_VALUE"""),"To Rome with Love ")</f>
        <v>To Rome with Love </v>
      </c>
      <c r="H1957" s="2">
        <v>-315648</v>
      </c>
    </row>
    <row r="1958" spans="7:8" x14ac:dyDescent="0.25">
      <c r="G1958" s="2" t="str">
        <f ca="1">IFERROR(__xludf.DUMMYFUNCTION("""COMPUTED_VALUE"""),"Firefox ")</f>
        <v>Firefox </v>
      </c>
      <c r="H1958" s="2">
        <v>25700000</v>
      </c>
    </row>
    <row r="1959" spans="7:8" x14ac:dyDescent="0.25">
      <c r="G1959" s="2" t="str">
        <f ca="1">IFERROR(__xludf.DUMMYFUNCTION("""COMPUTED_VALUE"""),"South Park: Bigger Longer &amp; Uncut ")</f>
        <v>South Park: Bigger Longer &amp; Uncut </v>
      </c>
      <c r="H1959" s="2">
        <v>31008288</v>
      </c>
    </row>
    <row r="1960" spans="7:8" x14ac:dyDescent="0.25">
      <c r="G1960" s="2" t="str">
        <f ca="1">IFERROR(__xludf.DUMMYFUNCTION("""COMPUTED_VALUE"""),"Death at a Funeral ")</f>
        <v>Death at a Funeral </v>
      </c>
      <c r="H1960" s="2">
        <v>-420316</v>
      </c>
    </row>
    <row r="1961" spans="7:8" x14ac:dyDescent="0.25">
      <c r="G1961" s="2" t="str">
        <f ca="1">IFERROR(__xludf.DUMMYFUNCTION("""COMPUTED_VALUE"""),"Teenage Mutant Ninja Turtles III ")</f>
        <v>Teenage Mutant Ninja Turtles III </v>
      </c>
      <c r="H1961" s="2">
        <v>25660000</v>
      </c>
    </row>
    <row r="1962" spans="7:8" x14ac:dyDescent="0.25">
      <c r="G1962" s="2" t="str">
        <f ca="1">IFERROR(__xludf.DUMMYFUNCTION("""COMPUTED_VALUE"""),"Hardball ")</f>
        <v>Hardball </v>
      </c>
      <c r="H1962" s="2">
        <v>19219708</v>
      </c>
    </row>
    <row r="1963" spans="7:8" x14ac:dyDescent="0.25">
      <c r="G1963" s="2" t="str">
        <f ca="1">IFERROR(__xludf.DUMMYFUNCTION("""COMPUTED_VALUE"""),"Silver Linings Playbook ")</f>
        <v>Silver Linings Playbook </v>
      </c>
      <c r="H1963" s="2">
        <v>111088910</v>
      </c>
    </row>
    <row r="1964" spans="7:8" x14ac:dyDescent="0.25">
      <c r="G1964" s="2" t="str">
        <f ca="1">IFERROR(__xludf.DUMMYFUNCTION("""COMPUTED_VALUE"""),"Freedom Writers ")</f>
        <v>Freedom Writers </v>
      </c>
      <c r="H1964" s="2">
        <v>15581633</v>
      </c>
    </row>
    <row r="1965" spans="7:8" x14ac:dyDescent="0.25">
      <c r="G1965" s="2" t="str">
        <f ca="1">IFERROR(__xludf.DUMMYFUNCTION("""COMPUTED_VALUE"""),"The Transporter ")</f>
        <v>The Transporter </v>
      </c>
      <c r="H1965" s="2">
        <v>4296447</v>
      </c>
    </row>
    <row r="1966" spans="7:8" x14ac:dyDescent="0.25">
      <c r="G1966" s="2" t="str">
        <f ca="1">IFERROR(__xludf.DUMMYFUNCTION("""COMPUTED_VALUE"""),"Never Back Down ")</f>
        <v>Never Back Down </v>
      </c>
      <c r="H1966" s="2">
        <v>4848292</v>
      </c>
    </row>
    <row r="1967" spans="7:8" x14ac:dyDescent="0.25">
      <c r="G1967" s="2" t="str">
        <f ca="1">IFERROR(__xludf.DUMMYFUNCTION("""COMPUTED_VALUE"""),"The Rage: Carrie 2 ")</f>
        <v>The Rage: Carrie 2 </v>
      </c>
      <c r="H1967" s="2">
        <v>-3242913</v>
      </c>
    </row>
    <row r="1968" spans="7:8" x14ac:dyDescent="0.25">
      <c r="G1968" s="2" t="str">
        <f ca="1">IFERROR(__xludf.DUMMYFUNCTION("""COMPUTED_VALUE"""),"Away We Go ")</f>
        <v>Away We Go </v>
      </c>
      <c r="H1968" s="2">
        <v>-7569012</v>
      </c>
    </row>
    <row r="1969" spans="7:8" x14ac:dyDescent="0.25">
      <c r="G1969" s="2" t="str">
        <f ca="1">IFERROR(__xludf.DUMMYFUNCTION("""COMPUTED_VALUE"""),"Swing Vote ")</f>
        <v>Swing Vote </v>
      </c>
      <c r="H1969" s="2">
        <v>-4715640</v>
      </c>
    </row>
    <row r="1970" spans="7:8" x14ac:dyDescent="0.25">
      <c r="G1970" s="2" t="str">
        <f ca="1">IFERROR(__xludf.DUMMYFUNCTION("""COMPUTED_VALUE"""),"Moonlight Mile ")</f>
        <v>Moonlight Mile </v>
      </c>
      <c r="H1970" s="2">
        <v>-14169043</v>
      </c>
    </row>
    <row r="1971" spans="7:8" x14ac:dyDescent="0.25">
      <c r="G1971" s="2" t="str">
        <f ca="1">IFERROR(__xludf.DUMMYFUNCTION("""COMPUTED_VALUE"""),"Tinker Tailor Soldier Spy ")</f>
        <v>Tinker Tailor Soldier Spy </v>
      </c>
      <c r="H1971" s="2">
        <v>4104113</v>
      </c>
    </row>
    <row r="1972" spans="7:8" x14ac:dyDescent="0.25">
      <c r="G1972" s="2" t="str">
        <f ca="1">IFERROR(__xludf.DUMMYFUNCTION("""COMPUTED_VALUE"""),"Molly ")</f>
        <v>Molly </v>
      </c>
      <c r="H1972" s="2">
        <v>-20984407</v>
      </c>
    </row>
    <row r="1973" spans="7:8" x14ac:dyDescent="0.25">
      <c r="G1973" s="2" t="str">
        <f ca="1">IFERROR(__xludf.DUMMYFUNCTION("""COMPUTED_VALUE"""),"The Beaver ")</f>
        <v>The Beaver </v>
      </c>
      <c r="H1973" s="2">
        <v>-20041681</v>
      </c>
    </row>
    <row r="1974" spans="7:8" x14ac:dyDescent="0.25">
      <c r="G1974" s="2" t="str">
        <f ca="1">IFERROR(__xludf.DUMMYFUNCTION("""COMPUTED_VALUE"""),"The Best Little Whorehouse in Texas ")</f>
        <v>The Best Little Whorehouse in Texas </v>
      </c>
      <c r="H1974" s="2">
        <v>34700000</v>
      </c>
    </row>
    <row r="1975" spans="7:8" x14ac:dyDescent="0.25">
      <c r="G1975" s="2" t="str">
        <f ca="1">IFERROR(__xludf.DUMMYFUNCTION("""COMPUTED_VALUE"""),"eXistenZ ")</f>
        <v>eXistenZ </v>
      </c>
      <c r="H1975" s="2">
        <v>-28159583</v>
      </c>
    </row>
    <row r="1976" spans="7:8" x14ac:dyDescent="0.25">
      <c r="G1976" s="2" t="str">
        <f ca="1">IFERROR(__xludf.DUMMYFUNCTION("""COMPUTED_VALUE"""),"Raiders of the Lost Ark ")</f>
        <v>Raiders of the Lost Ark </v>
      </c>
      <c r="H1976" s="2">
        <v>224374454</v>
      </c>
    </row>
    <row r="1977" spans="7:8" x14ac:dyDescent="0.25">
      <c r="G1977" s="2" t="str">
        <f ca="1">IFERROR(__xludf.DUMMYFUNCTION("""COMPUTED_VALUE"""),"Home Alone 2: Lost in New York ")</f>
        <v>Home Alone 2: Lost in New York </v>
      </c>
      <c r="H1977" s="2">
        <v>155585516</v>
      </c>
    </row>
    <row r="1978" spans="7:8" x14ac:dyDescent="0.25">
      <c r="G1978" s="2" t="str">
        <f ca="1">IFERROR(__xludf.DUMMYFUNCTION("""COMPUTED_VALUE"""),"Close Encounters of the Third Kind ")</f>
        <v>Close Encounters of the Third Kind </v>
      </c>
      <c r="H1978" s="2">
        <v>108899130</v>
      </c>
    </row>
    <row r="1979" spans="7:8" x14ac:dyDescent="0.25">
      <c r="G1979" s="2" t="str">
        <f ca="1">IFERROR(__xludf.DUMMYFUNCTION("""COMPUTED_VALUE"""),"Pulse ")</f>
        <v>Pulse </v>
      </c>
      <c r="H1979" s="2">
        <v>259297</v>
      </c>
    </row>
    <row r="1980" spans="7:8" x14ac:dyDescent="0.25">
      <c r="G1980" s="2" t="str">
        <f ca="1">IFERROR(__xludf.DUMMYFUNCTION("""COMPUTED_VALUE"""),"Beverly Hills Cop II ")</f>
        <v>Beverly Hills Cop II </v>
      </c>
      <c r="H1980" s="2">
        <v>125665036</v>
      </c>
    </row>
    <row r="1981" spans="7:8" x14ac:dyDescent="0.25">
      <c r="G1981" s="2" t="str">
        <f ca="1">IFERROR(__xludf.DUMMYFUNCTION("""COMPUTED_VALUE"""),"Bringing Down the House ")</f>
        <v>Bringing Down the House </v>
      </c>
      <c r="H1981" s="2">
        <v>99541238</v>
      </c>
    </row>
    <row r="1982" spans="7:8" x14ac:dyDescent="0.25">
      <c r="G1982" s="2" t="str">
        <f ca="1">IFERROR(__xludf.DUMMYFUNCTION("""COMPUTED_VALUE"""),"The Silence of the Lambs ")</f>
        <v>The Silence of the Lambs </v>
      </c>
      <c r="H1982" s="2">
        <v>111727000</v>
      </c>
    </row>
    <row r="1983" spans="7:8" x14ac:dyDescent="0.25">
      <c r="G1983" s="2" t="str">
        <f ca="1">IFERROR(__xludf.DUMMYFUNCTION("""COMPUTED_VALUE"""),"Wayne's World ")</f>
        <v>Wayne's World </v>
      </c>
      <c r="H1983" s="2">
        <v>101697350</v>
      </c>
    </row>
    <row r="1984" spans="7:8" x14ac:dyDescent="0.25">
      <c r="G1984" s="2" t="str">
        <f ca="1">IFERROR(__xludf.DUMMYFUNCTION("""COMPUTED_VALUE"""),"Jackass 3D ")</f>
        <v>Jackass 3D </v>
      </c>
      <c r="H1984" s="2">
        <v>97224271</v>
      </c>
    </row>
    <row r="1985" spans="7:8" x14ac:dyDescent="0.25">
      <c r="G1985" s="2" t="str">
        <f ca="1">IFERROR(__xludf.DUMMYFUNCTION("""COMPUTED_VALUE"""),"Jaws 2 ")</f>
        <v>Jaws 2 </v>
      </c>
      <c r="H1985" s="2">
        <v>82922376</v>
      </c>
    </row>
    <row r="1986" spans="7:8" x14ac:dyDescent="0.25">
      <c r="G1986" s="2" t="str">
        <f ca="1">IFERROR(__xludf.DUMMYFUNCTION("""COMPUTED_VALUE"""),"Beverly Hills Chihuahua ")</f>
        <v>Beverly Hills Chihuahua </v>
      </c>
      <c r="H1986" s="2">
        <v>74497271</v>
      </c>
    </row>
    <row r="1987" spans="7:8" x14ac:dyDescent="0.25">
      <c r="G1987" s="2" t="str">
        <f ca="1">IFERROR(__xludf.DUMMYFUNCTION("""COMPUTED_VALUE"""),"The Conjuring ")</f>
        <v>The Conjuring </v>
      </c>
      <c r="H1987" s="2">
        <v>117387272</v>
      </c>
    </row>
    <row r="1988" spans="7:8" x14ac:dyDescent="0.25">
      <c r="G1988" s="2" t="str">
        <f ca="1">IFERROR(__xludf.DUMMYFUNCTION("""COMPUTED_VALUE"""),"Are We There Yet? ")</f>
        <v>Are We There Yet? </v>
      </c>
      <c r="H1988" s="2">
        <v>50301521</v>
      </c>
    </row>
    <row r="1989" spans="7:8" x14ac:dyDescent="0.25">
      <c r="G1989" s="2" t="str">
        <f ca="1">IFERROR(__xludf.DUMMYFUNCTION("""COMPUTED_VALUE"""),"Tammy ")</f>
        <v>Tammy </v>
      </c>
      <c r="H1989" s="2">
        <v>64518155</v>
      </c>
    </row>
    <row r="1990" spans="7:8" x14ac:dyDescent="0.25">
      <c r="G1990" s="2" t="str">
        <f ca="1">IFERROR(__xludf.DUMMYFUNCTION("""COMPUTED_VALUE"""),"School of Rock ")</f>
        <v>School of Rock </v>
      </c>
      <c r="H1990" s="2">
        <v>46257845</v>
      </c>
    </row>
    <row r="1991" spans="7:8" x14ac:dyDescent="0.25">
      <c r="G1991" s="2" t="str">
        <f ca="1">IFERROR(__xludf.DUMMYFUNCTION("""COMPUTED_VALUE"""),"Mortal Kombat ")</f>
        <v>Mortal Kombat </v>
      </c>
      <c r="H1991" s="2">
        <v>52360285</v>
      </c>
    </row>
    <row r="1992" spans="7:8" x14ac:dyDescent="0.25">
      <c r="G1992" s="2" t="str">
        <f ca="1">IFERROR(__xludf.DUMMYFUNCTION("""COMPUTED_VALUE"""),"White Chicks ")</f>
        <v>White Chicks </v>
      </c>
      <c r="H1992" s="2">
        <v>32148997</v>
      </c>
    </row>
    <row r="1993" spans="7:8" x14ac:dyDescent="0.25">
      <c r="G1993" s="2" t="str">
        <f ca="1">IFERROR(__xludf.DUMMYFUNCTION("""COMPUTED_VALUE"""),"The Descendants ")</f>
        <v>The Descendants </v>
      </c>
      <c r="H1993" s="2">
        <v>62624961</v>
      </c>
    </row>
    <row r="1994" spans="7:8" x14ac:dyDescent="0.25">
      <c r="G1994" s="2" t="str">
        <f ca="1">IFERROR(__xludf.DUMMYFUNCTION("""COMPUTED_VALUE"""),"Holes ")</f>
        <v>Holes </v>
      </c>
      <c r="H1994" s="2">
        <v>47325559</v>
      </c>
    </row>
    <row r="1995" spans="7:8" x14ac:dyDescent="0.25">
      <c r="G1995" s="2" t="str">
        <f ca="1">IFERROR(__xludf.DUMMYFUNCTION("""COMPUTED_VALUE"""),"The Last Song ")</f>
        <v>The Last Song </v>
      </c>
      <c r="H1995" s="2">
        <v>42933793</v>
      </c>
    </row>
    <row r="1996" spans="7:8" x14ac:dyDescent="0.25">
      <c r="G1996" s="2" t="str">
        <f ca="1">IFERROR(__xludf.DUMMYFUNCTION("""COMPUTED_VALUE"""),"12 Years a Slave ")</f>
        <v>12 Years a Slave </v>
      </c>
      <c r="H1996" s="2">
        <v>36667870</v>
      </c>
    </row>
    <row r="1997" spans="7:8" x14ac:dyDescent="0.25">
      <c r="G1997" s="2" t="str">
        <f ca="1">IFERROR(__xludf.DUMMYFUNCTION("""COMPUTED_VALUE"""),"Drumline ")</f>
        <v>Drumline </v>
      </c>
      <c r="H1997" s="2">
        <v>36398162</v>
      </c>
    </row>
    <row r="1998" spans="7:8" x14ac:dyDescent="0.25">
      <c r="G1998" s="2" t="str">
        <f ca="1">IFERROR(__xludf.DUMMYFUNCTION("""COMPUTED_VALUE"""),"Why Did I Get Married Too? ")</f>
        <v>Why Did I Get Married Too? </v>
      </c>
      <c r="H1998" s="2">
        <v>40072596</v>
      </c>
    </row>
    <row r="1999" spans="7:8" x14ac:dyDescent="0.25">
      <c r="G1999" s="2" t="str">
        <f ca="1">IFERROR(__xludf.DUMMYFUNCTION("""COMPUTED_VALUE"""),"Edward Scissorhands ")</f>
        <v>Edward Scissorhands </v>
      </c>
      <c r="H1999" s="2">
        <v>36362352</v>
      </c>
    </row>
    <row r="2000" spans="7:8" x14ac:dyDescent="0.25">
      <c r="G2000" s="2" t="str">
        <f ca="1">IFERROR(__xludf.DUMMYFUNCTION("""COMPUTED_VALUE"""),"Me Before You ")</f>
        <v>Me Before You </v>
      </c>
      <c r="H2000" s="2">
        <v>36154094</v>
      </c>
    </row>
    <row r="2001" spans="7:8" x14ac:dyDescent="0.25">
      <c r="G2001" s="2" t="str">
        <f ca="1">IFERROR(__xludf.DUMMYFUNCTION("""COMPUTED_VALUE"""),"Madea's Witness Protection ")</f>
        <v>Madea's Witness Protection </v>
      </c>
      <c r="H2001" s="2">
        <v>45623128</v>
      </c>
    </row>
    <row r="2002" spans="7:8" x14ac:dyDescent="0.25">
      <c r="G2002" s="2" t="str">
        <f ca="1">IFERROR(__xludf.DUMMYFUNCTION("""COMPUTED_VALUE"""),"Bad Moms ")</f>
        <v>Bad Moms </v>
      </c>
      <c r="H2002" s="2">
        <v>35461307</v>
      </c>
    </row>
    <row r="2003" spans="7:8" x14ac:dyDescent="0.25">
      <c r="G2003" s="2" t="str">
        <f ca="1">IFERROR(__xludf.DUMMYFUNCTION("""COMPUTED_VALUE"""),"Date Movie ")</f>
        <v>Date Movie </v>
      </c>
      <c r="H2003" s="2">
        <v>28546578</v>
      </c>
    </row>
    <row r="2004" spans="7:8" x14ac:dyDescent="0.25">
      <c r="G2004" s="2" t="str">
        <f ca="1">IFERROR(__xludf.DUMMYFUNCTION("""COMPUTED_VALUE"""),"Return to Never Land ")</f>
        <v>Return to Never Land </v>
      </c>
      <c r="H2004" s="2">
        <v>28423368</v>
      </c>
    </row>
    <row r="2005" spans="7:8" x14ac:dyDescent="0.25">
      <c r="G2005" s="2" t="str">
        <f ca="1">IFERROR(__xludf.DUMMYFUNCTION("""COMPUTED_VALUE"""),"Selma ")</f>
        <v>Selma </v>
      </c>
      <c r="H2005" s="2">
        <v>32066000</v>
      </c>
    </row>
    <row r="2006" spans="7:8" x14ac:dyDescent="0.25">
      <c r="G2006" s="2" t="str">
        <f ca="1">IFERROR(__xludf.DUMMYFUNCTION("""COMPUTED_VALUE"""),"The Jungle Book 2 ")</f>
        <v>The Jungle Book 2 </v>
      </c>
      <c r="H2006" s="2">
        <v>27887943</v>
      </c>
    </row>
    <row r="2007" spans="7:8" x14ac:dyDescent="0.25">
      <c r="G2007" s="2" t="str">
        <f ca="1">IFERROR(__xludf.DUMMYFUNCTION("""COMPUTED_VALUE"""),"Boogeyman ")</f>
        <v>Boogeyman </v>
      </c>
      <c r="H2007" s="2">
        <v>26363118</v>
      </c>
    </row>
    <row r="2008" spans="7:8" x14ac:dyDescent="0.25">
      <c r="G2008" s="2" t="str">
        <f ca="1">IFERROR(__xludf.DUMMYFUNCTION("""COMPUTED_VALUE"""),"Premonition ")</f>
        <v>Premonition </v>
      </c>
      <c r="H2008" s="2">
        <v>27852604</v>
      </c>
    </row>
    <row r="2009" spans="7:8" x14ac:dyDescent="0.25">
      <c r="G2009" s="2" t="str">
        <f ca="1">IFERROR(__xludf.DUMMYFUNCTION("""COMPUTED_VALUE"""),"The Tigger Movie ")</f>
        <v>The Tigger Movie </v>
      </c>
      <c r="H2009" s="2">
        <v>15542421</v>
      </c>
    </row>
    <row r="2010" spans="7:8" x14ac:dyDescent="0.25">
      <c r="G2010" s="2" t="str">
        <f ca="1">IFERROR(__xludf.DUMMYFUNCTION("""COMPUTED_VALUE"""),"Max ")</f>
        <v>Max </v>
      </c>
      <c r="H2010" s="2">
        <v>22652003</v>
      </c>
    </row>
    <row r="2011" spans="7:8" x14ac:dyDescent="0.25">
      <c r="G2011" s="2" t="str">
        <f ca="1">IFERROR(__xludf.DUMMYFUNCTION("""COMPUTED_VALUE"""),"Epic Movie ")</f>
        <v>Epic Movie </v>
      </c>
      <c r="H2011" s="2">
        <v>19737645</v>
      </c>
    </row>
    <row r="2012" spans="7:8" x14ac:dyDescent="0.25">
      <c r="G2012" s="2" t="str">
        <f ca="1">IFERROR(__xludf.DUMMYFUNCTION("""COMPUTED_VALUE"""),"Spotlight ")</f>
        <v>Spotlight </v>
      </c>
      <c r="H2012" s="2">
        <v>24988180</v>
      </c>
    </row>
    <row r="2013" spans="7:8" x14ac:dyDescent="0.25">
      <c r="G2013" s="2" t="str">
        <f ca="1">IFERROR(__xludf.DUMMYFUNCTION("""COMPUTED_VALUE"""),"Lakeview Terrace ")</f>
        <v>Lakeview Terrace </v>
      </c>
      <c r="H2013" s="2">
        <v>17263506</v>
      </c>
    </row>
    <row r="2014" spans="7:8" x14ac:dyDescent="0.25">
      <c r="G2014" s="2" t="str">
        <f ca="1">IFERROR(__xludf.DUMMYFUNCTION("""COMPUTED_VALUE"""),"The Grudge 2 ")</f>
        <v>The Grudge 2 </v>
      </c>
      <c r="H2014" s="2">
        <v>19143839</v>
      </c>
    </row>
    <row r="2015" spans="7:8" x14ac:dyDescent="0.25">
      <c r="G2015" s="2" t="str">
        <f ca="1">IFERROR(__xludf.DUMMYFUNCTION("""COMPUTED_VALUE"""),"How Stella Got Her Groove Back ")</f>
        <v>How Stella Got Her Groove Back </v>
      </c>
      <c r="H2015" s="2">
        <v>17672350</v>
      </c>
    </row>
    <row r="2016" spans="7:8" x14ac:dyDescent="0.25">
      <c r="G2016" s="2" t="str">
        <f ca="1">IFERROR(__xludf.DUMMYFUNCTION("""COMPUTED_VALUE"""),"Bill &amp; Ted's Bogus Journey ")</f>
        <v>Bill &amp; Ted's Bogus Journey </v>
      </c>
      <c r="H2016" s="2">
        <v>18037513</v>
      </c>
    </row>
    <row r="2017" spans="7:8" x14ac:dyDescent="0.25">
      <c r="G2017" s="2" t="str">
        <f ca="1">IFERROR(__xludf.DUMMYFUNCTION("""COMPUTED_VALUE"""),"Man of the Year ")</f>
        <v>Man of the Year </v>
      </c>
      <c r="H2017" s="2">
        <v>17442180</v>
      </c>
    </row>
    <row r="2018" spans="7:8" x14ac:dyDescent="0.25">
      <c r="G2018" s="2" t="str">
        <f ca="1">IFERROR(__xludf.DUMMYFUNCTION("""COMPUTED_VALUE"""),"The American ")</f>
        <v>The American </v>
      </c>
      <c r="H2018" s="2">
        <v>15596227</v>
      </c>
    </row>
    <row r="2019" spans="7:8" x14ac:dyDescent="0.25">
      <c r="G2019" s="2" t="str">
        <f ca="1">IFERROR(__xludf.DUMMYFUNCTION("""COMPUTED_VALUE"""),"Selena ")</f>
        <v>Selena </v>
      </c>
      <c r="H2019" s="2">
        <v>15422828</v>
      </c>
    </row>
    <row r="2020" spans="7:8" x14ac:dyDescent="0.25">
      <c r="G2020" s="2" t="str">
        <f ca="1">IFERROR(__xludf.DUMMYFUNCTION("""COMPUTED_VALUE"""),"Vampires Suck ")</f>
        <v>Vampires Suck </v>
      </c>
      <c r="H2020" s="2">
        <v>16658108</v>
      </c>
    </row>
    <row r="2021" spans="7:8" x14ac:dyDescent="0.25">
      <c r="G2021" s="2" t="str">
        <f ca="1">IFERROR(__xludf.DUMMYFUNCTION("""COMPUTED_VALUE"""),"Babel ")</f>
        <v>Babel </v>
      </c>
      <c r="H2021" s="2">
        <v>9300771</v>
      </c>
    </row>
    <row r="2022" spans="7:8" x14ac:dyDescent="0.25">
      <c r="G2022" s="2" t="str">
        <f ca="1">IFERROR(__xludf.DUMMYFUNCTION("""COMPUTED_VALUE"""),"This Is Where I Leave You ")</f>
        <v>This Is Where I Leave You </v>
      </c>
      <c r="H2022" s="2">
        <v>14490142</v>
      </c>
    </row>
    <row r="2023" spans="7:8" x14ac:dyDescent="0.25">
      <c r="G2023" s="2" t="str">
        <f ca="1">IFERROR(__xludf.DUMMYFUNCTION("""COMPUTED_VALUE"""),"Doubt ")</f>
        <v>Doubt </v>
      </c>
      <c r="H2023" s="2">
        <v>13422556</v>
      </c>
    </row>
    <row r="2024" spans="7:8" x14ac:dyDescent="0.25">
      <c r="G2024" s="2" t="str">
        <f ca="1">IFERROR(__xludf.DUMMYFUNCTION("""COMPUTED_VALUE"""),"Team America: World Police ")</f>
        <v>Team America: World Police </v>
      </c>
      <c r="H2024" s="2">
        <v>2774834</v>
      </c>
    </row>
    <row r="2025" spans="7:8" x14ac:dyDescent="0.25">
      <c r="G2025" s="2" t="str">
        <f ca="1">IFERROR(__xludf.DUMMYFUNCTION("""COMPUTED_VALUE"""),"Texas Chainsaw 3D ")</f>
        <v>Texas Chainsaw 3D </v>
      </c>
      <c r="H2025" s="2">
        <v>23334256</v>
      </c>
    </row>
    <row r="2026" spans="7:8" x14ac:dyDescent="0.25">
      <c r="G2026" s="2" t="str">
        <f ca="1">IFERROR(__xludf.DUMMYFUNCTION("""COMPUTED_VALUE"""),"Copycat ")</f>
        <v>Copycat </v>
      </c>
      <c r="H2026" s="2">
        <v>12051917</v>
      </c>
    </row>
    <row r="2027" spans="7:8" x14ac:dyDescent="0.25">
      <c r="G2027" s="2" t="str">
        <f ca="1">IFERROR(__xludf.DUMMYFUNCTION("""COMPUTED_VALUE"""),"Scary Movie 5 ")</f>
        <v>Scary Movie 5 </v>
      </c>
      <c r="H2027" s="2">
        <v>12014289</v>
      </c>
    </row>
    <row r="2028" spans="7:8" x14ac:dyDescent="0.25">
      <c r="G2028" s="2" t="str">
        <f ca="1">IFERROR(__xludf.DUMMYFUNCTION("""COMPUTED_VALUE"""),"Milk ")</f>
        <v>Milk </v>
      </c>
      <c r="H2028" s="2">
        <v>11838002</v>
      </c>
    </row>
    <row r="2029" spans="7:8" x14ac:dyDescent="0.25">
      <c r="G2029" s="2" t="str">
        <f ca="1">IFERROR(__xludf.DUMMYFUNCTION("""COMPUTED_VALUE"""),"Risen ")</f>
        <v>Risen </v>
      </c>
      <c r="H2029" s="2">
        <v>16874745</v>
      </c>
    </row>
    <row r="2030" spans="7:8" x14ac:dyDescent="0.25">
      <c r="G2030" s="2" t="str">
        <f ca="1">IFERROR(__xludf.DUMMYFUNCTION("""COMPUTED_VALUE"""),"Ghost Ship ")</f>
        <v>Ghost Ship </v>
      </c>
      <c r="H2030" s="2">
        <v>-4920684</v>
      </c>
    </row>
    <row r="2031" spans="7:8" x14ac:dyDescent="0.25">
      <c r="G2031" s="2" t="str">
        <f ca="1">IFERROR(__xludf.DUMMYFUNCTION("""COMPUTED_VALUE"""),"A Very Harold &amp; Kumar 3D Christmas ")</f>
        <v>A Very Harold &amp; Kumar 3D Christmas </v>
      </c>
      <c r="H2031" s="2">
        <v>16033759</v>
      </c>
    </row>
    <row r="2032" spans="7:8" x14ac:dyDescent="0.25">
      <c r="G2032" s="2" t="str">
        <f ca="1">IFERROR(__xludf.DUMMYFUNCTION("""COMPUTED_VALUE"""),"Wild Things ")</f>
        <v>Wild Things </v>
      </c>
      <c r="H2032" s="2">
        <v>9753944</v>
      </c>
    </row>
    <row r="2033" spans="7:8" x14ac:dyDescent="0.25">
      <c r="G2033" s="2" t="str">
        <f ca="1">IFERROR(__xludf.DUMMYFUNCTION("""COMPUTED_VALUE"""),"The Debt ")</f>
        <v>The Debt </v>
      </c>
      <c r="H2033" s="2">
        <v>11146570</v>
      </c>
    </row>
    <row r="2034" spans="7:8" x14ac:dyDescent="0.25">
      <c r="G2034" s="2" t="str">
        <f ca="1">IFERROR(__xludf.DUMMYFUNCTION("""COMPUTED_VALUE"""),"High Fidelity ")</f>
        <v>High Fidelity </v>
      </c>
      <c r="H2034" s="2">
        <v>7277055</v>
      </c>
    </row>
    <row r="2035" spans="7:8" x14ac:dyDescent="0.25">
      <c r="G2035" s="2" t="str">
        <f ca="1">IFERROR(__xludf.DUMMYFUNCTION("""COMPUTED_VALUE"""),"One Missed Call ")</f>
        <v>One Missed Call </v>
      </c>
      <c r="H2035" s="2">
        <v>-123471</v>
      </c>
    </row>
    <row r="2036" spans="7:8" x14ac:dyDescent="0.25">
      <c r="G2036" s="2" t="str">
        <f ca="1">IFERROR(__xludf.DUMMYFUNCTION("""COMPUTED_VALUE"""),"Eye for an Eye ")</f>
        <v>Eye for an Eye </v>
      </c>
      <c r="H2036" s="2">
        <v>33146000</v>
      </c>
    </row>
    <row r="2037" spans="7:8" x14ac:dyDescent="0.25">
      <c r="G2037" s="2" t="str">
        <f ca="1">IFERROR(__xludf.DUMMYFUNCTION("""COMPUTED_VALUE"""),"The Bank Job ")</f>
        <v>The Bank Job </v>
      </c>
      <c r="H2037" s="2">
        <v>10028592</v>
      </c>
    </row>
    <row r="2038" spans="7:8" x14ac:dyDescent="0.25">
      <c r="G2038" s="2" t="str">
        <f ca="1">IFERROR(__xludf.DUMMYFUNCTION("""COMPUTED_VALUE"""),"Eternal Sunshine of the Spotless Mind ")</f>
        <v>Eternal Sunshine of the Spotless Mind </v>
      </c>
      <c r="H2038" s="2">
        <v>14126138</v>
      </c>
    </row>
    <row r="2039" spans="7:8" x14ac:dyDescent="0.25">
      <c r="G2039" s="2" t="str">
        <f ca="1">IFERROR(__xludf.DUMMYFUNCTION("""COMPUTED_VALUE"""),"You Again ")</f>
        <v>You Again </v>
      </c>
      <c r="H2039" s="2">
        <v>5677801</v>
      </c>
    </row>
    <row r="2040" spans="7:8" x14ac:dyDescent="0.25">
      <c r="G2040" s="2" t="str">
        <f ca="1">IFERROR(__xludf.DUMMYFUNCTION("""COMPUTED_VALUE"""),"Street Kings ")</f>
        <v>Street Kings </v>
      </c>
      <c r="H2040" s="2">
        <v>6415649</v>
      </c>
    </row>
    <row r="2041" spans="7:8" x14ac:dyDescent="0.25">
      <c r="G2041" s="2" t="str">
        <f ca="1">IFERROR(__xludf.DUMMYFUNCTION("""COMPUTED_VALUE"""),"The World's End ")</f>
        <v>The World's End </v>
      </c>
      <c r="H2041" s="2">
        <v>6003149</v>
      </c>
    </row>
    <row r="2042" spans="7:8" x14ac:dyDescent="0.25">
      <c r="G2042" s="2" t="str">
        <f ca="1">IFERROR(__xludf.DUMMYFUNCTION("""COMPUTED_VALUE"""),"Nancy Drew ")</f>
        <v>Nancy Drew </v>
      </c>
      <c r="H2042" s="2">
        <v>5584685</v>
      </c>
    </row>
    <row r="2043" spans="7:8" x14ac:dyDescent="0.25">
      <c r="G2043" s="2" t="str">
        <f ca="1">IFERROR(__xludf.DUMMYFUNCTION("""COMPUTED_VALUE"""),"Daybreakers ")</f>
        <v>Daybreakers </v>
      </c>
      <c r="H2043" s="2">
        <v>9975979</v>
      </c>
    </row>
    <row r="2044" spans="7:8" x14ac:dyDescent="0.25">
      <c r="G2044" s="2" t="str">
        <f ca="1">IFERROR(__xludf.DUMMYFUNCTION("""COMPUTED_VALUE"""),"She's Out of My League ")</f>
        <v>She's Out of My League </v>
      </c>
      <c r="H2044" s="2">
        <v>11584722</v>
      </c>
    </row>
    <row r="2045" spans="7:8" x14ac:dyDescent="0.25">
      <c r="G2045" s="2" t="str">
        <f ca="1">IFERROR(__xludf.DUMMYFUNCTION("""COMPUTED_VALUE"""),"Monte Carlo ")</f>
        <v>Monte Carlo </v>
      </c>
      <c r="H2045" s="2">
        <v>3179303</v>
      </c>
    </row>
    <row r="2046" spans="7:8" x14ac:dyDescent="0.25">
      <c r="G2046" s="2" t="str">
        <f ca="1">IFERROR(__xludf.DUMMYFUNCTION("""COMPUTED_VALUE"""),"Stay Alive ")</f>
        <v>Stay Alive </v>
      </c>
      <c r="H2046" s="2">
        <v>14078294</v>
      </c>
    </row>
    <row r="2047" spans="7:8" x14ac:dyDescent="0.25">
      <c r="G2047" s="2" t="str">
        <f ca="1">IFERROR(__xludf.DUMMYFUNCTION("""COMPUTED_VALUE"""),"Quigley Down Under ")</f>
        <v>Quigley Down Under </v>
      </c>
      <c r="H2047" s="2">
        <v>1413105</v>
      </c>
    </row>
    <row r="2048" spans="7:8" x14ac:dyDescent="0.25">
      <c r="G2048" s="2" t="str">
        <f ca="1">IFERROR(__xludf.DUMMYFUNCTION("""COMPUTED_VALUE"""),"Alpha and Omega ")</f>
        <v>Alpha and Omega </v>
      </c>
      <c r="H2048" s="2">
        <v>5077977</v>
      </c>
    </row>
    <row r="2049" spans="7:8" x14ac:dyDescent="0.25">
      <c r="G2049" s="2" t="str">
        <f ca="1">IFERROR(__xludf.DUMMYFUNCTION("""COMPUTED_VALUE"""),"The Covenant ")</f>
        <v>The Covenant </v>
      </c>
      <c r="H2049" s="2">
        <v>3292105</v>
      </c>
    </row>
    <row r="2050" spans="7:8" x14ac:dyDescent="0.25">
      <c r="G2050" s="2" t="str">
        <f ca="1">IFERROR(__xludf.DUMMYFUNCTION("""COMPUTED_VALUE"""),"Shorts ")</f>
        <v>Shorts </v>
      </c>
      <c r="H2050" s="2">
        <v>-19083691</v>
      </c>
    </row>
    <row r="2051" spans="7:8" x14ac:dyDescent="0.25">
      <c r="G2051" s="2" t="str">
        <f ca="1">IFERROR(__xludf.DUMMYFUNCTION("""COMPUTED_VALUE"""),"To Die For ")</f>
        <v>To Die For </v>
      </c>
      <c r="H2051" s="2">
        <v>1200000</v>
      </c>
    </row>
    <row r="2052" spans="7:8" x14ac:dyDescent="0.25">
      <c r="G2052" s="2" t="str">
        <f ca="1">IFERROR(__xludf.DUMMYFUNCTION("""COMPUTED_VALUE"""),"Nerve ")</f>
        <v>Nerve </v>
      </c>
      <c r="H2052" s="2">
        <v>8876924</v>
      </c>
    </row>
    <row r="2053" spans="7:8" x14ac:dyDescent="0.25">
      <c r="G2053" s="2" t="str">
        <f ca="1">IFERROR(__xludf.DUMMYFUNCTION("""COMPUTED_VALUE"""),"Vampires ")</f>
        <v>Vampires </v>
      </c>
      <c r="H2053" s="2">
        <v>241395</v>
      </c>
    </row>
    <row r="2054" spans="7:8" x14ac:dyDescent="0.25">
      <c r="G2054" s="2" t="str">
        <f ca="1">IFERROR(__xludf.DUMMYFUNCTION("""COMPUTED_VALUE"""),"Psycho ")</f>
        <v>Psycho </v>
      </c>
      <c r="H2054" s="2">
        <v>31193053</v>
      </c>
    </row>
    <row r="2055" spans="7:8" x14ac:dyDescent="0.25">
      <c r="G2055" s="2" t="str">
        <f ca="1">IFERROR(__xludf.DUMMYFUNCTION("""COMPUTED_VALUE"""),"My Best Friend's Girl ")</f>
        <v>My Best Friend's Girl </v>
      </c>
      <c r="H2055" s="2">
        <v>-20848136</v>
      </c>
    </row>
    <row r="2056" spans="7:8" x14ac:dyDescent="0.25">
      <c r="G2056" s="2" t="str">
        <f ca="1">IFERROR(__xludf.DUMMYFUNCTION("""COMPUTED_VALUE"""),"Endless Love ")</f>
        <v>Endless Love </v>
      </c>
      <c r="H2056" s="2">
        <v>3393765</v>
      </c>
    </row>
    <row r="2057" spans="7:8" x14ac:dyDescent="0.25">
      <c r="G2057" s="2" t="str">
        <f ca="1">IFERROR(__xludf.DUMMYFUNCTION("""COMPUTED_VALUE"""),"Georgia Rule ")</f>
        <v>Georgia Rule </v>
      </c>
      <c r="H2057" s="2">
        <v>-1117120</v>
      </c>
    </row>
    <row r="2058" spans="7:8" x14ac:dyDescent="0.25">
      <c r="G2058" s="2" t="str">
        <f ca="1">IFERROR(__xludf.DUMMYFUNCTION("""COMPUTED_VALUE"""),"Under the Rainbow ")</f>
        <v>Under the Rainbow </v>
      </c>
      <c r="H2058" s="2">
        <v>-11500000</v>
      </c>
    </row>
    <row r="2059" spans="7:8" x14ac:dyDescent="0.25">
      <c r="G2059" s="2" t="str">
        <f ca="1">IFERROR(__xludf.DUMMYFUNCTION("""COMPUTED_VALUE"""),"Simon Birch ")</f>
        <v>Simon Birch </v>
      </c>
      <c r="H2059" s="2">
        <v>-11747316</v>
      </c>
    </row>
    <row r="2060" spans="7:8" x14ac:dyDescent="0.25">
      <c r="G2060" s="2" t="str">
        <f ca="1">IFERROR(__xludf.DUMMYFUNCTION("""COMPUTED_VALUE"""),"Reign Over Me ")</f>
        <v>Reign Over Me </v>
      </c>
      <c r="H2060" s="2">
        <v>-338013</v>
      </c>
    </row>
    <row r="2061" spans="7:8" x14ac:dyDescent="0.25">
      <c r="G2061" s="2" t="str">
        <f ca="1">IFERROR(__xludf.DUMMYFUNCTION("""COMPUTED_VALUE"""),"Into the Wild ")</f>
        <v>Into the Wild </v>
      </c>
      <c r="H2061" s="2">
        <v>3352454</v>
      </c>
    </row>
    <row r="2062" spans="7:8" x14ac:dyDescent="0.25">
      <c r="G2062" s="2" t="str">
        <f ca="1">IFERROR(__xludf.DUMMYFUNCTION("""COMPUTED_VALUE"""),"School for Scoundrels ")</f>
        <v>School for Scoundrels </v>
      </c>
      <c r="H2062" s="2">
        <v>-2196204</v>
      </c>
    </row>
    <row r="2063" spans="7:8" x14ac:dyDescent="0.25">
      <c r="G2063" s="2" t="str">
        <f ca="1">IFERROR(__xludf.DUMMYFUNCTION("""COMPUTED_VALUE"""),"Silent Hill: Revelation 3D ")</f>
        <v>Silent Hill: Revelation 3D </v>
      </c>
      <c r="H2063" s="2">
        <v>-2470843</v>
      </c>
    </row>
    <row r="2064" spans="7:8" x14ac:dyDescent="0.25">
      <c r="G2064" s="2" t="str">
        <f ca="1">IFERROR(__xludf.DUMMYFUNCTION("""COMPUTED_VALUE"""),"From Dusk Till Dawn ")</f>
        <v>From Dusk Till Dawn </v>
      </c>
      <c r="H2064" s="2">
        <v>6753840</v>
      </c>
    </row>
    <row r="2065" spans="7:8" x14ac:dyDescent="0.25">
      <c r="G2065" s="2" t="str">
        <f ca="1">IFERROR(__xludf.DUMMYFUNCTION("""COMPUTED_VALUE"""),"Pooh's Heffalump Movie ")</f>
        <v>Pooh's Heffalump Movie </v>
      </c>
      <c r="H2065" s="2">
        <v>-1918374</v>
      </c>
    </row>
    <row r="2066" spans="7:8" x14ac:dyDescent="0.25">
      <c r="G2066" s="2" t="str">
        <f ca="1">IFERROR(__xludf.DUMMYFUNCTION("""COMPUTED_VALUE"""),"Home for the Holidays ")</f>
        <v>Home for the Holidays </v>
      </c>
      <c r="H2066" s="2">
        <v>-2481780</v>
      </c>
    </row>
    <row r="2067" spans="7:8" x14ac:dyDescent="0.25">
      <c r="G2067" s="2" t="str">
        <f ca="1">IFERROR(__xludf.DUMMYFUNCTION("""COMPUTED_VALUE"""),"Kung Fu Hustle ")</f>
        <v>Kung Fu Hustle </v>
      </c>
      <c r="H2067" s="2">
        <v>-2895331</v>
      </c>
    </row>
    <row r="2068" spans="7:8" x14ac:dyDescent="0.25">
      <c r="G2068" s="2" t="str">
        <f ca="1">IFERROR(__xludf.DUMMYFUNCTION("""COMPUTED_VALUE"""),"The Country Bears ")</f>
        <v>The Country Bears </v>
      </c>
      <c r="H2068" s="2">
        <v>-18011004</v>
      </c>
    </row>
    <row r="2069" spans="7:8" x14ac:dyDescent="0.25">
      <c r="G2069" s="2" t="str">
        <f ca="1">IFERROR(__xludf.DUMMYFUNCTION("""COMPUTED_VALUE"""),"The Kite Runner ")</f>
        <v>The Kite Runner </v>
      </c>
      <c r="H2069" s="2">
        <v>-4202093</v>
      </c>
    </row>
    <row r="2070" spans="7:8" x14ac:dyDescent="0.25">
      <c r="G2070" s="2" t="str">
        <f ca="1">IFERROR(__xludf.DUMMYFUNCTION("""COMPUTED_VALUE"""),"21 Grams ")</f>
        <v>21 Grams </v>
      </c>
      <c r="H2070" s="2">
        <v>-3751299</v>
      </c>
    </row>
    <row r="2071" spans="7:8" x14ac:dyDescent="0.25">
      <c r="G2071" s="2" t="str">
        <f ca="1">IFERROR(__xludf.DUMMYFUNCTION("""COMPUTED_VALUE"""),"Paparazzi ")</f>
        <v>Paparazzi </v>
      </c>
      <c r="H2071" s="2">
        <v>-4287928</v>
      </c>
    </row>
    <row r="2072" spans="7:8" x14ac:dyDescent="0.25">
      <c r="G2072" s="2" t="str">
        <f ca="1">IFERROR(__xludf.DUMMYFUNCTION("""COMPUTED_VALUE"""),"A Guy Thing ")</f>
        <v>A Guy Thing </v>
      </c>
      <c r="H2072" s="2">
        <v>-4591178</v>
      </c>
    </row>
    <row r="2073" spans="7:8" x14ac:dyDescent="0.25">
      <c r="G2073" s="2" t="str">
        <f ca="1">IFERROR(__xludf.DUMMYFUNCTION("""COMPUTED_VALUE"""),"Loser ")</f>
        <v>Loser </v>
      </c>
      <c r="H2073" s="2">
        <v>-4535974</v>
      </c>
    </row>
    <row r="2074" spans="7:8" x14ac:dyDescent="0.25">
      <c r="G2074" s="2" t="str">
        <f ca="1">IFERROR(__xludf.DUMMYFUNCTION("""COMPUTED_VALUE"""),"The Greatest Story Ever Told ")</f>
        <v>The Greatest Story Ever Told </v>
      </c>
      <c r="H2074" s="2">
        <v>-12000000</v>
      </c>
    </row>
    <row r="2075" spans="7:8" x14ac:dyDescent="0.25">
      <c r="G2075" s="2" t="str">
        <f ca="1">IFERROR(__xludf.DUMMYFUNCTION("""COMPUTED_VALUE"""),"Disaster Movie ")</f>
        <v>Disaster Movie </v>
      </c>
      <c r="H2075" s="2">
        <v>-10825346</v>
      </c>
    </row>
    <row r="2076" spans="7:8" x14ac:dyDescent="0.25">
      <c r="G2076" s="2" t="str">
        <f ca="1">IFERROR(__xludf.DUMMYFUNCTION("""COMPUTED_VALUE"""),"Armored ")</f>
        <v>Armored </v>
      </c>
      <c r="H2076" s="2">
        <v>-11011124</v>
      </c>
    </row>
    <row r="2077" spans="7:8" x14ac:dyDescent="0.25">
      <c r="G2077" s="2" t="str">
        <f ca="1">IFERROR(__xludf.DUMMYFUNCTION("""COMPUTED_VALUE"""),"The Man Who Knew Too Little ")</f>
        <v>The Man Who Knew Too Little </v>
      </c>
      <c r="H2077" s="2">
        <v>-6198245</v>
      </c>
    </row>
    <row r="2078" spans="7:8" x14ac:dyDescent="0.25">
      <c r="G2078" s="2" t="str">
        <f ca="1">IFERROR(__xludf.DUMMYFUNCTION("""COMPUTED_VALUE"""),"What's Your Number? ")</f>
        <v>What's Your Number? </v>
      </c>
      <c r="H2078" s="2">
        <v>-6012518</v>
      </c>
    </row>
    <row r="2079" spans="7:8" x14ac:dyDescent="0.25">
      <c r="G2079" s="2" t="str">
        <f ca="1">IFERROR(__xludf.DUMMYFUNCTION("""COMPUTED_VALUE"""),"Lockout ")</f>
        <v>Lockout </v>
      </c>
      <c r="H2079" s="2">
        <v>-5708430</v>
      </c>
    </row>
    <row r="2080" spans="7:8" x14ac:dyDescent="0.25">
      <c r="G2080" s="2" t="str">
        <f ca="1">IFERROR(__xludf.DUMMYFUNCTION("""COMPUTED_VALUE"""),"Envy ")</f>
        <v>Envy </v>
      </c>
      <c r="H2080" s="2">
        <v>-27818516</v>
      </c>
    </row>
    <row r="2081" spans="7:8" x14ac:dyDescent="0.25">
      <c r="G2081" s="2" t="str">
        <f ca="1">IFERROR(__xludf.DUMMYFUNCTION("""COMPUTED_VALUE"""),"Crank: High Voltage ")</f>
        <v>Crank: High Voltage </v>
      </c>
      <c r="H2081" s="2">
        <v>-6369774</v>
      </c>
    </row>
    <row r="2082" spans="7:8" x14ac:dyDescent="0.25">
      <c r="G2082" s="2" t="str">
        <f ca="1">IFERROR(__xludf.DUMMYFUNCTION("""COMPUTED_VALUE"""),"Bullets Over Broadway ")</f>
        <v>Bullets Over Broadway </v>
      </c>
      <c r="H2082" s="2">
        <v>-6616263</v>
      </c>
    </row>
    <row r="2083" spans="7:8" x14ac:dyDescent="0.25">
      <c r="G2083" s="2" t="str">
        <f ca="1">IFERROR(__xludf.DUMMYFUNCTION("""COMPUTED_VALUE"""),"One Night with the King ")</f>
        <v>One Night with the King </v>
      </c>
      <c r="H2083" s="2">
        <v>-6608826</v>
      </c>
    </row>
    <row r="2084" spans="7:8" x14ac:dyDescent="0.25">
      <c r="G2084" s="2" t="str">
        <f ca="1">IFERROR(__xludf.DUMMYFUNCTION("""COMPUTED_VALUE"""),"The Quiet American ")</f>
        <v>The Quiet American </v>
      </c>
      <c r="H2084" s="2">
        <v>-17012353</v>
      </c>
    </row>
    <row r="2085" spans="7:8" x14ac:dyDescent="0.25">
      <c r="G2085" s="2" t="str">
        <f ca="1">IFERROR(__xludf.DUMMYFUNCTION("""COMPUTED_VALUE"""),"The Weather Man ")</f>
        <v>The Weather Man </v>
      </c>
      <c r="H2085" s="2">
        <v>-9530189</v>
      </c>
    </row>
    <row r="2086" spans="7:8" x14ac:dyDescent="0.25">
      <c r="G2086" s="2" t="str">
        <f ca="1">IFERROR(__xludf.DUMMYFUNCTION("""COMPUTED_VALUE"""),"Undisputed ")</f>
        <v>Undisputed </v>
      </c>
      <c r="H2086" s="2">
        <v>-7601372</v>
      </c>
    </row>
    <row r="2087" spans="7:8" x14ac:dyDescent="0.25">
      <c r="G2087" s="2" t="str">
        <f ca="1">IFERROR(__xludf.DUMMYFUNCTION("""COMPUTED_VALUE"""),"Ghost Town ")</f>
        <v>Ghost Town </v>
      </c>
      <c r="H2087" s="2">
        <v>-6785970</v>
      </c>
    </row>
    <row r="2088" spans="7:8" x14ac:dyDescent="0.25">
      <c r="G2088" s="2" t="str">
        <f ca="1">IFERROR(__xludf.DUMMYFUNCTION("""COMPUTED_VALUE"""),"12 Rounds ")</f>
        <v>12 Rounds </v>
      </c>
      <c r="H2088" s="2">
        <v>-9767063</v>
      </c>
    </row>
    <row r="2089" spans="7:8" x14ac:dyDescent="0.25">
      <c r="G2089" s="2" t="str">
        <f ca="1">IFERROR(__xludf.DUMMYFUNCTION("""COMPUTED_VALUE"""),"Let Me In ")</f>
        <v>Let Me In </v>
      </c>
      <c r="H2089" s="2">
        <v>-7865580</v>
      </c>
    </row>
    <row r="2090" spans="7:8" x14ac:dyDescent="0.25">
      <c r="G2090" s="2" t="str">
        <f ca="1">IFERROR(__xludf.DUMMYFUNCTION("""COMPUTED_VALUE"""),"3 Ninjas Kick Back ")</f>
        <v>3 Ninjas Kick Back </v>
      </c>
      <c r="H2090" s="2">
        <v>-8216000</v>
      </c>
    </row>
    <row r="2091" spans="7:8" x14ac:dyDescent="0.25">
      <c r="G2091" s="2" t="str">
        <f ca="1">IFERROR(__xludf.DUMMYFUNCTION("""COMPUTED_VALUE"""),"Be Kind Rewind ")</f>
        <v>Be Kind Rewind </v>
      </c>
      <c r="H2091" s="2">
        <v>-8830469</v>
      </c>
    </row>
    <row r="2092" spans="7:8" x14ac:dyDescent="0.25">
      <c r="G2092" s="2" t="str">
        <f ca="1">IFERROR(__xludf.DUMMYFUNCTION("""COMPUTED_VALUE"""),"Mrs Henderson Presents ")</f>
        <v>Mrs Henderson Presents </v>
      </c>
      <c r="H2092" s="2">
        <v>-8965564</v>
      </c>
    </row>
    <row r="2093" spans="7:8" x14ac:dyDescent="0.25">
      <c r="G2093" s="2" t="str">
        <f ca="1">IFERROR(__xludf.DUMMYFUNCTION("""COMPUTED_VALUE"""),"Triple 9 ")</f>
        <v>Triple 9 </v>
      </c>
      <c r="H2093" s="2">
        <v>-7373095</v>
      </c>
    </row>
    <row r="2094" spans="7:8" x14ac:dyDescent="0.25">
      <c r="G2094" s="2" t="str">
        <f ca="1">IFERROR(__xludf.DUMMYFUNCTION("""COMPUTED_VALUE"""),"Deconstructing Harry ")</f>
        <v>Deconstructing Harry </v>
      </c>
      <c r="H2094" s="2">
        <v>-9430929</v>
      </c>
    </row>
    <row r="2095" spans="7:8" x14ac:dyDescent="0.25">
      <c r="G2095" s="2" t="str">
        <f ca="1">IFERROR(__xludf.DUMMYFUNCTION("""COMPUTED_VALUE"""),"Three to Tango ")</f>
        <v>Three to Tango </v>
      </c>
      <c r="H2095" s="2">
        <v>-9455857</v>
      </c>
    </row>
    <row r="2096" spans="7:8" x14ac:dyDescent="0.25">
      <c r="G2096" s="2" t="str">
        <f ca="1">IFERROR(__xludf.DUMMYFUNCTION("""COMPUTED_VALUE"""),"Burnt ")</f>
        <v>Burnt </v>
      </c>
      <c r="H2096" s="2">
        <v>-6349262</v>
      </c>
    </row>
    <row r="2097" spans="7:8" x14ac:dyDescent="0.25">
      <c r="G2097" s="2" t="str">
        <f ca="1">IFERROR(__xludf.DUMMYFUNCTION("""COMPUTED_VALUE"""),"We're No Angels ")</f>
        <v>We're No Angels </v>
      </c>
      <c r="H2097" s="2">
        <v>-9444652</v>
      </c>
    </row>
    <row r="2098" spans="7:8" x14ac:dyDescent="0.25">
      <c r="G2098" s="2" t="str">
        <f ca="1">IFERROR(__xludf.DUMMYFUNCTION("""COMPUTED_VALUE"""),"Everyone Says I Love You ")</f>
        <v>Everyone Says I Love You </v>
      </c>
      <c r="H2098" s="2">
        <v>-10285518</v>
      </c>
    </row>
    <row r="2099" spans="7:8" x14ac:dyDescent="0.25">
      <c r="G2099" s="2" t="str">
        <f ca="1">IFERROR(__xludf.DUMMYFUNCTION("""COMPUTED_VALUE"""),"Death Sentence ")</f>
        <v>Death Sentence </v>
      </c>
      <c r="H2099" s="2">
        <v>-10474724</v>
      </c>
    </row>
    <row r="2100" spans="7:8" x14ac:dyDescent="0.25">
      <c r="G2100" s="2" t="str">
        <f ca="1">IFERROR(__xludf.DUMMYFUNCTION("""COMPUTED_VALUE"""),"Everybody's Fine ")</f>
        <v>Everybody's Fine </v>
      </c>
      <c r="H2100" s="2">
        <v>-12144354</v>
      </c>
    </row>
    <row r="2101" spans="7:8" x14ac:dyDescent="0.25">
      <c r="G2101" s="2" t="str">
        <f ca="1">IFERROR(__xludf.DUMMYFUNCTION("""COMPUTED_VALUE"""),"Superbabies: Baby Geniuses 2 ")</f>
        <v>Superbabies: Baby Geniuses 2 </v>
      </c>
      <c r="H2101" s="2">
        <v>-10890678</v>
      </c>
    </row>
    <row r="2102" spans="7:8" x14ac:dyDescent="0.25">
      <c r="G2102" s="2" t="str">
        <f ca="1">IFERROR(__xludf.DUMMYFUNCTION("""COMPUTED_VALUE"""),"The Man ")</f>
        <v>The Man </v>
      </c>
      <c r="H2102" s="2">
        <v>-24673965</v>
      </c>
    </row>
    <row r="2103" spans="7:8" x14ac:dyDescent="0.25">
      <c r="G2103" s="2" t="str">
        <f ca="1">IFERROR(__xludf.DUMMYFUNCTION("""COMPUTED_VALUE"""),"Code Name: The Cleaner ")</f>
        <v>Code Name: The Cleaner </v>
      </c>
      <c r="H2103" s="2">
        <v>-11895931</v>
      </c>
    </row>
    <row r="2104" spans="7:8" x14ac:dyDescent="0.25">
      <c r="G2104" s="2" t="str">
        <f ca="1">IFERROR(__xludf.DUMMYFUNCTION("""COMPUTED_VALUE"""),"Connie and Carla ")</f>
        <v>Connie and Carla </v>
      </c>
      <c r="H2104" s="2">
        <v>-11945720</v>
      </c>
    </row>
    <row r="2105" spans="7:8" x14ac:dyDescent="0.25">
      <c r="G2105" s="2" t="str">
        <f ca="1">IFERROR(__xludf.DUMMYFUNCTION("""COMPUTED_VALUE"""),"Inherent Vice ")</f>
        <v>Inherent Vice </v>
      </c>
      <c r="H2105" s="2">
        <v>-11906682</v>
      </c>
    </row>
    <row r="2106" spans="7:8" x14ac:dyDescent="0.25">
      <c r="G2106" s="2" t="str">
        <f ca="1">IFERROR(__xludf.DUMMYFUNCTION("""COMPUTED_VALUE"""),"Doogal ")</f>
        <v>Doogal </v>
      </c>
      <c r="H2106" s="2">
        <v>-12617007</v>
      </c>
    </row>
    <row r="2107" spans="7:8" x14ac:dyDescent="0.25">
      <c r="G2107" s="2" t="str">
        <f ca="1">IFERROR(__xludf.DUMMYFUNCTION("""COMPUTED_VALUE"""),"Battle of the Year ")</f>
        <v>Battle of the Year </v>
      </c>
      <c r="H2107" s="2">
        <v>-11111645</v>
      </c>
    </row>
    <row r="2108" spans="7:8" x14ac:dyDescent="0.25">
      <c r="G2108" s="2" t="str">
        <f ca="1">IFERROR(__xludf.DUMMYFUNCTION("""COMPUTED_VALUE"""),"An American Carol ")</f>
        <v>An American Carol </v>
      </c>
      <c r="H2108" s="2">
        <v>-4998280</v>
      </c>
    </row>
    <row r="2109" spans="7:8" x14ac:dyDescent="0.25">
      <c r="G2109" s="2" t="str">
        <f ca="1">IFERROR(__xludf.DUMMYFUNCTION("""COMPUTED_VALUE"""),"Machete Kills ")</f>
        <v>Machete Kills </v>
      </c>
      <c r="H2109" s="2">
        <v>-12731341</v>
      </c>
    </row>
    <row r="2110" spans="7:8" x14ac:dyDescent="0.25">
      <c r="G2110" s="2" t="str">
        <f ca="1">IFERROR(__xludf.DUMMYFUNCTION("""COMPUTED_VALUE"""),"Willard ")</f>
        <v>Willard </v>
      </c>
      <c r="H2110" s="2">
        <v>-15147856</v>
      </c>
    </row>
    <row r="2111" spans="7:8" x14ac:dyDescent="0.25">
      <c r="G2111" s="2" t="str">
        <f ca="1">IFERROR(__xludf.DUMMYFUNCTION("""COMPUTED_VALUE"""),"Strange Wilderness ")</f>
        <v>Strange Wilderness </v>
      </c>
      <c r="H2111" s="2">
        <v>-13436643</v>
      </c>
    </row>
    <row r="2112" spans="7:8" x14ac:dyDescent="0.25">
      <c r="G2112" s="2" t="str">
        <f ca="1">IFERROR(__xludf.DUMMYFUNCTION("""COMPUTED_VALUE"""),"Topsy-Turvy ")</f>
        <v>Topsy-Turvy </v>
      </c>
      <c r="H2112" s="2">
        <v>-3798243</v>
      </c>
    </row>
    <row r="2113" spans="7:8" x14ac:dyDescent="0.25">
      <c r="G2113" s="2" t="str">
        <f ca="1">IFERROR(__xludf.DUMMYFUNCTION("""COMPUTED_VALUE"""),"Little Boy ")</f>
        <v>Little Boy </v>
      </c>
      <c r="H2113" s="2">
        <v>-13579681</v>
      </c>
    </row>
    <row r="2114" spans="7:8" x14ac:dyDescent="0.25">
      <c r="G2114" s="2" t="str">
        <f ca="1">IFERROR(__xludf.DUMMYFUNCTION("""COMPUTED_VALUE"""),"A Dangerous Method ")</f>
        <v>A Dangerous Method </v>
      </c>
      <c r="H2114" s="2">
        <v>-9297917</v>
      </c>
    </row>
    <row r="2115" spans="7:8" x14ac:dyDescent="0.25">
      <c r="G2115" s="2" t="str">
        <f ca="1">IFERROR(__xludf.DUMMYFUNCTION("""COMPUTED_VALUE"""),"A Scanner Darkly ")</f>
        <v>A Scanner Darkly </v>
      </c>
      <c r="H2115" s="2">
        <v>-3219004</v>
      </c>
    </row>
    <row r="2116" spans="7:8" x14ac:dyDescent="0.25">
      <c r="G2116" s="2" t="str">
        <f ca="1">IFERROR(__xludf.DUMMYFUNCTION("""COMPUTED_VALUE"""),"Chasing Mavericks ")</f>
        <v>Chasing Mavericks </v>
      </c>
      <c r="H2116" s="2">
        <v>-13997244</v>
      </c>
    </row>
    <row r="2117" spans="7:8" x14ac:dyDescent="0.25">
      <c r="G2117" s="2" t="str">
        <f ca="1">IFERROR(__xludf.DUMMYFUNCTION("""COMPUTED_VALUE"""),"Alone in the Dark ")</f>
        <v>Alone in the Dark </v>
      </c>
      <c r="H2117" s="2">
        <v>-14867345</v>
      </c>
    </row>
    <row r="2118" spans="7:8" x14ac:dyDescent="0.25">
      <c r="G2118" s="2" t="str">
        <f ca="1">IFERROR(__xludf.DUMMYFUNCTION("""COMPUTED_VALUE"""),"Bandslam ")</f>
        <v>Bandslam </v>
      </c>
      <c r="H2118" s="2">
        <v>-14794657</v>
      </c>
    </row>
    <row r="2119" spans="7:8" x14ac:dyDescent="0.25">
      <c r="G2119" s="2" t="str">
        <f ca="1">IFERROR(__xludf.DUMMYFUNCTION("""COMPUTED_VALUE"""),"Birth ")</f>
        <v>Birth </v>
      </c>
      <c r="H2119" s="2">
        <v>-14994117</v>
      </c>
    </row>
    <row r="2120" spans="7:8" x14ac:dyDescent="0.25">
      <c r="G2120" s="2" t="str">
        <f ca="1">IFERROR(__xludf.DUMMYFUNCTION("""COMPUTED_VALUE"""),"A Most Violent Year ")</f>
        <v>A Most Violent Year </v>
      </c>
      <c r="H2120" s="2">
        <v>-14250866</v>
      </c>
    </row>
    <row r="2121" spans="7:8" x14ac:dyDescent="0.25">
      <c r="G2121" s="2" t="str">
        <f ca="1">IFERROR(__xludf.DUMMYFUNCTION("""COMPUTED_VALUE"""),"Flash of Genius ")</f>
        <v>Flash of Genius </v>
      </c>
      <c r="H2121" s="2">
        <v>-15765960</v>
      </c>
    </row>
    <row r="2122" spans="7:8" x14ac:dyDescent="0.25">
      <c r="G2122" s="2" t="str">
        <f ca="1">IFERROR(__xludf.DUMMYFUNCTION("""COMPUTED_VALUE"""),"I'm Not There. ")</f>
        <v>I'm Not There. </v>
      </c>
      <c r="H2122" s="2">
        <v>-15998879</v>
      </c>
    </row>
    <row r="2123" spans="7:8" x14ac:dyDescent="0.25">
      <c r="G2123" s="2" t="str">
        <f ca="1">IFERROR(__xludf.DUMMYFUNCTION("""COMPUTED_VALUE"""),"The Cold Light of Day ")</f>
        <v>The Cold Light of Day </v>
      </c>
      <c r="H2123" s="2">
        <v>-16250939</v>
      </c>
    </row>
    <row r="2124" spans="7:8" x14ac:dyDescent="0.25">
      <c r="G2124" s="2" t="str">
        <f ca="1">IFERROR(__xludf.DUMMYFUNCTION("""COMPUTED_VALUE"""),"The Brothers Bloom ")</f>
        <v>The Brothers Bloom </v>
      </c>
      <c r="H2124" s="2">
        <v>-16480373</v>
      </c>
    </row>
    <row r="2125" spans="7:8" x14ac:dyDescent="0.25">
      <c r="G2125" s="2" t="str">
        <f ca="1">IFERROR(__xludf.DUMMYFUNCTION("""COMPUTED_VALUE"""),"Synecdoche, New York ")</f>
        <v>Synecdoche, New York </v>
      </c>
      <c r="H2125" s="2">
        <v>-17918075</v>
      </c>
    </row>
    <row r="2126" spans="7:8" x14ac:dyDescent="0.25">
      <c r="G2126" s="2" t="str">
        <f ca="1">IFERROR(__xludf.DUMMYFUNCTION("""COMPUTED_VALUE"""),"Princess Mononoke ")</f>
        <v>Princess Mononoke </v>
      </c>
      <c r="H2126" s="2">
        <v>-2397701809</v>
      </c>
    </row>
    <row r="2127" spans="7:8" x14ac:dyDescent="0.25">
      <c r="G2127" s="2" t="str">
        <f ca="1">IFERROR(__xludf.DUMMYFUNCTION("""COMPUTED_VALUE"""),"Bon voyage ")</f>
        <v>Bon voyage </v>
      </c>
      <c r="H2127" s="2">
        <v>-17646272</v>
      </c>
    </row>
    <row r="2128" spans="7:8" x14ac:dyDescent="0.25">
      <c r="G2128" s="2" t="str">
        <f ca="1">IFERROR(__xludf.DUMMYFUNCTION("""COMPUTED_VALUE"""),"Can't Stop the Music ")</f>
        <v>Can't Stop the Music </v>
      </c>
      <c r="H2128" s="2">
        <v>-18000000</v>
      </c>
    </row>
    <row r="2129" spans="7:8" x14ac:dyDescent="0.25">
      <c r="G2129" s="2" t="str">
        <f ca="1">IFERROR(__xludf.DUMMYFUNCTION("""COMPUTED_VALUE"""),"The Proposition ")</f>
        <v>The Proposition </v>
      </c>
      <c r="H2129" s="2">
        <v>-99275</v>
      </c>
    </row>
    <row r="2130" spans="7:8" x14ac:dyDescent="0.25">
      <c r="G2130" s="2" t="str">
        <f ca="1">IFERROR(__xludf.DUMMYFUNCTION("""COMPUTED_VALUE"""),"Courage ")</f>
        <v>Courage </v>
      </c>
      <c r="H2130" s="2">
        <v>-17754000</v>
      </c>
    </row>
    <row r="2131" spans="7:8" x14ac:dyDescent="0.25">
      <c r="G2131" s="2" t="str">
        <f ca="1">IFERROR(__xludf.DUMMYFUNCTION("""COMPUTED_VALUE"""),"Marci X ")</f>
        <v>Marci X </v>
      </c>
      <c r="H2131" s="2">
        <v>-18353336</v>
      </c>
    </row>
    <row r="2132" spans="7:8" x14ac:dyDescent="0.25">
      <c r="G2132" s="2" t="str">
        <f ca="1">IFERROR(__xludf.DUMMYFUNCTION("""COMPUTED_VALUE"""),"Equilibrium ")</f>
        <v>Equilibrium </v>
      </c>
      <c r="H2132" s="2">
        <v>-18809982</v>
      </c>
    </row>
    <row r="2133" spans="7:8" x14ac:dyDescent="0.25">
      <c r="G2133" s="2" t="str">
        <f ca="1">IFERROR(__xludf.DUMMYFUNCTION("""COMPUTED_VALUE"""),"The Children of Huang Shi ")</f>
        <v>The Children of Huang Shi </v>
      </c>
      <c r="H2133" s="2">
        <v>-38972251</v>
      </c>
    </row>
    <row r="2134" spans="7:8" x14ac:dyDescent="0.25">
      <c r="G2134" s="2" t="str">
        <f ca="1">IFERROR(__xludf.DUMMYFUNCTION("""COMPUTED_VALUE"""),"The Yards ")</f>
        <v>The Yards </v>
      </c>
      <c r="H2134" s="2">
        <v>-23117290</v>
      </c>
    </row>
    <row r="2135" spans="7:8" x14ac:dyDescent="0.25">
      <c r="G2135" s="2" t="str">
        <f ca="1">IFERROR(__xludf.DUMMYFUNCTION("""COMPUTED_VALUE"""),"The Oogieloves in the Big Balloon Adventure ")</f>
        <v>The Oogieloves in the Big Balloon Adventure </v>
      </c>
      <c r="H2135" s="2">
        <v>-18935723</v>
      </c>
    </row>
    <row r="2136" spans="7:8" x14ac:dyDescent="0.25">
      <c r="G2136" s="2" t="str">
        <f ca="1">IFERROR(__xludf.DUMMYFUNCTION("""COMPUTED_VALUE"""),"By the Sea ")</f>
        <v>By the Sea </v>
      </c>
      <c r="H2136" s="2">
        <v>-9468991</v>
      </c>
    </row>
    <row r="2137" spans="7:8" x14ac:dyDescent="0.25">
      <c r="G2137" s="2" t="str">
        <f ca="1">IFERROR(__xludf.DUMMYFUNCTION("""COMPUTED_VALUE"""),"Steamboy ")</f>
        <v>Steamboy </v>
      </c>
      <c r="H2137" s="2">
        <v>-2127109510</v>
      </c>
    </row>
    <row r="2138" spans="7:8" x14ac:dyDescent="0.25">
      <c r="G2138" s="2" t="str">
        <f ca="1">IFERROR(__xludf.DUMMYFUNCTION("""COMPUTED_VALUE"""),"The Game of Their Lives ")</f>
        <v>The Game of Their Lives </v>
      </c>
      <c r="H2138" s="2">
        <v>-19624526</v>
      </c>
    </row>
    <row r="2139" spans="7:8" x14ac:dyDescent="0.25">
      <c r="G2139" s="2" t="str">
        <f ca="1">IFERROR(__xludf.DUMMYFUNCTION("""COMPUTED_VALUE"""),"Rapa Nui ")</f>
        <v>Rapa Nui </v>
      </c>
      <c r="H2139" s="2">
        <v>-19694930</v>
      </c>
    </row>
    <row r="2140" spans="7:8" x14ac:dyDescent="0.25">
      <c r="G2140" s="2" t="str">
        <f ca="1">IFERROR(__xludf.DUMMYFUNCTION("""COMPUTED_VALUE"""),"Les couloirs du temps: Les visiteurs II ")</f>
        <v>Les couloirs du temps: Les visiteurs II </v>
      </c>
      <c r="H2140" s="2">
        <v>-139853928</v>
      </c>
    </row>
    <row r="2141" spans="7:8" x14ac:dyDescent="0.25">
      <c r="G2141" s="2" t="str">
        <f ca="1">IFERROR(__xludf.DUMMYFUNCTION("""COMPUTED_VALUE"""),"Dylan Dog: Dead of Night ")</f>
        <v>Dylan Dog: Dead of Night </v>
      </c>
      <c r="H2141" s="2">
        <v>-18816646</v>
      </c>
    </row>
    <row r="2142" spans="7:8" x14ac:dyDescent="0.25">
      <c r="G2142" s="2" t="str">
        <f ca="1">IFERROR(__xludf.DUMMYFUNCTION("""COMPUTED_VALUE"""),"People I Know ")</f>
        <v>People I Know </v>
      </c>
      <c r="H2142" s="2">
        <v>-21878028</v>
      </c>
    </row>
    <row r="2143" spans="7:8" x14ac:dyDescent="0.25">
      <c r="G2143" s="2" t="str">
        <f ca="1">IFERROR(__xludf.DUMMYFUNCTION("""COMPUTED_VALUE"""),"The Tempest ")</f>
        <v>The Tempest </v>
      </c>
      <c r="H2143" s="2">
        <v>-19736635</v>
      </c>
    </row>
    <row r="2144" spans="7:8" x14ac:dyDescent="0.25">
      <c r="G2144" s="2" t="str">
        <f ca="1">IFERROR(__xludf.DUMMYFUNCTION("""COMPUTED_VALUE"""),"The Painted Veil ")</f>
        <v>The Painted Veil </v>
      </c>
      <c r="H2144" s="2">
        <v>-11352310</v>
      </c>
    </row>
    <row r="2145" spans="7:8" x14ac:dyDescent="0.25">
      <c r="G2145" s="2" t="str">
        <f ca="1">IFERROR(__xludf.DUMMYFUNCTION("""COMPUTED_VALUE"""),"The Baader Meinhof Complex ")</f>
        <v>The Baader Meinhof Complex </v>
      </c>
      <c r="H2145" s="2">
        <v>-19523730</v>
      </c>
    </row>
    <row r="2146" spans="7:8" x14ac:dyDescent="0.25">
      <c r="G2146" s="2" t="str">
        <f ca="1">IFERROR(__xludf.DUMMYFUNCTION("""COMPUTED_VALUE"""),"Dances with Wolves ")</f>
        <v>Dances with Wolves </v>
      </c>
      <c r="H2146" s="2">
        <v>162208848</v>
      </c>
    </row>
    <row r="2147" spans="7:8" x14ac:dyDescent="0.25">
      <c r="G2147" s="2" t="str">
        <f ca="1">IFERROR(__xludf.DUMMYFUNCTION("""COMPUTED_VALUE"""),"Bad Teacher ")</f>
        <v>Bad Teacher </v>
      </c>
      <c r="H2147" s="2">
        <v>80292856</v>
      </c>
    </row>
    <row r="2148" spans="7:8" x14ac:dyDescent="0.25">
      <c r="G2148" s="2" t="str">
        <f ca="1">IFERROR(__xludf.DUMMYFUNCTION("""COMPUTED_VALUE"""),"Sea of Love ")</f>
        <v>Sea of Love </v>
      </c>
      <c r="H2148" s="2">
        <v>39571513</v>
      </c>
    </row>
    <row r="2149" spans="7:8" x14ac:dyDescent="0.25">
      <c r="G2149" s="2" t="str">
        <f ca="1">IFERROR(__xludf.DUMMYFUNCTION("""COMPUTED_VALUE"""),"A Cinderella Story ")</f>
        <v>A Cinderella Story </v>
      </c>
      <c r="H2149" s="2">
        <v>31431160</v>
      </c>
    </row>
    <row r="2150" spans="7:8" x14ac:dyDescent="0.25">
      <c r="G2150" s="2" t="str">
        <f ca="1">IFERROR(__xludf.DUMMYFUNCTION("""COMPUTED_VALUE"""),"Scream ")</f>
        <v>Scream </v>
      </c>
      <c r="H2150" s="2">
        <v>88001286</v>
      </c>
    </row>
    <row r="2151" spans="7:8" x14ac:dyDescent="0.25">
      <c r="G2151" s="2" t="str">
        <f ca="1">IFERROR(__xludf.DUMMYFUNCTION("""COMPUTED_VALUE"""),"Thir13en Ghosts ")</f>
        <v>Thir13en Ghosts </v>
      </c>
      <c r="H2151" s="2">
        <v>21867960</v>
      </c>
    </row>
    <row r="2152" spans="7:8" x14ac:dyDescent="0.25">
      <c r="G2152" s="2" t="str">
        <f ca="1">IFERROR(__xludf.DUMMYFUNCTION("""COMPUTED_VALUE"""),"Back to the Future ")</f>
        <v>Back to the Future </v>
      </c>
      <c r="H2152" s="2">
        <v>191609762</v>
      </c>
    </row>
    <row r="2153" spans="7:8" x14ac:dyDescent="0.25">
      <c r="G2153" s="2" t="str">
        <f ca="1">IFERROR(__xludf.DUMMYFUNCTION("""COMPUTED_VALUE"""),"House on Haunted Hill ")</f>
        <v>House on Haunted Hill </v>
      </c>
      <c r="H2153" s="2">
        <v>21846082</v>
      </c>
    </row>
    <row r="2154" spans="7:8" x14ac:dyDescent="0.25">
      <c r="G2154" s="2" t="str">
        <f ca="1">IFERROR(__xludf.DUMMYFUNCTION("""COMPUTED_VALUE"""),"I Can Do Bad All by Myself ")</f>
        <v>I Can Do Bad All by Myself </v>
      </c>
      <c r="H2154" s="2">
        <v>38697449</v>
      </c>
    </row>
    <row r="2155" spans="7:8" x14ac:dyDescent="0.25">
      <c r="G2155" s="2" t="str">
        <f ca="1">IFERROR(__xludf.DUMMYFUNCTION("""COMPUTED_VALUE"""),"The Switch ")</f>
        <v>The Switch </v>
      </c>
      <c r="H2155" s="2">
        <v>8758465</v>
      </c>
    </row>
    <row r="2156" spans="7:8" x14ac:dyDescent="0.25">
      <c r="G2156" s="2" t="str">
        <f ca="1">IFERROR(__xludf.DUMMYFUNCTION("""COMPUTED_VALUE"""),"Just Married ")</f>
        <v>Just Married </v>
      </c>
      <c r="H2156" s="2">
        <v>38127162</v>
      </c>
    </row>
    <row r="2157" spans="7:8" x14ac:dyDescent="0.25">
      <c r="G2157" s="2" t="str">
        <f ca="1">IFERROR(__xludf.DUMMYFUNCTION("""COMPUTED_VALUE"""),"The Devil's Double ")</f>
        <v>The Devil's Double </v>
      </c>
      <c r="H2157" s="2">
        <v>-13642958</v>
      </c>
    </row>
    <row r="2158" spans="7:8" x14ac:dyDescent="0.25">
      <c r="G2158" s="2" t="str">
        <f ca="1">IFERROR(__xludf.DUMMYFUNCTION("""COMPUTED_VALUE"""),"Thomas and the Magic Railroad ")</f>
        <v>Thomas and the Magic Railroad </v>
      </c>
      <c r="H2158" s="2">
        <v>-3088667</v>
      </c>
    </row>
    <row r="2159" spans="7:8" x14ac:dyDescent="0.25">
      <c r="G2159" s="2" t="str">
        <f ca="1">IFERROR(__xludf.DUMMYFUNCTION("""COMPUTED_VALUE"""),"The Crazies ")</f>
        <v>The Crazies </v>
      </c>
      <c r="H2159" s="2">
        <v>19103378</v>
      </c>
    </row>
    <row r="2160" spans="7:8" x14ac:dyDescent="0.25">
      <c r="G2160" s="2" t="str">
        <f ca="1">IFERROR(__xludf.DUMMYFUNCTION("""COMPUTED_VALUE"""),"Spirited Away ")</f>
        <v>Spirited Away </v>
      </c>
      <c r="H2160" s="2">
        <v>-8950114</v>
      </c>
    </row>
    <row r="2161" spans="7:8" x14ac:dyDescent="0.25">
      <c r="G2161" s="2" t="str">
        <f ca="1">IFERROR(__xludf.DUMMYFUNCTION("""COMPUTED_VALUE"""),"The Bounty ")</f>
        <v>The Bounty </v>
      </c>
      <c r="H2161" s="2">
        <v>-16400000</v>
      </c>
    </row>
    <row r="2162" spans="7:8" x14ac:dyDescent="0.25">
      <c r="G2162" s="2" t="str">
        <f ca="1">IFERROR(__xludf.DUMMYFUNCTION("""COMPUTED_VALUE"""),"The Book Thief ")</f>
        <v>The Book Thief </v>
      </c>
      <c r="H2162" s="2">
        <v>2483154</v>
      </c>
    </row>
    <row r="2163" spans="7:8" x14ac:dyDescent="0.25">
      <c r="G2163" s="2" t="str">
        <f ca="1">IFERROR(__xludf.DUMMYFUNCTION("""COMPUTED_VALUE"""),"Sex Drive ")</f>
        <v>Sex Drive </v>
      </c>
      <c r="H2163" s="2">
        <v>-10603058</v>
      </c>
    </row>
    <row r="2164" spans="7:8" x14ac:dyDescent="0.25">
      <c r="G2164" s="2" t="str">
        <f ca="1">IFERROR(__xludf.DUMMYFUNCTION("""COMPUTED_VALUE"""),"Leap Year ")</f>
        <v>Leap Year </v>
      </c>
      <c r="H2164" s="2">
        <v>-18987439</v>
      </c>
    </row>
    <row r="2165" spans="7:8" x14ac:dyDescent="0.25">
      <c r="G2165" s="2" t="str">
        <f ca="1">IFERROR(__xludf.DUMMYFUNCTION("""COMPUTED_VALUE"""),"Take Me Home Tonight ")</f>
        <v>Take Me Home Tonight </v>
      </c>
      <c r="H2165" s="2">
        <v>-16076109</v>
      </c>
    </row>
    <row r="2166" spans="7:8" x14ac:dyDescent="0.25">
      <c r="G2166" s="2" t="str">
        <f ca="1">IFERROR(__xludf.DUMMYFUNCTION("""COMPUTED_VALUE"""),"The Nutcracker ")</f>
        <v>The Nutcracker </v>
      </c>
      <c r="H2166" s="2">
        <v>-16880006</v>
      </c>
    </row>
    <row r="2167" spans="7:8" x14ac:dyDescent="0.25">
      <c r="G2167" s="2" t="str">
        <f ca="1">IFERROR(__xludf.DUMMYFUNCTION("""COMPUTED_VALUE"""),"Kansas City ")</f>
        <v>Kansas City </v>
      </c>
      <c r="H2167" s="2">
        <v>-17707473</v>
      </c>
    </row>
    <row r="2168" spans="7:8" x14ac:dyDescent="0.25">
      <c r="G2168" s="2" t="str">
        <f ca="1">IFERROR(__xludf.DUMMYFUNCTION("""COMPUTED_VALUE"""),"The Amityville Horror ")</f>
        <v>The Amityville Horror </v>
      </c>
      <c r="H2168" s="2">
        <v>45255243</v>
      </c>
    </row>
    <row r="2169" spans="7:8" x14ac:dyDescent="0.25">
      <c r="G2169" s="2" t="str">
        <f ca="1">IFERROR(__xludf.DUMMYFUNCTION("""COMPUTED_VALUE"""),"Adaptation. ")</f>
        <v>Adaptation. </v>
      </c>
      <c r="H2169" s="2">
        <v>3245861</v>
      </c>
    </row>
    <row r="2170" spans="7:8" x14ac:dyDescent="0.25">
      <c r="G2170" s="2" t="str">
        <f ca="1">IFERROR(__xludf.DUMMYFUNCTION("""COMPUTED_VALUE"""),"Land of the Dead ")</f>
        <v>Land of the Dead </v>
      </c>
      <c r="H2170" s="2">
        <v>5433940</v>
      </c>
    </row>
    <row r="2171" spans="7:8" x14ac:dyDescent="0.25">
      <c r="G2171" s="2" t="str">
        <f ca="1">IFERROR(__xludf.DUMMYFUNCTION("""COMPUTED_VALUE"""),"Fear and Loathing in Las Vegas ")</f>
        <v>Fear and Loathing in Las Vegas </v>
      </c>
      <c r="H2171" s="2">
        <v>-7937613</v>
      </c>
    </row>
    <row r="2172" spans="7:8" x14ac:dyDescent="0.25">
      <c r="G2172" s="2" t="str">
        <f ca="1">IFERROR(__xludf.DUMMYFUNCTION("""COMPUTED_VALUE"""),"The Invention of Lying ")</f>
        <v>The Invention of Lying </v>
      </c>
      <c r="H2172" s="2">
        <v>-60918</v>
      </c>
    </row>
    <row r="2173" spans="7:8" x14ac:dyDescent="0.25">
      <c r="G2173" s="2" t="str">
        <f ca="1">IFERROR(__xludf.DUMMYFUNCTION("""COMPUTED_VALUE"""),"Neighbors ")</f>
        <v>Neighbors </v>
      </c>
      <c r="H2173" s="2">
        <v>132056505</v>
      </c>
    </row>
    <row r="2174" spans="7:8" x14ac:dyDescent="0.25">
      <c r="G2174" s="2" t="str">
        <f ca="1">IFERROR(__xludf.DUMMYFUNCTION("""COMPUTED_VALUE"""),"The Mask ")</f>
        <v>The Mask </v>
      </c>
      <c r="H2174" s="2">
        <v>101938730</v>
      </c>
    </row>
    <row r="2175" spans="7:8" x14ac:dyDescent="0.25">
      <c r="G2175" s="2" t="str">
        <f ca="1">IFERROR(__xludf.DUMMYFUNCTION("""COMPUTED_VALUE"""),"Big ")</f>
        <v>Big </v>
      </c>
      <c r="H2175" s="2">
        <v>96968774</v>
      </c>
    </row>
    <row r="2176" spans="7:8" x14ac:dyDescent="0.25">
      <c r="G2176" s="2" t="str">
        <f ca="1">IFERROR(__xludf.DUMMYFUNCTION("""COMPUTED_VALUE"""),"Borat: Cultural Learnings of America for Make Benefit Glorious Nation of Kazakhstan ")</f>
        <v>Borat: Cultural Learnings of America for Make Benefit Glorious Nation of Kazakhstan </v>
      </c>
      <c r="H2176" s="2">
        <v>110505958</v>
      </c>
    </row>
    <row r="2177" spans="7:8" x14ac:dyDescent="0.25">
      <c r="G2177" s="2" t="str">
        <f ca="1">IFERROR(__xludf.DUMMYFUNCTION("""COMPUTED_VALUE"""),"Legally Blonde ")</f>
        <v>Legally Blonde </v>
      </c>
      <c r="H2177" s="2">
        <v>77001351</v>
      </c>
    </row>
    <row r="2178" spans="7:8" x14ac:dyDescent="0.25">
      <c r="G2178" s="2" t="str">
        <f ca="1">IFERROR(__xludf.DUMMYFUNCTION("""COMPUTED_VALUE"""),"Star Trek III: The Search for Spock ")</f>
        <v>Star Trek III: The Search for Spock </v>
      </c>
      <c r="H2178" s="2">
        <v>59400000</v>
      </c>
    </row>
    <row r="2179" spans="7:8" x14ac:dyDescent="0.25">
      <c r="G2179" s="2" t="str">
        <f ca="1">IFERROR(__xludf.DUMMYFUNCTION("""COMPUTED_VALUE"""),"The Exorcism of Emily Rose ")</f>
        <v>The Exorcism of Emily Rose </v>
      </c>
      <c r="H2179" s="2">
        <v>55072454</v>
      </c>
    </row>
    <row r="2180" spans="7:8" x14ac:dyDescent="0.25">
      <c r="G2180" s="2" t="str">
        <f ca="1">IFERROR(__xludf.DUMMYFUNCTION("""COMPUTED_VALUE"""),"Deuce Bigalow: Male Gigolo ")</f>
        <v>Deuce Bigalow: Male Gigolo </v>
      </c>
      <c r="H2180" s="2">
        <v>48535067</v>
      </c>
    </row>
    <row r="2181" spans="7:8" x14ac:dyDescent="0.25">
      <c r="G2181" s="2" t="str">
        <f ca="1">IFERROR(__xludf.DUMMYFUNCTION("""COMPUTED_VALUE"""),"Left Behind ")</f>
        <v>Left Behind </v>
      </c>
      <c r="H2181" s="2">
        <v>-2001718</v>
      </c>
    </row>
    <row r="2182" spans="7:8" x14ac:dyDescent="0.25">
      <c r="G2182" s="2" t="str">
        <f ca="1">IFERROR(__xludf.DUMMYFUNCTION("""COMPUTED_VALUE"""),"The Family Stone ")</f>
        <v>The Family Stone </v>
      </c>
      <c r="H2182" s="2">
        <v>-10938241</v>
      </c>
    </row>
    <row r="2183" spans="7:8" x14ac:dyDescent="0.25">
      <c r="G2183" s="2" t="str">
        <f ca="1">IFERROR(__xludf.DUMMYFUNCTION("""COMPUTED_VALUE"""),"Barbershop 2: Back in Business ")</f>
        <v>Barbershop 2: Back in Business </v>
      </c>
      <c r="H2183" s="2">
        <v>46955956</v>
      </c>
    </row>
    <row r="2184" spans="7:8" x14ac:dyDescent="0.25">
      <c r="G2184" s="2" t="str">
        <f ca="1">IFERROR(__xludf.DUMMYFUNCTION("""COMPUTED_VALUE"""),"Bad Santa ")</f>
        <v>Bad Santa </v>
      </c>
      <c r="H2184" s="2">
        <v>42057639</v>
      </c>
    </row>
    <row r="2185" spans="7:8" x14ac:dyDescent="0.25">
      <c r="G2185" s="2" t="str">
        <f ca="1">IFERROR(__xludf.DUMMYFUNCTION("""COMPUTED_VALUE"""),"Austin Powers: International Man of Mystery ")</f>
        <v>Austin Powers: International Man of Mystery </v>
      </c>
      <c r="H2185" s="2">
        <v>36868030</v>
      </c>
    </row>
    <row r="2186" spans="7:8" x14ac:dyDescent="0.25">
      <c r="G2186" s="2" t="str">
        <f ca="1">IFERROR(__xludf.DUMMYFUNCTION("""COMPUTED_VALUE"""),"My Big Fat Greek Wedding 2 ")</f>
        <v>My Big Fat Greek Wedding 2 </v>
      </c>
      <c r="H2186" s="2">
        <v>41573085</v>
      </c>
    </row>
    <row r="2187" spans="7:8" x14ac:dyDescent="0.25">
      <c r="G2187" s="2" t="str">
        <f ca="1">IFERROR(__xludf.DUMMYFUNCTION("""COMPUTED_VALUE"""),"Diary of a Wimpy Kid: Rodrick Rules ")</f>
        <v>Diary of a Wimpy Kid: Rodrick Rules </v>
      </c>
      <c r="H2187" s="2">
        <v>31691009</v>
      </c>
    </row>
    <row r="2188" spans="7:8" x14ac:dyDescent="0.25">
      <c r="G2188" s="2" t="str">
        <f ca="1">IFERROR(__xludf.DUMMYFUNCTION("""COMPUTED_VALUE"""),"Predator ")</f>
        <v>Predator </v>
      </c>
      <c r="H2188" s="2">
        <v>44735548</v>
      </c>
    </row>
    <row r="2189" spans="7:8" x14ac:dyDescent="0.25">
      <c r="G2189" s="2" t="str">
        <f ca="1">IFERROR(__xludf.DUMMYFUNCTION("""COMPUTED_VALUE"""),"Amadeus ")</f>
        <v>Amadeus </v>
      </c>
      <c r="H2189" s="2">
        <v>33600000</v>
      </c>
    </row>
    <row r="2190" spans="7:8" x14ac:dyDescent="0.25">
      <c r="G2190" s="2" t="str">
        <f ca="1">IFERROR(__xludf.DUMMYFUNCTION("""COMPUTED_VALUE"""),"Prom Night ")</f>
        <v>Prom Night </v>
      </c>
      <c r="H2190" s="2">
        <v>23818159</v>
      </c>
    </row>
    <row r="2191" spans="7:8" x14ac:dyDescent="0.25">
      <c r="G2191" s="2" t="str">
        <f ca="1">IFERROR(__xludf.DUMMYFUNCTION("""COMPUTED_VALUE"""),"Mean Girls ")</f>
        <v>Mean Girls </v>
      </c>
      <c r="H2191" s="2">
        <v>69049418</v>
      </c>
    </row>
    <row r="2192" spans="7:8" x14ac:dyDescent="0.25">
      <c r="G2192" s="2" t="str">
        <f ca="1">IFERROR(__xludf.DUMMYFUNCTION("""COMPUTED_VALUE"""),"Under the Tuscan Sun ")</f>
        <v>Under the Tuscan Sun </v>
      </c>
      <c r="H2192" s="2">
        <v>25601508</v>
      </c>
    </row>
    <row r="2193" spans="7:8" x14ac:dyDescent="0.25">
      <c r="G2193" s="2" t="str">
        <f ca="1">IFERROR(__xludf.DUMMYFUNCTION("""COMPUTED_VALUE"""),"Gosford Park ")</f>
        <v>Gosford Park </v>
      </c>
      <c r="H2193" s="2">
        <v>21500105</v>
      </c>
    </row>
    <row r="2194" spans="7:8" x14ac:dyDescent="0.25">
      <c r="G2194" s="2" t="str">
        <f ca="1">IFERROR(__xludf.DUMMYFUNCTION("""COMPUTED_VALUE"""),"Peggy Sue Got Married ")</f>
        <v>Peggy Sue Got Married </v>
      </c>
      <c r="H2194" s="2">
        <v>23382841</v>
      </c>
    </row>
    <row r="2195" spans="7:8" x14ac:dyDescent="0.25">
      <c r="G2195" s="2" t="str">
        <f ca="1">IFERROR(__xludf.DUMMYFUNCTION("""COMPUTED_VALUE"""),"Birdman or (The Unexpected Virtue of Ignorance) ")</f>
        <v>Birdman or (The Unexpected Virtue of Ignorance) </v>
      </c>
      <c r="H2195" s="2">
        <v>24335698</v>
      </c>
    </row>
    <row r="2196" spans="7:8" x14ac:dyDescent="0.25">
      <c r="G2196" s="2" t="str">
        <f ca="1">IFERROR(__xludf.DUMMYFUNCTION("""COMPUTED_VALUE"""),"Blue Jasmine ")</f>
        <v>Blue Jasmine </v>
      </c>
      <c r="H2196" s="2">
        <v>15404871</v>
      </c>
    </row>
    <row r="2197" spans="7:8" x14ac:dyDescent="0.25">
      <c r="G2197" s="2" t="str">
        <f ca="1">IFERROR(__xludf.DUMMYFUNCTION("""COMPUTED_VALUE"""),"United 93 ")</f>
        <v>United 93 </v>
      </c>
      <c r="H2197" s="2">
        <v>16471430</v>
      </c>
    </row>
    <row r="2198" spans="7:8" x14ac:dyDescent="0.25">
      <c r="G2198" s="2" t="str">
        <f ca="1">IFERROR(__xludf.DUMMYFUNCTION("""COMPUTED_VALUE"""),"Honey ")</f>
        <v>Honey </v>
      </c>
      <c r="H2198" s="2">
        <v>5222640</v>
      </c>
    </row>
    <row r="2199" spans="7:8" x14ac:dyDescent="0.25">
      <c r="G2199" s="2" t="str">
        <f ca="1">IFERROR(__xludf.DUMMYFUNCTION("""COMPUTED_VALUE"""),"Spy Hard ")</f>
        <v>Spy Hard </v>
      </c>
      <c r="H2199" s="2">
        <v>8906039</v>
      </c>
    </row>
    <row r="2200" spans="7:8" x14ac:dyDescent="0.25">
      <c r="G2200" s="2" t="str">
        <f ca="1">IFERROR(__xludf.DUMMYFUNCTION("""COMPUTED_VALUE"""),"The Fog ")</f>
        <v>The Fog </v>
      </c>
      <c r="H2200" s="2">
        <v>20378000</v>
      </c>
    </row>
    <row r="2201" spans="7:8" x14ac:dyDescent="0.25">
      <c r="G2201" s="2" t="str">
        <f ca="1">IFERROR(__xludf.DUMMYFUNCTION("""COMPUTED_VALUE"""),"Soul Surfer ")</f>
        <v>Soul Surfer </v>
      </c>
      <c r="H2201" s="2">
        <v>25853424</v>
      </c>
    </row>
    <row r="2202" spans="7:8" x14ac:dyDescent="0.25">
      <c r="G2202" s="2" t="str">
        <f ca="1">IFERROR(__xludf.DUMMYFUNCTION("""COMPUTED_VALUE"""),"Observe and Report ")</f>
        <v>Observe and Report </v>
      </c>
      <c r="H2202" s="2">
        <v>5993605</v>
      </c>
    </row>
    <row r="2203" spans="7:8" x14ac:dyDescent="0.25">
      <c r="G2203" s="2" t="str">
        <f ca="1">IFERROR(__xludf.DUMMYFUNCTION("""COMPUTED_VALUE"""),"Conan the Destroyer ")</f>
        <v>Conan the Destroyer </v>
      </c>
      <c r="H2203" s="2">
        <v>8400000</v>
      </c>
    </row>
    <row r="2204" spans="7:8" x14ac:dyDescent="0.25">
      <c r="G2204" s="2" t="str">
        <f ca="1">IFERROR(__xludf.DUMMYFUNCTION("""COMPUTED_VALUE"""),"Raging Bull ")</f>
        <v>Raging Bull </v>
      </c>
      <c r="H2204" s="2">
        <v>-17954750</v>
      </c>
    </row>
    <row r="2205" spans="7:8" x14ac:dyDescent="0.25">
      <c r="G2205" s="2" t="str">
        <f ca="1">IFERROR(__xludf.DUMMYFUNCTION("""COMPUTED_VALUE"""),"Love Happens ")</f>
        <v>Love Happens </v>
      </c>
      <c r="H2205" s="2">
        <v>4927390</v>
      </c>
    </row>
    <row r="2206" spans="7:8" x14ac:dyDescent="0.25">
      <c r="G2206" s="2" t="str">
        <f ca="1">IFERROR(__xludf.DUMMYFUNCTION("""COMPUTED_VALUE"""),"Young Sherlock Holmes ")</f>
        <v>Young Sherlock Holmes </v>
      </c>
      <c r="H2206" s="2">
        <v>-13749680</v>
      </c>
    </row>
    <row r="2207" spans="7:8" x14ac:dyDescent="0.25">
      <c r="G2207" s="2" t="str">
        <f ca="1">IFERROR(__xludf.DUMMYFUNCTION("""COMPUTED_VALUE"""),"Fame ")</f>
        <v>Fame </v>
      </c>
      <c r="H2207" s="2">
        <v>4452209</v>
      </c>
    </row>
    <row r="2208" spans="7:8" x14ac:dyDescent="0.25">
      <c r="G2208" s="2" t="str">
        <f ca="1">IFERROR(__xludf.DUMMYFUNCTION("""COMPUTED_VALUE"""),"127 Hours ")</f>
        <v>127 Hours </v>
      </c>
      <c r="H2208" s="2">
        <v>329466</v>
      </c>
    </row>
    <row r="2209" spans="7:8" x14ac:dyDescent="0.25">
      <c r="G2209" s="2" t="str">
        <f ca="1">IFERROR(__xludf.DUMMYFUNCTION("""COMPUTED_VALUE"""),"Small Time Crooks ")</f>
        <v>Small Time Crooks </v>
      </c>
      <c r="H2209" s="2">
        <v>-928770</v>
      </c>
    </row>
    <row r="2210" spans="7:8" x14ac:dyDescent="0.25">
      <c r="G2210" s="2" t="str">
        <f ca="1">IFERROR(__xludf.DUMMYFUNCTION("""COMPUTED_VALUE"""),"Center Stage ")</f>
        <v>Center Stage </v>
      </c>
      <c r="H2210" s="2">
        <v>-825130</v>
      </c>
    </row>
    <row r="2211" spans="7:8" x14ac:dyDescent="0.25">
      <c r="G2211" s="2" t="str">
        <f ca="1">IFERROR(__xludf.DUMMYFUNCTION("""COMPUTED_VALUE"""),"Love the Coopers ")</f>
        <v>Love the Coopers </v>
      </c>
      <c r="H2211" s="2">
        <v>9284475</v>
      </c>
    </row>
    <row r="2212" spans="7:8" x14ac:dyDescent="0.25">
      <c r="G2212" s="2" t="str">
        <f ca="1">IFERROR(__xludf.DUMMYFUNCTION("""COMPUTED_VALUE"""),"Catch That Kid ")</f>
        <v>Catch That Kid </v>
      </c>
      <c r="H2212" s="2">
        <v>-1297136</v>
      </c>
    </row>
    <row r="2213" spans="7:8" x14ac:dyDescent="0.25">
      <c r="G2213" s="2" t="str">
        <f ca="1">IFERROR(__xludf.DUMMYFUNCTION("""COMPUTED_VALUE"""),"Life as a House ")</f>
        <v>Life as a House </v>
      </c>
      <c r="H2213" s="2">
        <v>-2438373</v>
      </c>
    </row>
    <row r="2214" spans="7:8" x14ac:dyDescent="0.25">
      <c r="G2214" s="2" t="str">
        <f ca="1">IFERROR(__xludf.DUMMYFUNCTION("""COMPUTED_VALUE"""),"Steve Jobs ")</f>
        <v>Steve Jobs </v>
      </c>
      <c r="H2214" s="2">
        <v>-12249417</v>
      </c>
    </row>
    <row r="2215" spans="7:8" x14ac:dyDescent="0.25">
      <c r="G2215" s="2" t="str">
        <f ca="1">IFERROR(__xludf.DUMMYFUNCTION("""COMPUTED_VALUE"""),"I Love You, Beth Cooper ")</f>
        <v>I Love You, Beth Cooper </v>
      </c>
      <c r="H2215" s="2">
        <v>-3206096</v>
      </c>
    </row>
    <row r="2216" spans="7:8" x14ac:dyDescent="0.25">
      <c r="G2216" s="2" t="str">
        <f ca="1">IFERROR(__xludf.DUMMYFUNCTION("""COMPUTED_VALUE"""),"Youth in Revolt ")</f>
        <v>Youth in Revolt </v>
      </c>
      <c r="H2216" s="2">
        <v>-2718714</v>
      </c>
    </row>
    <row r="2217" spans="7:8" x14ac:dyDescent="0.25">
      <c r="G2217" s="2" t="str">
        <f ca="1">IFERROR(__xludf.DUMMYFUNCTION("""COMPUTED_VALUE"""),"The Legend of the Lone Ranger ")</f>
        <v>The Legend of the Lone Ranger </v>
      </c>
      <c r="H2217" s="2">
        <v>-10000000</v>
      </c>
    </row>
    <row r="2218" spans="7:8" x14ac:dyDescent="0.25">
      <c r="G2218" s="2" t="str">
        <f ca="1">IFERROR(__xludf.DUMMYFUNCTION("""COMPUTED_VALUE"""),"The Tailor of Panama ")</f>
        <v>The Tailor of Panama </v>
      </c>
      <c r="H2218" s="2">
        <v>-4508347</v>
      </c>
    </row>
    <row r="2219" spans="7:8" x14ac:dyDescent="0.25">
      <c r="G2219" s="2" t="str">
        <f ca="1">IFERROR(__xludf.DUMMYFUNCTION("""COMPUTED_VALUE"""),"Getaway ")</f>
        <v>Getaway </v>
      </c>
      <c r="H2219" s="2">
        <v>-7505506</v>
      </c>
    </row>
    <row r="2220" spans="7:8" x14ac:dyDescent="0.25">
      <c r="G2220" s="2" t="str">
        <f ca="1">IFERROR(__xludf.DUMMYFUNCTION("""COMPUTED_VALUE"""),"The Ice Storm ")</f>
        <v>The Ice Storm </v>
      </c>
      <c r="H2220" s="2">
        <v>-10162368</v>
      </c>
    </row>
    <row r="2221" spans="7:8" x14ac:dyDescent="0.25">
      <c r="G2221" s="2" t="str">
        <f ca="1">IFERROR(__xludf.DUMMYFUNCTION("""COMPUTED_VALUE"""),"And So It Goes ")</f>
        <v>And So It Goes </v>
      </c>
      <c r="H2221" s="2">
        <v>-2844228</v>
      </c>
    </row>
    <row r="2222" spans="7:8" x14ac:dyDescent="0.25">
      <c r="G2222" s="2" t="str">
        <f ca="1">IFERROR(__xludf.DUMMYFUNCTION("""COMPUTED_VALUE"""),"Troop Beverly Hills ")</f>
        <v>Troop Beverly Hills </v>
      </c>
      <c r="H2222" s="2">
        <v>-9491157</v>
      </c>
    </row>
    <row r="2223" spans="7:8" x14ac:dyDescent="0.25">
      <c r="G2223" s="2" t="str">
        <f ca="1">IFERROR(__xludf.DUMMYFUNCTION("""COMPUTED_VALUE"""),"Being Julia ")</f>
        <v>Being Julia </v>
      </c>
      <c r="H2223" s="2">
        <v>-10260951</v>
      </c>
    </row>
    <row r="2224" spans="7:8" x14ac:dyDescent="0.25">
      <c r="G2224" s="2" t="str">
        <f ca="1">IFERROR(__xludf.DUMMYFUNCTION("""COMPUTED_VALUE"""),"9½ Weeks ")</f>
        <v>9½ Weeks </v>
      </c>
      <c r="H2224" s="2">
        <v>-10265156</v>
      </c>
    </row>
    <row r="2225" spans="7:8" x14ac:dyDescent="0.25">
      <c r="G2225" s="2" t="str">
        <f ca="1">IFERROR(__xludf.DUMMYFUNCTION("""COMPUTED_VALUE"""),"Dragonslayer ")</f>
        <v>Dragonslayer </v>
      </c>
      <c r="H2225" s="2">
        <v>-12000000</v>
      </c>
    </row>
    <row r="2226" spans="7:8" x14ac:dyDescent="0.25">
      <c r="G2226" s="2" t="str">
        <f ca="1">IFERROR(__xludf.DUMMYFUNCTION("""COMPUTED_VALUE"""),"The Last Station ")</f>
        <v>The Last Station </v>
      </c>
      <c r="H2226" s="2">
        <v>-6384422</v>
      </c>
    </row>
    <row r="2227" spans="7:8" x14ac:dyDescent="0.25">
      <c r="G2227" s="2" t="str">
        <f ca="1">IFERROR(__xludf.DUMMYFUNCTION("""COMPUTED_VALUE"""),"Ed Wood ")</f>
        <v>Ed Wood </v>
      </c>
      <c r="H2227" s="2">
        <v>-12112543</v>
      </c>
    </row>
    <row r="2228" spans="7:8" x14ac:dyDescent="0.25">
      <c r="G2228" s="2" t="str">
        <f ca="1">IFERROR(__xludf.DUMMYFUNCTION("""COMPUTED_VALUE"""),"Labor Day ")</f>
        <v>Labor Day </v>
      </c>
      <c r="H2228" s="2">
        <v>-4637692</v>
      </c>
    </row>
    <row r="2229" spans="7:8" x14ac:dyDescent="0.25">
      <c r="G2229" s="2" t="str">
        <f ca="1">IFERROR(__xludf.DUMMYFUNCTION("""COMPUTED_VALUE"""),"Mongol: The Rise of Genghis Khan ")</f>
        <v>Mongol: The Rise of Genghis Khan </v>
      </c>
      <c r="H2229" s="2">
        <v>-14298357</v>
      </c>
    </row>
    <row r="2230" spans="7:8" x14ac:dyDescent="0.25">
      <c r="G2230" s="2" t="str">
        <f ca="1">IFERROR(__xludf.DUMMYFUNCTION("""COMPUTED_VALUE"""),"RocknRolla ")</f>
        <v>RocknRolla </v>
      </c>
      <c r="H2230" s="2">
        <v>-12305599</v>
      </c>
    </row>
    <row r="2231" spans="7:8" x14ac:dyDescent="0.25">
      <c r="G2231" s="2" t="str">
        <f ca="1">IFERROR(__xludf.DUMMYFUNCTION("""COMPUTED_VALUE"""),"Megaforce ")</f>
        <v>Megaforce </v>
      </c>
      <c r="H2231" s="2">
        <v>-14666342</v>
      </c>
    </row>
    <row r="2232" spans="7:8" x14ac:dyDescent="0.25">
      <c r="G2232" s="2" t="str">
        <f ca="1">IFERROR(__xludf.DUMMYFUNCTION("""COMPUTED_VALUE"""),"Hamlet ")</f>
        <v>Hamlet </v>
      </c>
      <c r="H2232" s="2">
        <v>-13585465</v>
      </c>
    </row>
    <row r="2233" spans="7:8" x14ac:dyDescent="0.25">
      <c r="G2233" s="2" t="str">
        <f ca="1">IFERROR(__xludf.DUMMYFUNCTION("""COMPUTED_VALUE"""),"Midnight Special ")</f>
        <v>Midnight Special </v>
      </c>
      <c r="H2233" s="2">
        <v>-14292206</v>
      </c>
    </row>
    <row r="2234" spans="7:8" x14ac:dyDescent="0.25">
      <c r="G2234" s="2" t="str">
        <f ca="1">IFERROR(__xludf.DUMMYFUNCTION("""COMPUTED_VALUE"""),"Anything Else ")</f>
        <v>Anything Else </v>
      </c>
      <c r="H2234" s="2">
        <v>-14796956</v>
      </c>
    </row>
    <row r="2235" spans="7:8" x14ac:dyDescent="0.25">
      <c r="G2235" s="2" t="str">
        <f ca="1">IFERROR(__xludf.DUMMYFUNCTION("""COMPUTED_VALUE"""),"The Railway Man ")</f>
        <v>The Railway Man </v>
      </c>
      <c r="H2235" s="2">
        <v>-13564917</v>
      </c>
    </row>
    <row r="2236" spans="7:8" x14ac:dyDescent="0.25">
      <c r="G2236" s="2" t="str">
        <f ca="1">IFERROR(__xludf.DUMMYFUNCTION("""COMPUTED_VALUE"""),"The White Ribbon ")</f>
        <v>The White Ribbon </v>
      </c>
      <c r="H2236" s="2">
        <v>-9777353</v>
      </c>
    </row>
    <row r="2237" spans="7:8" x14ac:dyDescent="0.25">
      <c r="G2237" s="2" t="str">
        <f ca="1">IFERROR(__xludf.DUMMYFUNCTION("""COMPUTED_VALUE"""),"The Wraith ")</f>
        <v>The Wraith </v>
      </c>
      <c r="H2237" s="2">
        <v>800000</v>
      </c>
    </row>
    <row r="2238" spans="7:8" x14ac:dyDescent="0.25">
      <c r="G2238" s="2" t="str">
        <f ca="1">IFERROR(__xludf.DUMMYFUNCTION("""COMPUTED_VALUE"""),"The Salton Sea ")</f>
        <v>The Salton Sea </v>
      </c>
      <c r="H2238" s="2">
        <v>-17323302</v>
      </c>
    </row>
    <row r="2239" spans="7:8" x14ac:dyDescent="0.25">
      <c r="G2239" s="2" t="str">
        <f ca="1">IFERROR(__xludf.DUMMYFUNCTION("""COMPUTED_VALUE"""),"One Man's Hero ")</f>
        <v>One Man's Hero </v>
      </c>
      <c r="H2239" s="2">
        <v>-11120689</v>
      </c>
    </row>
    <row r="2240" spans="7:8" x14ac:dyDescent="0.25">
      <c r="G2240" s="2" t="str">
        <f ca="1">IFERROR(__xludf.DUMMYFUNCTION("""COMPUTED_VALUE"""),"Renaissance ")</f>
        <v>Renaissance </v>
      </c>
      <c r="H2240" s="2">
        <v>-13936740</v>
      </c>
    </row>
    <row r="2241" spans="7:8" x14ac:dyDescent="0.25">
      <c r="G2241" s="2" t="str">
        <f ca="1">IFERROR(__xludf.DUMMYFUNCTION("""COMPUTED_VALUE"""),"Superbad ")</f>
        <v>Superbad </v>
      </c>
      <c r="H2241" s="2">
        <v>101463226</v>
      </c>
    </row>
    <row r="2242" spans="7:8" x14ac:dyDescent="0.25">
      <c r="G2242" s="2" t="str">
        <f ca="1">IFERROR(__xludf.DUMMYFUNCTION("""COMPUTED_VALUE"""),"Step Up 2: The Streets ")</f>
        <v>Step Up 2: The Streets </v>
      </c>
      <c r="H2242" s="2">
        <v>35006147</v>
      </c>
    </row>
    <row r="2243" spans="7:8" x14ac:dyDescent="0.25">
      <c r="G2243" s="2" t="str">
        <f ca="1">IFERROR(__xludf.DUMMYFUNCTION("""COMPUTED_VALUE"""),"Hoodwinked! ")</f>
        <v>Hoodwinked! </v>
      </c>
      <c r="H2243" s="2">
        <v>33553787</v>
      </c>
    </row>
    <row r="2244" spans="7:8" x14ac:dyDescent="0.25">
      <c r="G2244" s="2" t="str">
        <f ca="1">IFERROR(__xludf.DUMMYFUNCTION("""COMPUTED_VALUE"""),"Hotel Rwanda ")</f>
        <v>Hotel Rwanda </v>
      </c>
      <c r="H2244" s="2">
        <v>5972900</v>
      </c>
    </row>
    <row r="2245" spans="7:8" x14ac:dyDescent="0.25">
      <c r="G2245" s="2" t="str">
        <f ca="1">IFERROR(__xludf.DUMMYFUNCTION("""COMPUTED_VALUE"""),"Hitman ")</f>
        <v>Hitman </v>
      </c>
      <c r="H2245" s="2">
        <v>15687528</v>
      </c>
    </row>
    <row r="2246" spans="7:8" x14ac:dyDescent="0.25">
      <c r="G2246" s="2" t="str">
        <f ca="1">IFERROR(__xludf.DUMMYFUNCTION("""COMPUTED_VALUE"""),"Black Nativity ")</f>
        <v>Black Nativity </v>
      </c>
      <c r="H2246" s="2">
        <v>-10482822</v>
      </c>
    </row>
    <row r="2247" spans="7:8" x14ac:dyDescent="0.25">
      <c r="G2247" s="2" t="str">
        <f ca="1">IFERROR(__xludf.DUMMYFUNCTION("""COMPUTED_VALUE"""),"City of Ghosts ")</f>
        <v>City of Ghosts </v>
      </c>
      <c r="H2247" s="2">
        <v>-17174509</v>
      </c>
    </row>
    <row r="2248" spans="7:8" x14ac:dyDescent="0.25">
      <c r="G2248" s="2" t="str">
        <f ca="1">IFERROR(__xludf.DUMMYFUNCTION("""COMPUTED_VALUE"""),"The Others ")</f>
        <v>The Others </v>
      </c>
      <c r="H2248" s="2">
        <v>79471845</v>
      </c>
    </row>
    <row r="2249" spans="7:8" x14ac:dyDescent="0.25">
      <c r="G2249" s="2" t="str">
        <f ca="1">IFERROR(__xludf.DUMMYFUNCTION("""COMPUTED_VALUE"""),"Aliens ")</f>
        <v>Aliens </v>
      </c>
      <c r="H2249" s="2">
        <v>66700000</v>
      </c>
    </row>
    <row r="2250" spans="7:8" x14ac:dyDescent="0.25">
      <c r="G2250" s="2" t="str">
        <f ca="1">IFERROR(__xludf.DUMMYFUNCTION("""COMPUTED_VALUE"""),"My Fair Lady ")</f>
        <v>My Fair Lady </v>
      </c>
      <c r="H2250" s="2">
        <v>55000000</v>
      </c>
    </row>
    <row r="2251" spans="7:8" x14ac:dyDescent="0.25">
      <c r="G2251" s="2" t="str">
        <f ca="1">IFERROR(__xludf.DUMMYFUNCTION("""COMPUTED_VALUE"""),"I Know What You Did Last Summer ")</f>
        <v>I Know What You Did Last Summer </v>
      </c>
      <c r="H2251" s="2">
        <v>55219395</v>
      </c>
    </row>
    <row r="2252" spans="7:8" x14ac:dyDescent="0.25">
      <c r="G2252" s="2" t="str">
        <f ca="1">IFERROR(__xludf.DUMMYFUNCTION("""COMPUTED_VALUE"""),"Let's Be Cops ")</f>
        <v>Let's Be Cops </v>
      </c>
      <c r="H2252" s="2">
        <v>65389560</v>
      </c>
    </row>
    <row r="2253" spans="7:8" x14ac:dyDescent="0.25">
      <c r="G2253" s="2" t="str">
        <f ca="1">IFERROR(__xludf.DUMMYFUNCTION("""COMPUTED_VALUE"""),"Sideways ")</f>
        <v>Sideways </v>
      </c>
      <c r="H2253" s="2">
        <v>59502303</v>
      </c>
    </row>
    <row r="2254" spans="7:8" x14ac:dyDescent="0.25">
      <c r="G2254" s="2" t="str">
        <f ca="1">IFERROR(__xludf.DUMMYFUNCTION("""COMPUTED_VALUE"""),"Beerfest ")</f>
        <v>Beerfest </v>
      </c>
      <c r="H2254" s="2">
        <v>1679969</v>
      </c>
    </row>
    <row r="2255" spans="7:8" x14ac:dyDescent="0.25">
      <c r="G2255" s="2" t="str">
        <f ca="1">IFERROR(__xludf.DUMMYFUNCTION("""COMPUTED_VALUE"""),"Halloween ")</f>
        <v>Halloween </v>
      </c>
      <c r="H2255" s="2">
        <v>46700000</v>
      </c>
    </row>
    <row r="2256" spans="7:8" x14ac:dyDescent="0.25">
      <c r="G2256" s="2" t="str">
        <f ca="1">IFERROR(__xludf.DUMMYFUNCTION("""COMPUTED_VALUE"""),"Good Boy! ")</f>
        <v>Good Boy! </v>
      </c>
      <c r="H2256" s="2">
        <v>20566230</v>
      </c>
    </row>
    <row r="2257" spans="7:8" x14ac:dyDescent="0.25">
      <c r="G2257" s="2" t="str">
        <f ca="1">IFERROR(__xludf.DUMMYFUNCTION("""COMPUTED_VALUE"""),"The Best Man Holiday ")</f>
        <v>The Best Man Holiday </v>
      </c>
      <c r="H2257" s="2">
        <v>53492685</v>
      </c>
    </row>
    <row r="2258" spans="7:8" x14ac:dyDescent="0.25">
      <c r="G2258" s="2" t="str">
        <f ca="1">IFERROR(__xludf.DUMMYFUNCTION("""COMPUTED_VALUE"""),"Smokin' Aces ")</f>
        <v>Smokin' Aces </v>
      </c>
      <c r="H2258" s="2">
        <v>18635046</v>
      </c>
    </row>
    <row r="2259" spans="7:8" x14ac:dyDescent="0.25">
      <c r="G2259" s="2" t="str">
        <f ca="1">IFERROR(__xludf.DUMMYFUNCTION("""COMPUTED_VALUE"""),"Saw 3D: The Final Chapter ")</f>
        <v>Saw 3D: The Final Chapter </v>
      </c>
      <c r="H2259" s="2">
        <v>25670855</v>
      </c>
    </row>
    <row r="2260" spans="7:8" x14ac:dyDescent="0.25">
      <c r="G2260" s="2" t="str">
        <f ca="1">IFERROR(__xludf.DUMMYFUNCTION("""COMPUTED_VALUE"""),"40 Days and 40 Nights ")</f>
        <v>40 Days and 40 Nights </v>
      </c>
      <c r="H2260" s="2">
        <v>20939782</v>
      </c>
    </row>
    <row r="2261" spans="7:8" x14ac:dyDescent="0.25">
      <c r="G2261" s="2" t="str">
        <f ca="1">IFERROR(__xludf.DUMMYFUNCTION("""COMPUTED_VALUE"""),"A Night at the Roxbury ")</f>
        <v>A Night at the Roxbury </v>
      </c>
      <c r="H2261" s="2">
        <v>13324946</v>
      </c>
    </row>
    <row r="2262" spans="7:8" x14ac:dyDescent="0.25">
      <c r="G2262" s="2" t="str">
        <f ca="1">IFERROR(__xludf.DUMMYFUNCTION("""COMPUTED_VALUE"""),"Beastly ")</f>
        <v>Beastly </v>
      </c>
      <c r="H2262" s="2">
        <v>10854896</v>
      </c>
    </row>
    <row r="2263" spans="7:8" x14ac:dyDescent="0.25">
      <c r="G2263" s="2" t="str">
        <f ca="1">IFERROR(__xludf.DUMMYFUNCTION("""COMPUTED_VALUE"""),"The Hills Have Eyes ")</f>
        <v>The Hills Have Eyes </v>
      </c>
      <c r="H2263" s="2">
        <v>26777564</v>
      </c>
    </row>
    <row r="2264" spans="7:8" x14ac:dyDescent="0.25">
      <c r="G2264" s="2" t="str">
        <f ca="1">IFERROR(__xludf.DUMMYFUNCTION("""COMPUTED_VALUE"""),"Dickie Roberts: Former Child Star ")</f>
        <v>Dickie Roberts: Former Child Star </v>
      </c>
      <c r="H2264" s="2">
        <v>5734486</v>
      </c>
    </row>
    <row r="2265" spans="7:8" x14ac:dyDescent="0.25">
      <c r="G2265" s="2" t="str">
        <f ca="1">IFERROR(__xludf.DUMMYFUNCTION("""COMPUTED_VALUE"""),"McFarland, USA ")</f>
        <v>McFarland, USA </v>
      </c>
      <c r="H2265" s="2">
        <v>27469602</v>
      </c>
    </row>
    <row r="2266" spans="7:8" x14ac:dyDescent="0.25">
      <c r="G2266" s="2" t="str">
        <f ca="1">IFERROR(__xludf.DUMMYFUNCTION("""COMPUTED_VALUE"""),"Pitch Perfect ")</f>
        <v>Pitch Perfect </v>
      </c>
      <c r="H2266" s="2">
        <v>47998368</v>
      </c>
    </row>
    <row r="2267" spans="7:8" x14ac:dyDescent="0.25">
      <c r="G2267" s="2" t="str">
        <f ca="1">IFERROR(__xludf.DUMMYFUNCTION("""COMPUTED_VALUE"""),"Summer Catch ")</f>
        <v>Summer Catch </v>
      </c>
      <c r="H2267" s="2">
        <v>-14306109</v>
      </c>
    </row>
    <row r="2268" spans="7:8" x14ac:dyDescent="0.25">
      <c r="G2268" s="2" t="str">
        <f ca="1">IFERROR(__xludf.DUMMYFUNCTION("""COMPUTED_VALUE"""),"A Simple Plan ")</f>
        <v>A Simple Plan </v>
      </c>
      <c r="H2268" s="2">
        <v>-688237</v>
      </c>
    </row>
    <row r="2269" spans="7:8" x14ac:dyDescent="0.25">
      <c r="G2269" s="2" t="str">
        <f ca="1">IFERROR(__xludf.DUMMYFUNCTION("""COMPUTED_VALUE"""),"They ")</f>
        <v>They </v>
      </c>
      <c r="H2269" s="2">
        <v>-4306379</v>
      </c>
    </row>
    <row r="2270" spans="7:8" x14ac:dyDescent="0.25">
      <c r="G2270" s="2" t="str">
        <f ca="1">IFERROR(__xludf.DUMMYFUNCTION("""COMPUTED_VALUE"""),"Larry the Cable Guy: Health Inspector ")</f>
        <v>Larry the Cable Guy: Health Inspector </v>
      </c>
      <c r="H2270" s="2">
        <v>11655665</v>
      </c>
    </row>
    <row r="2271" spans="7:8" x14ac:dyDescent="0.25">
      <c r="G2271" s="2" t="str">
        <f ca="1">IFERROR(__xludf.DUMMYFUNCTION("""COMPUTED_VALUE"""),"The Adventures of Elmo in Grouchland ")</f>
        <v>The Adventures of Elmo in Grouchland </v>
      </c>
      <c r="H2271" s="2">
        <v>-5365542</v>
      </c>
    </row>
    <row r="2272" spans="7:8" x14ac:dyDescent="0.25">
      <c r="G2272" s="2" t="str">
        <f ca="1">IFERROR(__xludf.DUMMYFUNCTION("""COMPUTED_VALUE"""),"Brooklyn's Finest ")</f>
        <v>Brooklyn's Finest </v>
      </c>
      <c r="H2272" s="2">
        <v>10154426</v>
      </c>
    </row>
    <row r="2273" spans="7:8" x14ac:dyDescent="0.25">
      <c r="G2273" s="2" t="str">
        <f ca="1">IFERROR(__xludf.DUMMYFUNCTION("""COMPUTED_VALUE"""),"Evil Dead ")</f>
        <v>Evil Dead </v>
      </c>
      <c r="H2273" s="2">
        <v>37239856</v>
      </c>
    </row>
    <row r="2274" spans="7:8" x14ac:dyDescent="0.25">
      <c r="G2274" s="2" t="str">
        <f ca="1">IFERROR(__xludf.DUMMYFUNCTION("""COMPUTED_VALUE"""),"My Life in Ruins ")</f>
        <v>My Life in Ruins </v>
      </c>
      <c r="H2274" s="2">
        <v>-8337682</v>
      </c>
    </row>
    <row r="2275" spans="7:8" x14ac:dyDescent="0.25">
      <c r="G2275" s="2" t="str">
        <f ca="1">IFERROR(__xludf.DUMMYFUNCTION("""COMPUTED_VALUE"""),"American Dreamz ")</f>
        <v>American Dreamz </v>
      </c>
      <c r="H2275" s="2">
        <v>-11843275</v>
      </c>
    </row>
    <row r="2276" spans="7:8" x14ac:dyDescent="0.25">
      <c r="G2276" s="2" t="str">
        <f ca="1">IFERROR(__xludf.DUMMYFUNCTION("""COMPUTED_VALUE"""),"Superman IV: The Quest for Peace ")</f>
        <v>Superman IV: The Quest for Peace </v>
      </c>
      <c r="H2276" s="2">
        <v>-1318980</v>
      </c>
    </row>
    <row r="2277" spans="7:8" x14ac:dyDescent="0.25">
      <c r="G2277" s="2" t="str">
        <f ca="1">IFERROR(__xludf.DUMMYFUNCTION("""COMPUTED_VALUE"""),"Running Scared ")</f>
        <v>Running Scared </v>
      </c>
      <c r="H2277" s="2">
        <v>-10144863</v>
      </c>
    </row>
    <row r="2278" spans="7:8" x14ac:dyDescent="0.25">
      <c r="G2278" s="2" t="str">
        <f ca="1">IFERROR(__xludf.DUMMYFUNCTION("""COMPUTED_VALUE"""),"Shanghai Surprise ")</f>
        <v>Shanghai Surprise </v>
      </c>
      <c r="H2278" s="2">
        <v>-14684317</v>
      </c>
    </row>
    <row r="2279" spans="7:8" x14ac:dyDescent="0.25">
      <c r="G2279" s="2" t="str">
        <f ca="1">IFERROR(__xludf.DUMMYFUNCTION("""COMPUTED_VALUE"""),"The Illusionist ")</f>
        <v>The Illusionist </v>
      </c>
      <c r="H2279" s="2">
        <v>23825798</v>
      </c>
    </row>
    <row r="2280" spans="7:8" x14ac:dyDescent="0.25">
      <c r="G2280" s="2" t="str">
        <f ca="1">IFERROR(__xludf.DUMMYFUNCTION("""COMPUTED_VALUE"""),"Roar ")</f>
        <v>Roar </v>
      </c>
      <c r="H2280" s="2">
        <v>-15000000</v>
      </c>
    </row>
    <row r="2281" spans="7:8" x14ac:dyDescent="0.25">
      <c r="G2281" s="2" t="str">
        <f ca="1">IFERROR(__xludf.DUMMYFUNCTION("""COMPUTED_VALUE"""),"Veronica Guerin ")</f>
        <v>Veronica Guerin </v>
      </c>
      <c r="H2281" s="2">
        <v>-15430082</v>
      </c>
    </row>
    <row r="2282" spans="7:8" x14ac:dyDescent="0.25">
      <c r="G2282" s="2" t="str">
        <f ca="1">IFERROR(__xludf.DUMMYFUNCTION("""COMPUTED_VALUE"""),"Escobar: Paradise Lost ")</f>
        <v>Escobar: Paradise Lost </v>
      </c>
      <c r="H2282" s="2">
        <v>-16893131</v>
      </c>
    </row>
    <row r="2283" spans="7:8" x14ac:dyDescent="0.25">
      <c r="G2283" s="2" t="str">
        <f ca="1">IFERROR(__xludf.DUMMYFUNCTION("""COMPUTED_VALUE"""),"Southland Tales ")</f>
        <v>Southland Tales </v>
      </c>
      <c r="H2283" s="2">
        <v>-16726580</v>
      </c>
    </row>
    <row r="2284" spans="7:8" x14ac:dyDescent="0.25">
      <c r="G2284" s="2" t="str">
        <f ca="1">IFERROR(__xludf.DUMMYFUNCTION("""COMPUTED_VALUE"""),"The Apparition ")</f>
        <v>The Apparition </v>
      </c>
      <c r="H2284" s="2">
        <v>-12069202</v>
      </c>
    </row>
    <row r="2285" spans="7:8" x14ac:dyDescent="0.25">
      <c r="G2285" s="2" t="str">
        <f ca="1">IFERROR(__xludf.DUMMYFUNCTION("""COMPUTED_VALUE"""),"My Girl ")</f>
        <v>My Girl </v>
      </c>
      <c r="H2285" s="2">
        <v>43347242</v>
      </c>
    </row>
    <row r="2286" spans="7:8" x14ac:dyDescent="0.25">
      <c r="G2286" s="2" t="str">
        <f ca="1">IFERROR(__xludf.DUMMYFUNCTION("""COMPUTED_VALUE"""),"Fur: An Imaginary Portrait of Diane Arbus ")</f>
        <v>Fur: An Imaginary Portrait of Diane Arbus </v>
      </c>
      <c r="H2286" s="2">
        <v>-16579086</v>
      </c>
    </row>
    <row r="2287" spans="7:8" x14ac:dyDescent="0.25">
      <c r="G2287" s="2" t="str">
        <f ca="1">IFERROR(__xludf.DUMMYFUNCTION("""COMPUTED_VALUE"""),"Wall Street ")</f>
        <v>Wall Street </v>
      </c>
      <c r="H2287" s="2">
        <v>28848100</v>
      </c>
    </row>
    <row r="2288" spans="7:8" x14ac:dyDescent="0.25">
      <c r="G2288" s="2" t="str">
        <f ca="1">IFERROR(__xludf.DUMMYFUNCTION("""COMPUTED_VALUE"""),"Sense and Sensibility ")</f>
        <v>Sense and Sensibility </v>
      </c>
      <c r="H2288" s="2">
        <v>26200000</v>
      </c>
    </row>
    <row r="2289" spans="7:8" x14ac:dyDescent="0.25">
      <c r="G2289" s="2" t="str">
        <f ca="1">IFERROR(__xludf.DUMMYFUNCTION("""COMPUTED_VALUE"""),"Becoming Jane ")</f>
        <v>Becoming Jane </v>
      </c>
      <c r="H2289" s="2">
        <v>2163911</v>
      </c>
    </row>
    <row r="2290" spans="7:8" x14ac:dyDescent="0.25">
      <c r="G2290" s="2" t="str">
        <f ca="1">IFERROR(__xludf.DUMMYFUNCTION("""COMPUTED_VALUE"""),"Sydney White ")</f>
        <v>Sydney White </v>
      </c>
      <c r="H2290" s="2">
        <v>-4797910</v>
      </c>
    </row>
    <row r="2291" spans="7:8" x14ac:dyDescent="0.25">
      <c r="G2291" s="2" t="str">
        <f ca="1">IFERROR(__xludf.DUMMYFUNCTION("""COMPUTED_VALUE"""),"House of Sand and Fog ")</f>
        <v>House of Sand and Fog </v>
      </c>
      <c r="H2291" s="2">
        <v>-1994515</v>
      </c>
    </row>
    <row r="2292" spans="7:8" x14ac:dyDescent="0.25">
      <c r="G2292" s="2" t="str">
        <f ca="1">IFERROR(__xludf.DUMMYFUNCTION("""COMPUTED_VALUE"""),"Dead Poets Society ")</f>
        <v>Dead Poets Society </v>
      </c>
      <c r="H2292" s="2">
        <v>79460116</v>
      </c>
    </row>
    <row r="2293" spans="7:8" x14ac:dyDescent="0.25">
      <c r="G2293" s="2" t="str">
        <f ca="1">IFERROR(__xludf.DUMMYFUNCTION("""COMPUTED_VALUE"""),"Dumb &amp; Dumber ")</f>
        <v>Dumb &amp; Dumber </v>
      </c>
      <c r="H2293" s="2">
        <v>111175354</v>
      </c>
    </row>
    <row r="2294" spans="7:8" x14ac:dyDescent="0.25">
      <c r="G2294" s="2" t="str">
        <f ca="1">IFERROR(__xludf.DUMMYFUNCTION("""COMPUTED_VALUE"""),"When Harry Met Sally... ")</f>
        <v>When Harry Met Sally... </v>
      </c>
      <c r="H2294" s="2">
        <v>76823600</v>
      </c>
    </row>
    <row r="2295" spans="7:8" x14ac:dyDescent="0.25">
      <c r="G2295" s="2" t="str">
        <f ca="1">IFERROR(__xludf.DUMMYFUNCTION("""COMPUTED_VALUE"""),"The Verdict ")</f>
        <v>The Verdict </v>
      </c>
      <c r="H2295" s="2">
        <v>38000000</v>
      </c>
    </row>
    <row r="2296" spans="7:8" x14ac:dyDescent="0.25">
      <c r="G2296" s="2" t="str">
        <f ca="1">IFERROR(__xludf.DUMMYFUNCTION("""COMPUTED_VALUE"""),"Road Trip ")</f>
        <v>Road Trip </v>
      </c>
      <c r="H2296" s="2">
        <v>52925609</v>
      </c>
    </row>
    <row r="2297" spans="7:8" x14ac:dyDescent="0.25">
      <c r="G2297" s="2" t="str">
        <f ca="1">IFERROR(__xludf.DUMMYFUNCTION("""COMPUTED_VALUE"""),"Varsity Blues ")</f>
        <v>Varsity Blues </v>
      </c>
      <c r="H2297" s="2">
        <v>36885587</v>
      </c>
    </row>
    <row r="2298" spans="7:8" x14ac:dyDescent="0.25">
      <c r="G2298" s="2" t="str">
        <f ca="1">IFERROR(__xludf.DUMMYFUNCTION("""COMPUTED_VALUE"""),"The Artist ")</f>
        <v>The Artist </v>
      </c>
      <c r="H2298" s="2">
        <v>29667095</v>
      </c>
    </row>
    <row r="2299" spans="7:8" x14ac:dyDescent="0.25">
      <c r="G2299" s="2" t="str">
        <f ca="1">IFERROR(__xludf.DUMMYFUNCTION("""COMPUTED_VALUE"""),"The Unborn ")</f>
        <v>The Unborn </v>
      </c>
      <c r="H2299" s="2">
        <v>26638165</v>
      </c>
    </row>
    <row r="2300" spans="7:8" x14ac:dyDescent="0.25">
      <c r="G2300" s="2" t="str">
        <f ca="1">IFERROR(__xludf.DUMMYFUNCTION("""COMPUTED_VALUE"""),"Moonrise Kingdom ")</f>
        <v>Moonrise Kingdom </v>
      </c>
      <c r="H2300" s="2">
        <v>29507053</v>
      </c>
    </row>
    <row r="2301" spans="7:8" x14ac:dyDescent="0.25">
      <c r="G2301" s="2" t="str">
        <f ca="1">IFERROR(__xludf.DUMMYFUNCTION("""COMPUTED_VALUE"""),"The Texas Chainsaw Massacre: The Beginning ")</f>
        <v>The Texas Chainsaw Massacre: The Beginning </v>
      </c>
      <c r="H2301" s="2">
        <v>23511038</v>
      </c>
    </row>
    <row r="2302" spans="7:8" x14ac:dyDescent="0.25">
      <c r="G2302" s="2" t="str">
        <f ca="1">IFERROR(__xludf.DUMMYFUNCTION("""COMPUTED_VALUE"""),"The Young Messiah ")</f>
        <v>The Young Messiah </v>
      </c>
      <c r="H2302" s="2">
        <v>-12037424</v>
      </c>
    </row>
    <row r="2303" spans="7:8" x14ac:dyDescent="0.25">
      <c r="G2303" s="2" t="str">
        <f ca="1">IFERROR(__xludf.DUMMYFUNCTION("""COMPUTED_VALUE"""),"The Master of Disguise ")</f>
        <v>The Master of Disguise </v>
      </c>
      <c r="H2303" s="2">
        <v>24363530</v>
      </c>
    </row>
    <row r="2304" spans="7:8" x14ac:dyDescent="0.25">
      <c r="G2304" s="2" t="str">
        <f ca="1">IFERROR(__xludf.DUMMYFUNCTION("""COMPUTED_VALUE"""),"Pan's Labyrinth ")</f>
        <v>Pan's Labyrinth </v>
      </c>
      <c r="H2304" s="2">
        <v>24123143</v>
      </c>
    </row>
    <row r="2305" spans="7:8" x14ac:dyDescent="0.25">
      <c r="G2305" s="2" t="str">
        <f ca="1">IFERROR(__xludf.DUMMYFUNCTION("""COMPUTED_VALUE"""),"See Spot Run ")</f>
        <v>See Spot Run </v>
      </c>
      <c r="H2305" s="2">
        <v>-1642524</v>
      </c>
    </row>
    <row r="2306" spans="7:8" x14ac:dyDescent="0.25">
      <c r="G2306" s="2" t="str">
        <f ca="1">IFERROR(__xludf.DUMMYFUNCTION("""COMPUTED_VALUE"""),"Baby Boy ")</f>
        <v>Baby Boy </v>
      </c>
      <c r="H2306" s="2">
        <v>12734552</v>
      </c>
    </row>
    <row r="2307" spans="7:8" x14ac:dyDescent="0.25">
      <c r="G2307" s="2" t="str">
        <f ca="1">IFERROR(__xludf.DUMMYFUNCTION("""COMPUTED_VALUE"""),"The Roommate ")</f>
        <v>The Roommate </v>
      </c>
      <c r="H2307" s="2">
        <v>21300107</v>
      </c>
    </row>
    <row r="2308" spans="7:8" x14ac:dyDescent="0.25">
      <c r="G2308" s="2" t="str">
        <f ca="1">IFERROR(__xludf.DUMMYFUNCTION("""COMPUTED_VALUE"""),"Joe Dirt ")</f>
        <v>Joe Dirt </v>
      </c>
      <c r="H2308" s="2">
        <v>9387695</v>
      </c>
    </row>
    <row r="2309" spans="7:8" x14ac:dyDescent="0.25">
      <c r="G2309" s="2" t="str">
        <f ca="1">IFERROR(__xludf.DUMMYFUNCTION("""COMPUTED_VALUE"""),"Double Impact ")</f>
        <v>Double Impact </v>
      </c>
      <c r="H2309" s="2">
        <v>15102717</v>
      </c>
    </row>
    <row r="2310" spans="7:8" x14ac:dyDescent="0.25">
      <c r="G2310" s="2" t="str">
        <f ca="1">IFERROR(__xludf.DUMMYFUNCTION("""COMPUTED_VALUE"""),"Hot Fuzz ")</f>
        <v>Hot Fuzz </v>
      </c>
      <c r="H2310" s="2">
        <v>15618786</v>
      </c>
    </row>
    <row r="2311" spans="7:8" x14ac:dyDescent="0.25">
      <c r="G2311" s="2" t="str">
        <f ca="1">IFERROR(__xludf.DUMMYFUNCTION("""COMPUTED_VALUE"""),"The Women ")</f>
        <v>The Women </v>
      </c>
      <c r="H2311" s="2">
        <v>10396744</v>
      </c>
    </row>
    <row r="2312" spans="7:8" x14ac:dyDescent="0.25">
      <c r="G2312" s="2" t="str">
        <f ca="1">IFERROR(__xludf.DUMMYFUNCTION("""COMPUTED_VALUE"""),"Vicky Cristina Barcelona ")</f>
        <v>Vicky Cristina Barcelona </v>
      </c>
      <c r="H2312" s="2">
        <v>7713577</v>
      </c>
    </row>
    <row r="2313" spans="7:8" x14ac:dyDescent="0.25">
      <c r="G2313" s="2" t="str">
        <f ca="1">IFERROR(__xludf.DUMMYFUNCTION("""COMPUTED_VALUE"""),"Boys and Girls ")</f>
        <v>Boys and Girls </v>
      </c>
      <c r="H2313" s="2">
        <v>4627372</v>
      </c>
    </row>
    <row r="2314" spans="7:8" x14ac:dyDescent="0.25">
      <c r="G2314" s="2" t="str">
        <f ca="1">IFERROR(__xludf.DUMMYFUNCTION("""COMPUTED_VALUE"""),"White Oleander ")</f>
        <v>White Oleander </v>
      </c>
      <c r="H2314" s="2">
        <v>346122</v>
      </c>
    </row>
    <row r="2315" spans="7:8" x14ac:dyDescent="0.25">
      <c r="G2315" s="2" t="str">
        <f ca="1">IFERROR(__xludf.DUMMYFUNCTION("""COMPUTED_VALUE"""),"Jennifer's Body ")</f>
        <v>Jennifer's Body </v>
      </c>
      <c r="H2315" s="2">
        <v>204793</v>
      </c>
    </row>
    <row r="2316" spans="7:8" x14ac:dyDescent="0.25">
      <c r="G2316" s="2" t="str">
        <f ca="1">IFERROR(__xludf.DUMMYFUNCTION("""COMPUTED_VALUE"""),"Drowning Mona ")</f>
        <v>Drowning Mona </v>
      </c>
      <c r="H2316" s="2">
        <v>-572808</v>
      </c>
    </row>
    <row r="2317" spans="7:8" x14ac:dyDescent="0.25">
      <c r="G2317" s="2" t="str">
        <f ca="1">IFERROR(__xludf.DUMMYFUNCTION("""COMPUTED_VALUE"""),"Radio Days ")</f>
        <v>Radio Days </v>
      </c>
      <c r="H2317" s="2">
        <v>-1207221</v>
      </c>
    </row>
    <row r="2318" spans="7:8" x14ac:dyDescent="0.25">
      <c r="G2318" s="2" t="str">
        <f ca="1">IFERROR(__xludf.DUMMYFUNCTION("""COMPUTED_VALUE"""),"Remember Me ")</f>
        <v>Remember Me </v>
      </c>
      <c r="H2318" s="2">
        <v>3057024</v>
      </c>
    </row>
    <row r="2319" spans="7:8" x14ac:dyDescent="0.25">
      <c r="G2319" s="2" t="str">
        <f ca="1">IFERROR(__xludf.DUMMYFUNCTION("""COMPUTED_VALUE"""),"How to Deal ")</f>
        <v>How to Deal </v>
      </c>
      <c r="H2319" s="2">
        <v>-1891482</v>
      </c>
    </row>
    <row r="2320" spans="7:8" x14ac:dyDescent="0.25">
      <c r="G2320" s="2" t="str">
        <f ca="1">IFERROR(__xludf.DUMMYFUNCTION("""COMPUTED_VALUE"""),"My Stepmother Is an Alien ")</f>
        <v>My Stepmother Is an Alien </v>
      </c>
      <c r="H2320" s="2">
        <v>-6146000</v>
      </c>
    </row>
    <row r="2321" spans="7:8" x14ac:dyDescent="0.25">
      <c r="G2321" s="2" t="str">
        <f ca="1">IFERROR(__xludf.DUMMYFUNCTION("""COMPUTED_VALUE"""),"Philadelphia ")</f>
        <v>Philadelphia </v>
      </c>
      <c r="H2321" s="2">
        <v>51324422</v>
      </c>
    </row>
    <row r="2322" spans="7:8" x14ac:dyDescent="0.25">
      <c r="G2322" s="2" t="str">
        <f ca="1">IFERROR(__xludf.DUMMYFUNCTION("""COMPUTED_VALUE"""),"The Thirteenth Floor ")</f>
        <v>The Thirteenth Floor </v>
      </c>
      <c r="H2322" s="2">
        <v>-500000</v>
      </c>
    </row>
    <row r="2323" spans="7:8" x14ac:dyDescent="0.25">
      <c r="G2323" s="2" t="str">
        <f ca="1">IFERROR(__xludf.DUMMYFUNCTION("""COMPUTED_VALUE"""),"Duets ")</f>
        <v>Duets </v>
      </c>
      <c r="H2323" s="2">
        <v>-10265765</v>
      </c>
    </row>
    <row r="2324" spans="7:8" x14ac:dyDescent="0.25">
      <c r="G2324" s="2" t="str">
        <f ca="1">IFERROR(__xludf.DUMMYFUNCTION("""COMPUTED_VALUE"""),"Hollywood Ending ")</f>
        <v>Hollywood Ending </v>
      </c>
      <c r="H2324" s="2">
        <v>-11160617</v>
      </c>
    </row>
    <row r="2325" spans="7:8" x14ac:dyDescent="0.25">
      <c r="G2325" s="2" t="str">
        <f ca="1">IFERROR(__xludf.DUMMYFUNCTION("""COMPUTED_VALUE"""),"Detroit Rock City ")</f>
        <v>Detroit Rock City </v>
      </c>
      <c r="H2325" s="2">
        <v>-10806975</v>
      </c>
    </row>
    <row r="2326" spans="7:8" x14ac:dyDescent="0.25">
      <c r="G2326" s="2" t="str">
        <f ca="1">IFERROR(__xludf.DUMMYFUNCTION("""COMPUTED_VALUE"""),"Highlander ")</f>
        <v>Highlander </v>
      </c>
      <c r="H2326" s="2">
        <v>-10100000</v>
      </c>
    </row>
    <row r="2327" spans="7:8" x14ac:dyDescent="0.25">
      <c r="G2327" s="2" t="str">
        <f ca="1">IFERROR(__xludf.DUMMYFUNCTION("""COMPUTED_VALUE"""),"Things We Lost in the Fire ")</f>
        <v>Things We Lost in the Fire </v>
      </c>
      <c r="H2327" s="2">
        <v>-13150858</v>
      </c>
    </row>
    <row r="2328" spans="7:8" x14ac:dyDescent="0.25">
      <c r="G2328" s="2" t="str">
        <f ca="1">IFERROR(__xludf.DUMMYFUNCTION("""COMPUTED_VALUE"""),"Steel ")</f>
        <v>Steel </v>
      </c>
      <c r="H2328" s="2">
        <v>-14313571</v>
      </c>
    </row>
    <row r="2329" spans="7:8" x14ac:dyDescent="0.25">
      <c r="G2329" s="2" t="str">
        <f ca="1">IFERROR(__xludf.DUMMYFUNCTION("""COMPUTED_VALUE"""),"The Immigrant ")</f>
        <v>The Immigrant </v>
      </c>
      <c r="H2329" s="2">
        <v>-14015257</v>
      </c>
    </row>
    <row r="2330" spans="7:8" x14ac:dyDescent="0.25">
      <c r="G2330" s="2" t="str">
        <f ca="1">IFERROR(__xludf.DUMMYFUNCTION("""COMPUTED_VALUE"""),"The White Countess ")</f>
        <v>The White Countess </v>
      </c>
      <c r="H2330" s="2">
        <v>-14333738</v>
      </c>
    </row>
    <row r="2331" spans="7:8" x14ac:dyDescent="0.25">
      <c r="G2331" s="2" t="str">
        <f ca="1">IFERROR(__xludf.DUMMYFUNCTION("""COMPUTED_VALUE"""),"Trance ")</f>
        <v>Trance </v>
      </c>
      <c r="H2331" s="2">
        <v>-17680813</v>
      </c>
    </row>
    <row r="2332" spans="7:8" x14ac:dyDescent="0.25">
      <c r="G2332" s="2" t="str">
        <f ca="1">IFERROR(__xludf.DUMMYFUNCTION("""COMPUTED_VALUE"""),"Soul Plane ")</f>
        <v>Soul Plane </v>
      </c>
      <c r="H2332" s="2">
        <v>-2077789</v>
      </c>
    </row>
    <row r="2333" spans="7:8" x14ac:dyDescent="0.25">
      <c r="G2333" s="2" t="str">
        <f ca="1">IFERROR(__xludf.DUMMYFUNCTION("""COMPUTED_VALUE"""),"Good ")</f>
        <v>Good </v>
      </c>
      <c r="H2333" s="2">
        <v>-14976909</v>
      </c>
    </row>
    <row r="2334" spans="7:8" x14ac:dyDescent="0.25">
      <c r="G2334" s="2" t="str">
        <f ca="1">IFERROR(__xludf.DUMMYFUNCTION("""COMPUTED_VALUE"""),"Enter the Void ")</f>
        <v>Enter the Void </v>
      </c>
      <c r="H2334" s="2">
        <v>-12663533</v>
      </c>
    </row>
    <row r="2335" spans="7:8" x14ac:dyDescent="0.25">
      <c r="G2335" s="2" t="str">
        <f ca="1">IFERROR(__xludf.DUMMYFUNCTION("""COMPUTED_VALUE"""),"Vamps ")</f>
        <v>Vamps </v>
      </c>
      <c r="H2335" s="2">
        <v>-15997036</v>
      </c>
    </row>
    <row r="2336" spans="7:8" x14ac:dyDescent="0.25">
      <c r="G2336" s="2" t="str">
        <f ca="1">IFERROR(__xludf.DUMMYFUNCTION("""COMPUTED_VALUE"""),"The Homesman ")</f>
        <v>The Homesman </v>
      </c>
      <c r="H2336" s="2">
        <v>-13571117</v>
      </c>
    </row>
    <row r="2337" spans="7:8" x14ac:dyDescent="0.25">
      <c r="G2337" s="2" t="str">
        <f ca="1">IFERROR(__xludf.DUMMYFUNCTION("""COMPUTED_VALUE"""),"Juwanna Mann ")</f>
        <v>Juwanna Mann </v>
      </c>
      <c r="H2337" s="2">
        <v>-2028183</v>
      </c>
    </row>
    <row r="2338" spans="7:8" x14ac:dyDescent="0.25">
      <c r="G2338" s="2" t="str">
        <f ca="1">IFERROR(__xludf.DUMMYFUNCTION("""COMPUTED_VALUE"""),"Slow Burn ")</f>
        <v>Slow Burn </v>
      </c>
      <c r="H2338" s="2">
        <v>-14318803</v>
      </c>
    </row>
    <row r="2339" spans="7:8" x14ac:dyDescent="0.25">
      <c r="G2339" s="2" t="str">
        <f ca="1">IFERROR(__xludf.DUMMYFUNCTION("""COMPUTED_VALUE"""),"Wasabi ")</f>
        <v>Wasabi </v>
      </c>
      <c r="H2339" s="2">
        <v>-15218475</v>
      </c>
    </row>
    <row r="2340" spans="7:8" x14ac:dyDescent="0.25">
      <c r="G2340" s="2" t="str">
        <f ca="1">IFERROR(__xludf.DUMMYFUNCTION("""COMPUTED_VALUE"""),"Slither ")</f>
        <v>Slither </v>
      </c>
      <c r="H2340" s="2">
        <v>-7725270</v>
      </c>
    </row>
    <row r="2341" spans="7:8" x14ac:dyDescent="0.25">
      <c r="G2341" s="2" t="str">
        <f ca="1">IFERROR(__xludf.DUMMYFUNCTION("""COMPUTED_VALUE"""),"Beverly Hills Cop ")</f>
        <v>Beverly Hills Cop </v>
      </c>
      <c r="H2341" s="2">
        <v>220760500</v>
      </c>
    </row>
    <row r="2342" spans="7:8" x14ac:dyDescent="0.25">
      <c r="G2342" s="2" t="str">
        <f ca="1">IFERROR(__xludf.DUMMYFUNCTION("""COMPUTED_VALUE"""),"Home Alone ")</f>
        <v>Home Alone </v>
      </c>
      <c r="H2342" s="2">
        <v>267761243</v>
      </c>
    </row>
    <row r="2343" spans="7:8" x14ac:dyDescent="0.25">
      <c r="G2343" s="2" t="str">
        <f ca="1">IFERROR(__xludf.DUMMYFUNCTION("""COMPUTED_VALUE"""),"3 Men and a Baby ")</f>
        <v>3 Men and a Baby </v>
      </c>
      <c r="H2343" s="2">
        <v>156780960</v>
      </c>
    </row>
    <row r="2344" spans="7:8" x14ac:dyDescent="0.25">
      <c r="G2344" s="2" t="str">
        <f ca="1">IFERROR(__xludf.DUMMYFUNCTION("""COMPUTED_VALUE"""),"Tootsie ")</f>
        <v>Tootsie </v>
      </c>
      <c r="H2344" s="2">
        <v>155200000</v>
      </c>
    </row>
    <row r="2345" spans="7:8" x14ac:dyDescent="0.25">
      <c r="G2345" s="2" t="str">
        <f ca="1">IFERROR(__xludf.DUMMYFUNCTION("""COMPUTED_VALUE"""),"Top Gun ")</f>
        <v>Top Gun </v>
      </c>
      <c r="H2345" s="2">
        <v>161781728</v>
      </c>
    </row>
    <row r="2346" spans="7:8" x14ac:dyDescent="0.25">
      <c r="G2346" s="2" t="str">
        <f ca="1">IFERROR(__xludf.DUMMYFUNCTION("""COMPUTED_VALUE"""),"Crouching Tiger, Hidden Dragon ")</f>
        <v>Crouching Tiger, Hidden Dragon </v>
      </c>
      <c r="H2346" s="2">
        <v>113067808</v>
      </c>
    </row>
    <row r="2347" spans="7:8" x14ac:dyDescent="0.25">
      <c r="G2347" s="2" t="str">
        <f ca="1">IFERROR(__xludf.DUMMYFUNCTION("""COMPUTED_VALUE"""),"American Beauty ")</f>
        <v>American Beauty </v>
      </c>
      <c r="H2347" s="2">
        <v>115058047</v>
      </c>
    </row>
    <row r="2348" spans="7:8" x14ac:dyDescent="0.25">
      <c r="G2348" s="2" t="str">
        <f ca="1">IFERROR(__xludf.DUMMYFUNCTION("""COMPUTED_VALUE"""),"The King's Speech ")</f>
        <v>The King's Speech </v>
      </c>
      <c r="H2348" s="2">
        <v>123795342</v>
      </c>
    </row>
    <row r="2349" spans="7:8" x14ac:dyDescent="0.25">
      <c r="G2349" s="2" t="str">
        <f ca="1">IFERROR(__xludf.DUMMYFUNCTION("""COMPUTED_VALUE"""),"Twins ")</f>
        <v>Twins </v>
      </c>
      <c r="H2349" s="2">
        <v>96936400</v>
      </c>
    </row>
    <row r="2350" spans="7:8" x14ac:dyDescent="0.25">
      <c r="G2350" s="2" t="str">
        <f ca="1">IFERROR(__xludf.DUMMYFUNCTION("""COMPUTED_VALUE"""),"The Yellow Handkerchief ")</f>
        <v>The Yellow Handkerchief </v>
      </c>
      <c r="H2350" s="2">
        <v>-15182960</v>
      </c>
    </row>
    <row r="2351" spans="7:8" x14ac:dyDescent="0.25">
      <c r="G2351" s="2" t="str">
        <f ca="1">IFERROR(__xludf.DUMMYFUNCTION("""COMPUTED_VALUE"""),"The Color Purple ")</f>
        <v>The Color Purple </v>
      </c>
      <c r="H2351" s="2">
        <v>79175854</v>
      </c>
    </row>
    <row r="2352" spans="7:8" x14ac:dyDescent="0.25">
      <c r="G2352" s="2" t="str">
        <f ca="1">IFERROR(__xludf.DUMMYFUNCTION("""COMPUTED_VALUE"""),"The Imitation Game ")</f>
        <v>The Imitation Game </v>
      </c>
      <c r="H2352" s="2">
        <v>77121452</v>
      </c>
    </row>
    <row r="2353" spans="7:8" x14ac:dyDescent="0.25">
      <c r="G2353" s="2" t="str">
        <f ca="1">IFERROR(__xludf.DUMMYFUNCTION("""COMPUTED_VALUE"""),"Private Benjamin ")</f>
        <v>Private Benjamin </v>
      </c>
      <c r="H2353" s="2">
        <v>59800000</v>
      </c>
    </row>
    <row r="2354" spans="7:8" x14ac:dyDescent="0.25">
      <c r="G2354" s="2" t="str">
        <f ca="1">IFERROR(__xludf.DUMMYFUNCTION("""COMPUTED_VALUE"""),"Diary of a Wimpy Kid ")</f>
        <v>Diary of a Wimpy Kid </v>
      </c>
      <c r="H2354" s="2">
        <v>49001297</v>
      </c>
    </row>
    <row r="2355" spans="7:8" x14ac:dyDescent="0.25">
      <c r="G2355" s="2" t="str">
        <f ca="1">IFERROR(__xludf.DUMMYFUNCTION("""COMPUTED_VALUE"""),"Mama ")</f>
        <v>Mama </v>
      </c>
      <c r="H2355" s="2">
        <v>51588220</v>
      </c>
    </row>
    <row r="2356" spans="7:8" x14ac:dyDescent="0.25">
      <c r="G2356" s="2" t="str">
        <f ca="1">IFERROR(__xludf.DUMMYFUNCTION("""COMPUTED_VALUE"""),"National Lampoon's Vacation ")</f>
        <v>National Lampoon's Vacation </v>
      </c>
      <c r="H2356" s="2">
        <v>46400000</v>
      </c>
    </row>
    <row r="2357" spans="7:8" x14ac:dyDescent="0.25">
      <c r="G2357" s="2" t="str">
        <f ca="1">IFERROR(__xludf.DUMMYFUNCTION("""COMPUTED_VALUE"""),"Bad Grandpa ")</f>
        <v>Bad Grandpa </v>
      </c>
      <c r="H2357" s="2">
        <v>86978840</v>
      </c>
    </row>
    <row r="2358" spans="7:8" x14ac:dyDescent="0.25">
      <c r="G2358" s="2" t="str">
        <f ca="1">IFERROR(__xludf.DUMMYFUNCTION("""COMPUTED_VALUE"""),"The Queen ")</f>
        <v>The Queen </v>
      </c>
      <c r="H2358" s="2">
        <v>46637947</v>
      </c>
    </row>
    <row r="2359" spans="7:8" x14ac:dyDescent="0.25">
      <c r="G2359" s="2" t="str">
        <f ca="1">IFERROR(__xludf.DUMMYFUNCTION("""COMPUTED_VALUE"""),"Beetlejuice ")</f>
        <v>Beetlejuice </v>
      </c>
      <c r="H2359" s="2">
        <v>58326666</v>
      </c>
    </row>
    <row r="2360" spans="7:8" x14ac:dyDescent="0.25">
      <c r="G2360" s="2" t="str">
        <f ca="1">IFERROR(__xludf.DUMMYFUNCTION("""COMPUTED_VALUE"""),"Why Did I Get Married? ")</f>
        <v>Why Did I Get Married? </v>
      </c>
      <c r="H2360" s="2">
        <v>40184721</v>
      </c>
    </row>
    <row r="2361" spans="7:8" x14ac:dyDescent="0.25">
      <c r="G2361" s="2" t="str">
        <f ca="1">IFERROR(__xludf.DUMMYFUNCTION("""COMPUTED_VALUE"""),"Little Women ")</f>
        <v>Little Women </v>
      </c>
      <c r="H2361" s="2">
        <v>35003300</v>
      </c>
    </row>
    <row r="2362" spans="7:8" x14ac:dyDescent="0.25">
      <c r="G2362" s="2" t="str">
        <f ca="1">IFERROR(__xludf.DUMMYFUNCTION("""COMPUTED_VALUE"""),"The Woman in Black ")</f>
        <v>The Woman in Black </v>
      </c>
      <c r="H2362" s="2">
        <v>37322273</v>
      </c>
    </row>
    <row r="2363" spans="7:8" x14ac:dyDescent="0.25">
      <c r="G2363" s="2" t="str">
        <f ca="1">IFERROR(__xludf.DUMMYFUNCTION("""COMPUTED_VALUE"""),"When a Stranger Calls ")</f>
        <v>When a Stranger Calls </v>
      </c>
      <c r="H2363" s="2">
        <v>32860214</v>
      </c>
    </row>
    <row r="2364" spans="7:8" x14ac:dyDescent="0.25">
      <c r="G2364" s="2" t="str">
        <f ca="1">IFERROR(__xludf.DUMMYFUNCTION("""COMPUTED_VALUE"""),"Big Fat Liar ")</f>
        <v>Big Fat Liar </v>
      </c>
      <c r="H2364" s="2">
        <v>32811275</v>
      </c>
    </row>
    <row r="2365" spans="7:8" x14ac:dyDescent="0.25">
      <c r="G2365" s="2" t="str">
        <f ca="1">IFERROR(__xludf.DUMMYFUNCTION("""COMPUTED_VALUE"""),"Wag the Dog ")</f>
        <v>Wag the Dog </v>
      </c>
      <c r="H2365" s="2">
        <v>28022524</v>
      </c>
    </row>
    <row r="2366" spans="7:8" x14ac:dyDescent="0.25">
      <c r="G2366" s="2" t="str">
        <f ca="1">IFERROR(__xludf.DUMMYFUNCTION("""COMPUTED_VALUE"""),"The Lizzie McGuire Movie ")</f>
        <v>The Lizzie McGuire Movie </v>
      </c>
      <c r="H2366" s="2">
        <v>25672630</v>
      </c>
    </row>
    <row r="2367" spans="7:8" x14ac:dyDescent="0.25">
      <c r="G2367" s="2" t="str">
        <f ca="1">IFERROR(__xludf.DUMMYFUNCTION("""COMPUTED_VALUE"""),"Snitch ")</f>
        <v>Snitch </v>
      </c>
      <c r="H2367" s="2">
        <v>27919096</v>
      </c>
    </row>
    <row r="2368" spans="7:8" x14ac:dyDescent="0.25">
      <c r="G2368" s="2" t="str">
        <f ca="1">IFERROR(__xludf.DUMMYFUNCTION("""COMPUTED_VALUE"""),"Krampus ")</f>
        <v>Krampus </v>
      </c>
      <c r="H2368" s="2">
        <v>27592530</v>
      </c>
    </row>
    <row r="2369" spans="7:8" x14ac:dyDescent="0.25">
      <c r="G2369" s="2" t="str">
        <f ca="1">IFERROR(__xludf.DUMMYFUNCTION("""COMPUTED_VALUE"""),"The Faculty ")</f>
        <v>The Faculty </v>
      </c>
      <c r="H2369" s="2">
        <v>25064955</v>
      </c>
    </row>
    <row r="2370" spans="7:8" x14ac:dyDescent="0.25">
      <c r="G2370" s="2" t="str">
        <f ca="1">IFERROR(__xludf.DUMMYFUNCTION("""COMPUTED_VALUE"""),"Cop Land ")</f>
        <v>Cop Land </v>
      </c>
      <c r="H2370" s="2">
        <v>34886089</v>
      </c>
    </row>
    <row r="2371" spans="7:8" x14ac:dyDescent="0.25">
      <c r="G2371" s="2" t="str">
        <f ca="1">IFERROR(__xludf.DUMMYFUNCTION("""COMPUTED_VALUE"""),"Not Another Teen Movie ")</f>
        <v>Not Another Teen Movie </v>
      </c>
      <c r="H2371" s="2">
        <v>21882551</v>
      </c>
    </row>
    <row r="2372" spans="7:8" x14ac:dyDescent="0.25">
      <c r="G2372" s="2" t="str">
        <f ca="1">IFERROR(__xludf.DUMMYFUNCTION("""COMPUTED_VALUE"""),"End of Watch ")</f>
        <v>End of Watch </v>
      </c>
      <c r="H2372" s="2">
        <v>33983001</v>
      </c>
    </row>
    <row r="2373" spans="7:8" x14ac:dyDescent="0.25">
      <c r="G2373" s="2" t="str">
        <f ca="1">IFERROR(__xludf.DUMMYFUNCTION("""COMPUTED_VALUE"""),"The Skulls ")</f>
        <v>The Skulls </v>
      </c>
      <c r="H2373" s="2">
        <v>20007180</v>
      </c>
    </row>
    <row r="2374" spans="7:8" x14ac:dyDescent="0.25">
      <c r="G2374" s="2" t="str">
        <f ca="1">IFERROR(__xludf.DUMMYFUNCTION("""COMPUTED_VALUE"""),"The Theory of Everything ")</f>
        <v>The Theory of Everything </v>
      </c>
      <c r="H2374" s="2">
        <v>20887263</v>
      </c>
    </row>
    <row r="2375" spans="7:8" x14ac:dyDescent="0.25">
      <c r="G2375" s="2" t="str">
        <f ca="1">IFERROR(__xludf.DUMMYFUNCTION("""COMPUTED_VALUE"""),"Malibu's Most Wanted ")</f>
        <v>Malibu's Most Wanted </v>
      </c>
      <c r="H2375" s="2">
        <v>18308901</v>
      </c>
    </row>
    <row r="2376" spans="7:8" x14ac:dyDescent="0.25">
      <c r="G2376" s="2" t="str">
        <f ca="1">IFERROR(__xludf.DUMMYFUNCTION("""COMPUTED_VALUE"""),"Where the Heart Is ")</f>
        <v>Where the Heart Is </v>
      </c>
      <c r="H2376" s="2">
        <v>18771174</v>
      </c>
    </row>
    <row r="2377" spans="7:8" x14ac:dyDescent="0.25">
      <c r="G2377" s="2" t="str">
        <f ca="1">IFERROR(__xludf.DUMMYFUNCTION("""COMPUTED_VALUE"""),"Lawrence of Arabia ")</f>
        <v>Lawrence of Arabia </v>
      </c>
      <c r="H2377" s="2">
        <v>-9000000</v>
      </c>
    </row>
    <row r="2378" spans="7:8" x14ac:dyDescent="0.25">
      <c r="G2378" s="2" t="str">
        <f ca="1">IFERROR(__xludf.DUMMYFUNCTION("""COMPUTED_VALUE"""),"Halloween II ")</f>
        <v>Halloween II </v>
      </c>
      <c r="H2378" s="2">
        <v>18386128</v>
      </c>
    </row>
    <row r="2379" spans="7:8" x14ac:dyDescent="0.25">
      <c r="G2379" s="2" t="str">
        <f ca="1">IFERROR(__xludf.DUMMYFUNCTION("""COMPUTED_VALUE"""),"Wild ")</f>
        <v>Wild </v>
      </c>
      <c r="H2379" s="2">
        <v>22877959</v>
      </c>
    </row>
    <row r="2380" spans="7:8" x14ac:dyDescent="0.25">
      <c r="G2380" s="2" t="str">
        <f ca="1">IFERROR(__xludf.DUMMYFUNCTION("""COMPUTED_VALUE"""),"The Last House on the Left ")</f>
        <v>The Last House on the Left </v>
      </c>
      <c r="H2380" s="2">
        <v>17721635</v>
      </c>
    </row>
    <row r="2381" spans="7:8" x14ac:dyDescent="0.25">
      <c r="G2381" s="2" t="str">
        <f ca="1">IFERROR(__xludf.DUMMYFUNCTION("""COMPUTED_VALUE"""),"The Wedding Date ")</f>
        <v>The Wedding Date </v>
      </c>
      <c r="H2381" s="2">
        <v>16585300</v>
      </c>
    </row>
    <row r="2382" spans="7:8" x14ac:dyDescent="0.25">
      <c r="G2382" s="2" t="str">
        <f ca="1">IFERROR(__xludf.DUMMYFUNCTION("""COMPUTED_VALUE"""),"Halloween: Resurrection ")</f>
        <v>Halloween: Resurrection </v>
      </c>
      <c r="H2382" s="2">
        <v>15259652</v>
      </c>
    </row>
    <row r="2383" spans="7:8" x14ac:dyDescent="0.25">
      <c r="G2383" s="2" t="str">
        <f ca="1">IFERROR(__xludf.DUMMYFUNCTION("""COMPUTED_VALUE"""),"The Princess Bride ")</f>
        <v>The Princess Bride </v>
      </c>
      <c r="H2383" s="2">
        <v>14857814</v>
      </c>
    </row>
    <row r="2384" spans="7:8" x14ac:dyDescent="0.25">
      <c r="G2384" s="2" t="str">
        <f ca="1">IFERROR(__xludf.DUMMYFUNCTION("""COMPUTED_VALUE"""),"The Great Debaters ")</f>
        <v>The Great Debaters </v>
      </c>
      <c r="H2384" s="2">
        <v>15226144</v>
      </c>
    </row>
    <row r="2385" spans="7:8" x14ac:dyDescent="0.25">
      <c r="G2385" s="2" t="str">
        <f ca="1">IFERROR(__xludf.DUMMYFUNCTION("""COMPUTED_VALUE"""),"Drive ")</f>
        <v>Drive </v>
      </c>
      <c r="H2385" s="2">
        <v>20054909</v>
      </c>
    </row>
    <row r="2386" spans="7:8" x14ac:dyDescent="0.25">
      <c r="G2386" s="2" t="str">
        <f ca="1">IFERROR(__xludf.DUMMYFUNCTION("""COMPUTED_VALUE"""),"Confessions of a Teenage Drama Queen ")</f>
        <v>Confessions of a Teenage Drama Queen </v>
      </c>
      <c r="H2386" s="2">
        <v>14302097</v>
      </c>
    </row>
    <row r="2387" spans="7:8" x14ac:dyDescent="0.25">
      <c r="G2387" s="2" t="str">
        <f ca="1">IFERROR(__xludf.DUMMYFUNCTION("""COMPUTED_VALUE"""),"The Object of My Affection ")</f>
        <v>The Object of My Affection </v>
      </c>
      <c r="H2387" s="2">
        <v>14106737</v>
      </c>
    </row>
    <row r="2388" spans="7:8" x14ac:dyDescent="0.25">
      <c r="G2388" s="2" t="str">
        <f ca="1">IFERROR(__xludf.DUMMYFUNCTION("""COMPUTED_VALUE"""),"28 Weeks Later ")</f>
        <v>28 Weeks Later </v>
      </c>
      <c r="H2388" s="2">
        <v>13637507</v>
      </c>
    </row>
    <row r="2389" spans="7:8" x14ac:dyDescent="0.25">
      <c r="G2389" s="2" t="str">
        <f ca="1">IFERROR(__xludf.DUMMYFUNCTION("""COMPUTED_VALUE"""),"When the Game Stands Tall ")</f>
        <v>When the Game Stands Tall </v>
      </c>
      <c r="H2389" s="2">
        <v>15127963</v>
      </c>
    </row>
    <row r="2390" spans="7:8" x14ac:dyDescent="0.25">
      <c r="G2390" s="2" t="str">
        <f ca="1">IFERROR(__xludf.DUMMYFUNCTION("""COMPUTED_VALUE"""),"Because of Winn-Dixie ")</f>
        <v>Because of Winn-Dixie </v>
      </c>
      <c r="H2390" s="2">
        <v>18645546</v>
      </c>
    </row>
    <row r="2391" spans="7:8" x14ac:dyDescent="0.25">
      <c r="G2391" s="2" t="str">
        <f ca="1">IFERROR(__xludf.DUMMYFUNCTION("""COMPUTED_VALUE"""),"Love &amp; Basketball ")</f>
        <v>Love &amp; Basketball </v>
      </c>
      <c r="H2391" s="2">
        <v>12441122</v>
      </c>
    </row>
    <row r="2392" spans="7:8" x14ac:dyDescent="0.25">
      <c r="G2392" s="2" t="str">
        <f ca="1">IFERROR(__xludf.DUMMYFUNCTION("""COMPUTED_VALUE"""),"Grosse Pointe Blank ")</f>
        <v>Grosse Pointe Blank </v>
      </c>
      <c r="H2392" s="2">
        <v>13014536</v>
      </c>
    </row>
    <row r="2393" spans="7:8" x14ac:dyDescent="0.25">
      <c r="G2393" s="2" t="str">
        <f ca="1">IFERROR(__xludf.DUMMYFUNCTION("""COMPUTED_VALUE"""),"All About Steve ")</f>
        <v>All About Steve </v>
      </c>
      <c r="H2393" s="2">
        <v>18860010</v>
      </c>
    </row>
    <row r="2394" spans="7:8" x14ac:dyDescent="0.25">
      <c r="G2394" s="2" t="str">
        <f ca="1">IFERROR(__xludf.DUMMYFUNCTION("""COMPUTED_VALUE"""),"Book of Shadows: Blair Witch 2 ")</f>
        <v>Book of Shadows: Blair Witch 2 </v>
      </c>
      <c r="H2394" s="2">
        <v>11421314</v>
      </c>
    </row>
    <row r="2395" spans="7:8" x14ac:dyDescent="0.25">
      <c r="G2395" s="2" t="str">
        <f ca="1">IFERROR(__xludf.DUMMYFUNCTION("""COMPUTED_VALUE"""),"The Craft ")</f>
        <v>The Craft </v>
      </c>
      <c r="H2395" s="2">
        <v>9881000</v>
      </c>
    </row>
    <row r="2396" spans="7:8" x14ac:dyDescent="0.25">
      <c r="G2396" s="2" t="str">
        <f ca="1">IFERROR(__xludf.DUMMYFUNCTION("""COMPUTED_VALUE"""),"Match Point ")</f>
        <v>Match Point </v>
      </c>
      <c r="H2396" s="2">
        <v>8089926</v>
      </c>
    </row>
    <row r="2397" spans="7:8" x14ac:dyDescent="0.25">
      <c r="G2397" s="2" t="str">
        <f ca="1">IFERROR(__xludf.DUMMYFUNCTION("""COMPUTED_VALUE"""),"Ramona and Beezus ")</f>
        <v>Ramona and Beezus </v>
      </c>
      <c r="H2397" s="2">
        <v>11161406</v>
      </c>
    </row>
    <row r="2398" spans="7:8" x14ac:dyDescent="0.25">
      <c r="G2398" s="2" t="str">
        <f ca="1">IFERROR(__xludf.DUMMYFUNCTION("""COMPUTED_VALUE"""),"The Remains of the Day ")</f>
        <v>The Remains of the Day </v>
      </c>
      <c r="H2398" s="2">
        <v>11454968</v>
      </c>
    </row>
    <row r="2399" spans="7:8" x14ac:dyDescent="0.25">
      <c r="G2399" s="2" t="str">
        <f ca="1">IFERROR(__xludf.DUMMYFUNCTION("""COMPUTED_VALUE"""),"Boogie Nights ")</f>
        <v>Boogie Nights </v>
      </c>
      <c r="H2399" s="2">
        <v>11384919</v>
      </c>
    </row>
    <row r="2400" spans="7:8" x14ac:dyDescent="0.25">
      <c r="G2400" s="2" t="str">
        <f ca="1">IFERROR(__xludf.DUMMYFUNCTION("""COMPUTED_VALUE"""),"Nowhere to Run ")</f>
        <v>Nowhere to Run </v>
      </c>
      <c r="H2400" s="2">
        <v>7189039</v>
      </c>
    </row>
    <row r="2401" spans="7:8" x14ac:dyDescent="0.25">
      <c r="G2401" s="2" t="str">
        <f ca="1">IFERROR(__xludf.DUMMYFUNCTION("""COMPUTED_VALUE"""),"Flicka ")</f>
        <v>Flicka </v>
      </c>
      <c r="H2401" s="2">
        <v>5998709</v>
      </c>
    </row>
    <row r="2402" spans="7:8" x14ac:dyDescent="0.25">
      <c r="G2402" s="2" t="str">
        <f ca="1">IFERROR(__xludf.DUMMYFUNCTION("""COMPUTED_VALUE"""),"The Hills Have Eyes II ")</f>
        <v>The Hills Have Eyes II </v>
      </c>
      <c r="H2402" s="2">
        <v>5801344</v>
      </c>
    </row>
    <row r="2403" spans="7:8" x14ac:dyDescent="0.25">
      <c r="G2403" s="2" t="str">
        <f ca="1">IFERROR(__xludf.DUMMYFUNCTION("""COMPUTED_VALUE"""),"Urban Legends: Final Cut ")</f>
        <v>Urban Legends: Final Cut </v>
      </c>
      <c r="H2403" s="2">
        <v>7468807</v>
      </c>
    </row>
    <row r="2404" spans="7:8" x14ac:dyDescent="0.25">
      <c r="G2404" s="2" t="str">
        <f ca="1">IFERROR(__xludf.DUMMYFUNCTION("""COMPUTED_VALUE"""),"Tuck Everlasting ")</f>
        <v>Tuck Everlasting </v>
      </c>
      <c r="H2404" s="2">
        <v>4158074</v>
      </c>
    </row>
    <row r="2405" spans="7:8" x14ac:dyDescent="0.25">
      <c r="G2405" s="2" t="str">
        <f ca="1">IFERROR(__xludf.DUMMYFUNCTION("""COMPUTED_VALUE"""),"The Marine ")</f>
        <v>The Marine </v>
      </c>
      <c r="H2405" s="2">
        <v>-1156686</v>
      </c>
    </row>
    <row r="2406" spans="7:8" x14ac:dyDescent="0.25">
      <c r="G2406" s="2" t="str">
        <f ca="1">IFERROR(__xludf.DUMMYFUNCTION("""COMPUTED_VALUE"""),"Keanu ")</f>
        <v>Keanu </v>
      </c>
      <c r="H2406" s="2">
        <v>5566327</v>
      </c>
    </row>
    <row r="2407" spans="7:8" x14ac:dyDescent="0.25">
      <c r="G2407" s="2" t="str">
        <f ca="1">IFERROR(__xludf.DUMMYFUNCTION("""COMPUTED_VALUE"""),"Country Strong ")</f>
        <v>Country Strong </v>
      </c>
      <c r="H2407" s="2">
        <v>5218921</v>
      </c>
    </row>
    <row r="2408" spans="7:8" x14ac:dyDescent="0.25">
      <c r="G2408" s="2" t="str">
        <f ca="1">IFERROR(__xludf.DUMMYFUNCTION("""COMPUTED_VALUE"""),"Disturbing Behavior ")</f>
        <v>Disturbing Behavior </v>
      </c>
      <c r="H2408" s="2">
        <v>2411331</v>
      </c>
    </row>
    <row r="2409" spans="7:8" x14ac:dyDescent="0.25">
      <c r="G2409" s="2" t="str">
        <f ca="1">IFERROR(__xludf.DUMMYFUNCTION("""COMPUTED_VALUE"""),"The Place Beyond the Pines ")</f>
        <v>The Place Beyond the Pines </v>
      </c>
      <c r="H2409" s="2">
        <v>6383298</v>
      </c>
    </row>
    <row r="2410" spans="7:8" x14ac:dyDescent="0.25">
      <c r="G2410" s="2" t="str">
        <f ca="1">IFERROR(__xludf.DUMMYFUNCTION("""COMPUTED_VALUE"""),"The November Man ")</f>
        <v>The November Man </v>
      </c>
      <c r="H2410" s="2">
        <v>9984868</v>
      </c>
    </row>
    <row r="2411" spans="7:8" x14ac:dyDescent="0.25">
      <c r="G2411" s="2" t="str">
        <f ca="1">IFERROR(__xludf.DUMMYFUNCTION("""COMPUTED_VALUE"""),"Eye of the Beholder ")</f>
        <v>Eye of the Beholder </v>
      </c>
      <c r="H2411" s="2">
        <v>1459004</v>
      </c>
    </row>
    <row r="2412" spans="7:8" x14ac:dyDescent="0.25">
      <c r="G2412" s="2" t="str">
        <f ca="1">IFERROR(__xludf.DUMMYFUNCTION("""COMPUTED_VALUE"""),"The Hurt Locker ")</f>
        <v>The Hurt Locker </v>
      </c>
      <c r="H2412" s="2">
        <v>700000</v>
      </c>
    </row>
    <row r="2413" spans="7:8" x14ac:dyDescent="0.25">
      <c r="G2413" s="2" t="str">
        <f ca="1">IFERROR(__xludf.DUMMYFUNCTION("""COMPUTED_VALUE"""),"Firestarter ")</f>
        <v>Firestarter </v>
      </c>
      <c r="H2413" s="2">
        <v>100000</v>
      </c>
    </row>
    <row r="2414" spans="7:8" x14ac:dyDescent="0.25">
      <c r="G2414" s="2" t="str">
        <f ca="1">IFERROR(__xludf.DUMMYFUNCTION("""COMPUTED_VALUE"""),"Killing Them Softly ")</f>
        <v>Killing Them Softly </v>
      </c>
      <c r="H2414" s="2">
        <v>-61430</v>
      </c>
    </row>
    <row r="2415" spans="7:8" x14ac:dyDescent="0.25">
      <c r="G2415" s="2" t="str">
        <f ca="1">IFERROR(__xludf.DUMMYFUNCTION("""COMPUTED_VALUE"""),"A Most Wanted Man ")</f>
        <v>A Most Wanted Man </v>
      </c>
      <c r="H2415" s="2">
        <v>2237244</v>
      </c>
    </row>
    <row r="2416" spans="7:8" x14ac:dyDescent="0.25">
      <c r="G2416" s="2" t="str">
        <f ca="1">IFERROR(__xludf.DUMMYFUNCTION("""COMPUTED_VALUE"""),"Freddy Got Fingered ")</f>
        <v>Freddy Got Fingered </v>
      </c>
      <c r="H2416" s="2">
        <v>-750995</v>
      </c>
    </row>
    <row r="2417" spans="7:8" x14ac:dyDescent="0.25">
      <c r="G2417" s="2" t="str">
        <f ca="1">IFERROR(__xludf.DUMMYFUNCTION("""COMPUTED_VALUE"""),"The Pirates Who Don't Do Anything: A VeggieTales Movie ")</f>
        <v>The Pirates Who Don't Do Anything: A VeggieTales Movie </v>
      </c>
      <c r="H2417" s="2">
        <v>-2298120</v>
      </c>
    </row>
    <row r="2418" spans="7:8" x14ac:dyDescent="0.25">
      <c r="G2418" s="2" t="str">
        <f ca="1">IFERROR(__xludf.DUMMYFUNCTION("""COMPUTED_VALUE"""),"Highlander: Endgame ")</f>
        <v>Highlander: Endgame </v>
      </c>
      <c r="H2418" s="2">
        <v>-2198810</v>
      </c>
    </row>
    <row r="2419" spans="7:8" x14ac:dyDescent="0.25">
      <c r="G2419" s="2" t="str">
        <f ca="1">IFERROR(__xludf.DUMMYFUNCTION("""COMPUTED_VALUE"""),"Idlewild ")</f>
        <v>Idlewild </v>
      </c>
      <c r="H2419" s="2">
        <v>-2450515</v>
      </c>
    </row>
    <row r="2420" spans="7:8" x14ac:dyDescent="0.25">
      <c r="G2420" s="2" t="str">
        <f ca="1">IFERROR(__xludf.DUMMYFUNCTION("""COMPUTED_VALUE"""),"One Day ")</f>
        <v>One Day </v>
      </c>
      <c r="H2420" s="2">
        <v>-1233986</v>
      </c>
    </row>
    <row r="2421" spans="7:8" x14ac:dyDescent="0.25">
      <c r="G2421" s="2" t="str">
        <f ca="1">IFERROR(__xludf.DUMMYFUNCTION("""COMPUTED_VALUE"""),"Whip It ")</f>
        <v>Whip It </v>
      </c>
      <c r="H2421" s="2">
        <v>-1965583</v>
      </c>
    </row>
    <row r="2422" spans="7:8" x14ac:dyDescent="0.25">
      <c r="G2422" s="2" t="str">
        <f ca="1">IFERROR(__xludf.DUMMYFUNCTION("""COMPUTED_VALUE"""),"Confidence ")</f>
        <v>Confidence </v>
      </c>
      <c r="H2422" s="2">
        <v>-2787583</v>
      </c>
    </row>
    <row r="2423" spans="7:8" x14ac:dyDescent="0.25">
      <c r="G2423" s="2" t="str">
        <f ca="1">IFERROR(__xludf.DUMMYFUNCTION("""COMPUTED_VALUE"""),"The Muse ")</f>
        <v>The Muse </v>
      </c>
      <c r="H2423" s="2">
        <v>-3385764</v>
      </c>
    </row>
    <row r="2424" spans="7:8" x14ac:dyDescent="0.25">
      <c r="G2424" s="2" t="str">
        <f ca="1">IFERROR(__xludf.DUMMYFUNCTION("""COMPUTED_VALUE"""),"De-Lovely ")</f>
        <v>De-Lovely </v>
      </c>
      <c r="H2424" s="2">
        <v>-6662701</v>
      </c>
    </row>
    <row r="2425" spans="7:8" x14ac:dyDescent="0.25">
      <c r="G2425" s="2" t="str">
        <f ca="1">IFERROR(__xludf.DUMMYFUNCTION("""COMPUTED_VALUE"""),"New York Stories ")</f>
        <v>New York Stories </v>
      </c>
      <c r="H2425" s="2">
        <v>-4236531</v>
      </c>
    </row>
    <row r="2426" spans="7:8" x14ac:dyDescent="0.25">
      <c r="G2426" s="2" t="str">
        <f ca="1">IFERROR(__xludf.DUMMYFUNCTION("""COMPUTED_VALUE"""),"Barney's Great Adventure ")</f>
        <v>Barney's Great Adventure </v>
      </c>
      <c r="H2426" s="2">
        <v>-3855482</v>
      </c>
    </row>
    <row r="2427" spans="7:8" x14ac:dyDescent="0.25">
      <c r="G2427" s="2" t="str">
        <f ca="1">IFERROR(__xludf.DUMMYFUNCTION("""COMPUTED_VALUE"""),"The Man with the Iron Fists ")</f>
        <v>The Man with the Iron Fists </v>
      </c>
      <c r="H2427" s="2">
        <v>608545</v>
      </c>
    </row>
    <row r="2428" spans="7:8" x14ac:dyDescent="0.25">
      <c r="G2428" s="2" t="str">
        <f ca="1">IFERROR(__xludf.DUMMYFUNCTION("""COMPUTED_VALUE"""),"Home Fries ")</f>
        <v>Home Fries </v>
      </c>
      <c r="H2428" s="2">
        <v>-4556684</v>
      </c>
    </row>
    <row r="2429" spans="7:8" x14ac:dyDescent="0.25">
      <c r="G2429" s="2" t="str">
        <f ca="1">IFERROR(__xludf.DUMMYFUNCTION("""COMPUTED_VALUE"""),"Here on Earth ")</f>
        <v>Here on Earth </v>
      </c>
      <c r="H2429" s="2">
        <v>-4505853</v>
      </c>
    </row>
    <row r="2430" spans="7:8" x14ac:dyDescent="0.25">
      <c r="G2430" s="2" t="str">
        <f ca="1">IFERROR(__xludf.DUMMYFUNCTION("""COMPUTED_VALUE"""),"Brazil ")</f>
        <v>Brazil </v>
      </c>
      <c r="H2430" s="2">
        <v>-5071000</v>
      </c>
    </row>
    <row r="2431" spans="7:8" x14ac:dyDescent="0.25">
      <c r="G2431" s="2" t="str">
        <f ca="1">IFERROR(__xludf.DUMMYFUNCTION("""COMPUTED_VALUE"""),"Raise Your Voice ")</f>
        <v>Raise Your Voice </v>
      </c>
      <c r="H2431" s="2">
        <v>-4588020</v>
      </c>
    </row>
    <row r="2432" spans="7:8" x14ac:dyDescent="0.25">
      <c r="G2432" s="2" t="str">
        <f ca="1">IFERROR(__xludf.DUMMYFUNCTION("""COMPUTED_VALUE"""),"The Big Lebowski ")</f>
        <v>The Big Lebowski </v>
      </c>
      <c r="H2432" s="2">
        <v>2439163</v>
      </c>
    </row>
    <row r="2433" spans="7:8" x14ac:dyDescent="0.25">
      <c r="G2433" s="2" t="str">
        <f ca="1">IFERROR(__xludf.DUMMYFUNCTION("""COMPUTED_VALUE"""),"Black Snake Moan ")</f>
        <v>Black Snake Moan </v>
      </c>
      <c r="H2433" s="2">
        <v>-5603513</v>
      </c>
    </row>
    <row r="2434" spans="7:8" x14ac:dyDescent="0.25">
      <c r="G2434" s="2" t="str">
        <f ca="1">IFERROR(__xludf.DUMMYFUNCTION("""COMPUTED_VALUE"""),"Dark Blue ")</f>
        <v>Dark Blue </v>
      </c>
      <c r="H2434" s="2">
        <v>-5940412</v>
      </c>
    </row>
    <row r="2435" spans="7:8" x14ac:dyDescent="0.25">
      <c r="G2435" s="2" t="str">
        <f ca="1">IFERROR(__xludf.DUMMYFUNCTION("""COMPUTED_VALUE"""),"A Mighty Heart ")</f>
        <v>A Mighty Heart </v>
      </c>
      <c r="H2435" s="2">
        <v>-6827190</v>
      </c>
    </row>
    <row r="2436" spans="7:8" x14ac:dyDescent="0.25">
      <c r="G2436" s="2" t="str">
        <f ca="1">IFERROR(__xludf.DUMMYFUNCTION("""COMPUTED_VALUE"""),"Whatever It Takes ")</f>
        <v>Whatever It Takes </v>
      </c>
      <c r="H2436" s="2">
        <v>-6264471</v>
      </c>
    </row>
    <row r="2437" spans="7:8" x14ac:dyDescent="0.25">
      <c r="G2437" s="2" t="str">
        <f ca="1">IFERROR(__xludf.DUMMYFUNCTION("""COMPUTED_VALUE"""),"Boat Trip ")</f>
        <v>Boat Trip </v>
      </c>
      <c r="H2437" s="2">
        <v>-11413624</v>
      </c>
    </row>
    <row r="2438" spans="7:8" x14ac:dyDescent="0.25">
      <c r="G2438" s="2" t="str">
        <f ca="1">IFERROR(__xludf.DUMMYFUNCTION("""COMPUTED_VALUE"""),"The Importance of Being Earnest ")</f>
        <v>The Importance of Being Earnest </v>
      </c>
      <c r="H2438" s="2">
        <v>-6621859</v>
      </c>
    </row>
    <row r="2439" spans="7:8" x14ac:dyDescent="0.25">
      <c r="G2439" s="2" t="str">
        <f ca="1">IFERROR(__xludf.DUMMYFUNCTION("""COMPUTED_VALUE"""),"Hoot ")</f>
        <v>Hoot </v>
      </c>
      <c r="H2439" s="2">
        <v>-6919884</v>
      </c>
    </row>
    <row r="2440" spans="7:8" x14ac:dyDescent="0.25">
      <c r="G2440" s="2" t="str">
        <f ca="1">IFERROR(__xludf.DUMMYFUNCTION("""COMPUTED_VALUE"""),"In Bruges ")</f>
        <v>In Bruges </v>
      </c>
      <c r="H2440" s="2">
        <v>-7242870</v>
      </c>
    </row>
    <row r="2441" spans="7:8" x14ac:dyDescent="0.25">
      <c r="G2441" s="2" t="str">
        <f ca="1">IFERROR(__xludf.DUMMYFUNCTION("""COMPUTED_VALUE"""),"Peeples ")</f>
        <v>Peeples </v>
      </c>
      <c r="H2441" s="2">
        <v>-5876166</v>
      </c>
    </row>
    <row r="2442" spans="7:8" x14ac:dyDescent="0.25">
      <c r="G2442" s="2" t="str">
        <f ca="1">IFERROR(__xludf.DUMMYFUNCTION("""COMPUTED_VALUE"""),"The Rocker ")</f>
        <v>The Rocker </v>
      </c>
      <c r="H2442" s="2">
        <v>-8590794</v>
      </c>
    </row>
    <row r="2443" spans="7:8" x14ac:dyDescent="0.25">
      <c r="G2443" s="2" t="str">
        <f ca="1">IFERROR(__xludf.DUMMYFUNCTION("""COMPUTED_VALUE"""),"Post Grad ")</f>
        <v>Post Grad </v>
      </c>
      <c r="H2443" s="2">
        <v>-8626307</v>
      </c>
    </row>
    <row r="2444" spans="7:8" x14ac:dyDescent="0.25">
      <c r="G2444" s="2" t="str">
        <f ca="1">IFERROR(__xludf.DUMMYFUNCTION("""COMPUTED_VALUE"""),"Promised Land ")</f>
        <v>Promised Land </v>
      </c>
      <c r="H2444" s="2">
        <v>-7443292</v>
      </c>
    </row>
    <row r="2445" spans="7:8" x14ac:dyDescent="0.25">
      <c r="G2445" s="2" t="str">
        <f ca="1">IFERROR(__xludf.DUMMYFUNCTION("""COMPUTED_VALUE"""),"Whatever Works ")</f>
        <v>Whatever Works </v>
      </c>
      <c r="H2445" s="2">
        <v>-9693553</v>
      </c>
    </row>
    <row r="2446" spans="7:8" x14ac:dyDescent="0.25">
      <c r="G2446" s="2" t="str">
        <f ca="1">IFERROR(__xludf.DUMMYFUNCTION("""COMPUTED_VALUE"""),"The In Crowd ")</f>
        <v>The In Crowd </v>
      </c>
      <c r="H2446" s="2">
        <v>-9782502</v>
      </c>
    </row>
    <row r="2447" spans="7:8" x14ac:dyDescent="0.25">
      <c r="G2447" s="2" t="str">
        <f ca="1">IFERROR(__xludf.DUMMYFUNCTION("""COMPUTED_VALUE"""),"Three Burials ")</f>
        <v>Three Burials </v>
      </c>
      <c r="H2447" s="2">
        <v>-9976725</v>
      </c>
    </row>
    <row r="2448" spans="7:8" x14ac:dyDescent="0.25">
      <c r="G2448" s="2" t="str">
        <f ca="1">IFERROR(__xludf.DUMMYFUNCTION("""COMPUTED_VALUE"""),"Jakob the Liar ")</f>
        <v>Jakob the Liar </v>
      </c>
      <c r="H2448" s="2">
        <v>-10043599</v>
      </c>
    </row>
    <row r="2449" spans="7:8" x14ac:dyDescent="0.25">
      <c r="G2449" s="2" t="str">
        <f ca="1">IFERROR(__xludf.DUMMYFUNCTION("""COMPUTED_VALUE"""),"Kiss Kiss Bang Bang ")</f>
        <v>Kiss Kiss Bang Bang </v>
      </c>
      <c r="H2449" s="2">
        <v>-10764163</v>
      </c>
    </row>
    <row r="2450" spans="7:8" x14ac:dyDescent="0.25">
      <c r="G2450" s="2" t="str">
        <f ca="1">IFERROR(__xludf.DUMMYFUNCTION("""COMPUTED_VALUE"""),"Idle Hands ")</f>
        <v>Idle Hands </v>
      </c>
      <c r="H2450" s="2">
        <v>-15997045</v>
      </c>
    </row>
    <row r="2451" spans="7:8" x14ac:dyDescent="0.25">
      <c r="G2451" s="2" t="str">
        <f ca="1">IFERROR(__xludf.DUMMYFUNCTION("""COMPUTED_VALUE"""),"Mulholland Drive ")</f>
        <v>Mulholland Drive </v>
      </c>
      <c r="H2451" s="2">
        <v>-7780422</v>
      </c>
    </row>
    <row r="2452" spans="7:8" x14ac:dyDescent="0.25">
      <c r="G2452" s="2" t="str">
        <f ca="1">IFERROR(__xludf.DUMMYFUNCTION("""COMPUTED_VALUE"""),"You Will Meet a Tall Dark Stranger ")</f>
        <v>You Will Meet a Tall Dark Stranger </v>
      </c>
      <c r="H2452" s="2">
        <v>-18752184</v>
      </c>
    </row>
    <row r="2453" spans="7:8" x14ac:dyDescent="0.25">
      <c r="G2453" s="2" t="str">
        <f ca="1">IFERROR(__xludf.DUMMYFUNCTION("""COMPUTED_VALUE"""),"Never Let Me Go ")</f>
        <v>Never Let Me Go </v>
      </c>
      <c r="H2453" s="2">
        <v>-12587955</v>
      </c>
    </row>
    <row r="2454" spans="7:8" x14ac:dyDescent="0.25">
      <c r="G2454" s="2" t="str">
        <f ca="1">IFERROR(__xludf.DUMMYFUNCTION("""COMPUTED_VALUE"""),"Transsiberian ")</f>
        <v>Transsiberian </v>
      </c>
      <c r="H2454" s="2">
        <v>-12796359</v>
      </c>
    </row>
    <row r="2455" spans="7:8" x14ac:dyDescent="0.25">
      <c r="G2455" s="2" t="str">
        <f ca="1">IFERROR(__xludf.DUMMYFUNCTION("""COMPUTED_VALUE"""),"The Clan of the Cave Bear ")</f>
        <v>The Clan of the Cave Bear </v>
      </c>
      <c r="H2455" s="2">
        <v>-13046268</v>
      </c>
    </row>
    <row r="2456" spans="7:8" x14ac:dyDescent="0.25">
      <c r="G2456" s="2" t="str">
        <f ca="1">IFERROR(__xludf.DUMMYFUNCTION("""COMPUTED_VALUE"""),"Crazy in Alabama ")</f>
        <v>Crazy in Alabama </v>
      </c>
      <c r="H2456" s="2">
        <v>-13045798</v>
      </c>
    </row>
    <row r="2457" spans="7:8" x14ac:dyDescent="0.25">
      <c r="G2457" s="2" t="str">
        <f ca="1">IFERROR(__xludf.DUMMYFUNCTION("""COMPUTED_VALUE"""),"Funny Games ")</f>
        <v>Funny Games </v>
      </c>
      <c r="H2457" s="2">
        <v>-13705360</v>
      </c>
    </row>
    <row r="2458" spans="7:8" x14ac:dyDescent="0.25">
      <c r="G2458" s="2" t="str">
        <f ca="1">IFERROR(__xludf.DUMMYFUNCTION("""COMPUTED_VALUE"""),"Metropolis ")</f>
        <v>Metropolis </v>
      </c>
      <c r="H2458" s="2">
        <v>-5973565</v>
      </c>
    </row>
    <row r="2459" spans="7:8" x14ac:dyDescent="0.25">
      <c r="G2459" s="2" t="str">
        <f ca="1">IFERROR(__xludf.DUMMYFUNCTION("""COMPUTED_VALUE"""),"District B13 ")</f>
        <v>District B13 </v>
      </c>
      <c r="H2459" s="2">
        <v>-10802214</v>
      </c>
    </row>
    <row r="2460" spans="7:8" x14ac:dyDescent="0.25">
      <c r="G2460" s="2" t="str">
        <f ca="1">IFERROR(__xludf.DUMMYFUNCTION("""COMPUTED_VALUE"""),"Things to Do in Denver When You're Dead ")</f>
        <v>Things to Do in Denver When You're Dead </v>
      </c>
      <c r="H2460" s="2">
        <v>-6470234</v>
      </c>
    </row>
    <row r="2461" spans="7:8" x14ac:dyDescent="0.25">
      <c r="G2461" s="2" t="str">
        <f ca="1">IFERROR(__xludf.DUMMYFUNCTION("""COMPUTED_VALUE"""),"The Assassin ")</f>
        <v>The Assassin </v>
      </c>
      <c r="H2461" s="2">
        <v>-14386444</v>
      </c>
    </row>
    <row r="2462" spans="7:8" x14ac:dyDescent="0.25">
      <c r="G2462" s="2" t="str">
        <f ca="1">IFERROR(__xludf.DUMMYFUNCTION("""COMPUTED_VALUE"""),"Buffalo Soldiers ")</f>
        <v>Buffalo Soldiers </v>
      </c>
      <c r="H2462" s="2">
        <v>-14646257</v>
      </c>
    </row>
    <row r="2463" spans="7:8" x14ac:dyDescent="0.25">
      <c r="G2463" s="2" t="str">
        <f ca="1">IFERROR(__xludf.DUMMYFUNCTION("""COMPUTED_VALUE"""),"Ong-bak 2 ")</f>
        <v>Ong-bak 2 </v>
      </c>
      <c r="H2463" s="2">
        <v>-299897945</v>
      </c>
    </row>
    <row r="2464" spans="7:8" x14ac:dyDescent="0.25">
      <c r="G2464" s="2" t="str">
        <f ca="1">IFERROR(__xludf.DUMMYFUNCTION("""COMPUTED_VALUE"""),"The Midnight Meat Train ")</f>
        <v>The Midnight Meat Train </v>
      </c>
      <c r="H2464" s="2">
        <v>-14926452</v>
      </c>
    </row>
    <row r="2465" spans="7:8" x14ac:dyDescent="0.25">
      <c r="G2465" s="2" t="str">
        <f ca="1">IFERROR(__xludf.DUMMYFUNCTION("""COMPUTED_VALUE"""),"The Son of No One ")</f>
        <v>The Son of No One </v>
      </c>
      <c r="H2465" s="2">
        <v>-14971130</v>
      </c>
    </row>
    <row r="2466" spans="7:8" x14ac:dyDescent="0.25">
      <c r="G2466" s="2" t="str">
        <f ca="1">IFERROR(__xludf.DUMMYFUNCTION("""COMPUTED_VALUE"""),"All the Queen's Men ")</f>
        <v>All the Queen's Men </v>
      </c>
      <c r="H2466" s="2">
        <v>-24977277</v>
      </c>
    </row>
    <row r="2467" spans="7:8" x14ac:dyDescent="0.25">
      <c r="G2467" s="2" t="str">
        <f ca="1">IFERROR(__xludf.DUMMYFUNCTION("""COMPUTED_VALUE"""),"The Good Night ")</f>
        <v>The Good Night </v>
      </c>
      <c r="H2467" s="2">
        <v>-14979620</v>
      </c>
    </row>
    <row r="2468" spans="7:8" x14ac:dyDescent="0.25">
      <c r="G2468" s="2" t="str">
        <f ca="1">IFERROR(__xludf.DUMMYFUNCTION("""COMPUTED_VALUE"""),"Groundhog Day ")</f>
        <v>Groundhog Day </v>
      </c>
      <c r="H2468" s="2">
        <v>56306973</v>
      </c>
    </row>
    <row r="2469" spans="7:8" x14ac:dyDescent="0.25">
      <c r="G2469" s="2" t="str">
        <f ca="1">IFERROR(__xludf.DUMMYFUNCTION("""COMPUTED_VALUE"""),"Magic Mike XXL ")</f>
        <v>Magic Mike XXL </v>
      </c>
      <c r="H2469" s="2">
        <v>51209973</v>
      </c>
    </row>
    <row r="2470" spans="7:8" x14ac:dyDescent="0.25">
      <c r="G2470" s="2" t="str">
        <f ca="1">IFERROR(__xludf.DUMMYFUNCTION("""COMPUTED_VALUE"""),"Romeo + Juliet ")</f>
        <v>Romeo + Juliet </v>
      </c>
      <c r="H2470" s="2">
        <v>31838728</v>
      </c>
    </row>
    <row r="2471" spans="7:8" x14ac:dyDescent="0.25">
      <c r="G2471" s="2" t="str">
        <f ca="1">IFERROR(__xludf.DUMMYFUNCTION("""COMPUTED_VALUE"""),"Sarah's Key ")</f>
        <v>Sarah's Key </v>
      </c>
      <c r="H2471" s="2">
        <v>-2308300</v>
      </c>
    </row>
    <row r="2472" spans="7:8" x14ac:dyDescent="0.25">
      <c r="G2472" s="2" t="str">
        <f ca="1">IFERROR(__xludf.DUMMYFUNCTION("""COMPUTED_VALUE"""),"Unforgiven ")</f>
        <v>Unforgiven </v>
      </c>
      <c r="H2472" s="2">
        <v>86757447</v>
      </c>
    </row>
    <row r="2473" spans="7:8" x14ac:dyDescent="0.25">
      <c r="G2473" s="2" t="str">
        <f ca="1">IFERROR(__xludf.DUMMYFUNCTION("""COMPUTED_VALUE"""),"Manderlay ")</f>
        <v>Manderlay </v>
      </c>
      <c r="H2473" s="2">
        <v>-14125795</v>
      </c>
    </row>
    <row r="2474" spans="7:8" x14ac:dyDescent="0.25">
      <c r="G2474" s="2" t="str">
        <f ca="1">IFERROR(__xludf.DUMMYFUNCTION("""COMPUTED_VALUE"""),"Slumdog Millionaire ")</f>
        <v>Slumdog Millionaire </v>
      </c>
      <c r="H2474" s="2">
        <v>126319195</v>
      </c>
    </row>
    <row r="2475" spans="7:8" x14ac:dyDescent="0.25">
      <c r="G2475" s="2" t="str">
        <f ca="1">IFERROR(__xludf.DUMMYFUNCTION("""COMPUTED_VALUE"""),"Fatal Attraction ")</f>
        <v>Fatal Attraction </v>
      </c>
      <c r="H2475" s="2">
        <v>142645693</v>
      </c>
    </row>
    <row r="2476" spans="7:8" x14ac:dyDescent="0.25">
      <c r="G2476" s="2" t="str">
        <f ca="1">IFERROR(__xludf.DUMMYFUNCTION("""COMPUTED_VALUE"""),"Pretty Woman ")</f>
        <v>Pretty Woman </v>
      </c>
      <c r="H2476" s="2">
        <v>164406268</v>
      </c>
    </row>
    <row r="2477" spans="7:8" x14ac:dyDescent="0.25">
      <c r="G2477" s="2" t="str">
        <f ca="1">IFERROR(__xludf.DUMMYFUNCTION("""COMPUTED_VALUE"""),"Crocodile Dundee II ")</f>
        <v>Crocodile Dundee II </v>
      </c>
      <c r="H2477" s="2">
        <v>93506210</v>
      </c>
    </row>
    <row r="2478" spans="7:8" x14ac:dyDescent="0.25">
      <c r="G2478" s="2" t="str">
        <f ca="1">IFERROR(__xludf.DUMMYFUNCTION("""COMPUTED_VALUE"""),"Born on the Fourth of July ")</f>
        <v>Born on the Fourth of July </v>
      </c>
      <c r="H2478" s="2">
        <v>56001698</v>
      </c>
    </row>
    <row r="2479" spans="7:8" x14ac:dyDescent="0.25">
      <c r="G2479" s="2" t="str">
        <f ca="1">IFERROR(__xludf.DUMMYFUNCTION("""COMPUTED_VALUE"""),"Cool Runnings ")</f>
        <v>Cool Runnings </v>
      </c>
      <c r="H2479" s="2">
        <v>53856263</v>
      </c>
    </row>
    <row r="2480" spans="7:8" x14ac:dyDescent="0.25">
      <c r="G2480" s="2" t="str">
        <f ca="1">IFERROR(__xludf.DUMMYFUNCTION("""COMPUTED_VALUE"""),"My Bloody Valentine ")</f>
        <v>My Bloody Valentine </v>
      </c>
      <c r="H2480" s="2">
        <v>36527787</v>
      </c>
    </row>
    <row r="2481" spans="7:8" x14ac:dyDescent="0.25">
      <c r="G2481" s="2" t="str">
        <f ca="1">IFERROR(__xludf.DUMMYFUNCTION("""COMPUTED_VALUE"""),"Stomp the Yard ")</f>
        <v>Stomp the Yard </v>
      </c>
      <c r="H2481" s="2">
        <v>47356221</v>
      </c>
    </row>
    <row r="2482" spans="7:8" x14ac:dyDescent="0.25">
      <c r="G2482" s="2" t="str">
        <f ca="1">IFERROR(__xludf.DUMMYFUNCTION("""COMPUTED_VALUE"""),"The Spy Who Loved Me ")</f>
        <v>The Spy Who Loved Me </v>
      </c>
      <c r="H2482" s="2">
        <v>32800000</v>
      </c>
    </row>
    <row r="2483" spans="7:8" x14ac:dyDescent="0.25">
      <c r="G2483" s="2" t="str">
        <f ca="1">IFERROR(__xludf.DUMMYFUNCTION("""COMPUTED_VALUE"""),"Urban Legend ")</f>
        <v>Urban Legend </v>
      </c>
      <c r="H2483" s="2">
        <v>24048637</v>
      </c>
    </row>
    <row r="2484" spans="7:8" x14ac:dyDescent="0.25">
      <c r="G2484" s="2" t="str">
        <f ca="1">IFERROR(__xludf.DUMMYFUNCTION("""COMPUTED_VALUE"""),"White Fang ")</f>
        <v>White Fang </v>
      </c>
      <c r="H2484" s="2">
        <v>20793160</v>
      </c>
    </row>
    <row r="2485" spans="7:8" x14ac:dyDescent="0.25">
      <c r="G2485" s="2" t="str">
        <f ca="1">IFERROR(__xludf.DUMMYFUNCTION("""COMPUTED_VALUE"""),"Superstar ")</f>
        <v>Superstar </v>
      </c>
      <c r="H2485" s="2">
        <v>16628981</v>
      </c>
    </row>
    <row r="2486" spans="7:8" x14ac:dyDescent="0.25">
      <c r="G2486" s="2" t="str">
        <f ca="1">IFERROR(__xludf.DUMMYFUNCTION("""COMPUTED_VALUE"""),"The Iron Lady ")</f>
        <v>The Iron Lady </v>
      </c>
      <c r="H2486" s="2">
        <v>16959436</v>
      </c>
    </row>
    <row r="2487" spans="7:8" x14ac:dyDescent="0.25">
      <c r="G2487" s="2" t="str">
        <f ca="1">IFERROR(__xludf.DUMMYFUNCTION("""COMPUTED_VALUE"""),"Jonah: A VeggieTales Movie ")</f>
        <v>Jonah: A VeggieTales Movie </v>
      </c>
      <c r="H2487" s="2">
        <v>11571351</v>
      </c>
    </row>
    <row r="2488" spans="7:8" x14ac:dyDescent="0.25">
      <c r="G2488" s="2" t="str">
        <f ca="1">IFERROR(__xludf.DUMMYFUNCTION("""COMPUTED_VALUE"""),"Poetic Justice ")</f>
        <v>Poetic Justice </v>
      </c>
      <c r="H2488" s="2">
        <v>13515786</v>
      </c>
    </row>
    <row r="2489" spans="7:8" x14ac:dyDescent="0.25">
      <c r="G2489" s="2" t="str">
        <f ca="1">IFERROR(__xludf.DUMMYFUNCTION("""COMPUTED_VALUE"""),"All About the Benjamins ")</f>
        <v>All About the Benjamins </v>
      </c>
      <c r="H2489" s="2">
        <v>11482931</v>
      </c>
    </row>
    <row r="2490" spans="7:8" x14ac:dyDescent="0.25">
      <c r="G2490" s="2" t="str">
        <f ca="1">IFERROR(__xludf.DUMMYFUNCTION("""COMPUTED_VALUE"""),"Vampire in Brooklyn ")</f>
        <v>Vampire in Brooklyn </v>
      </c>
      <c r="H2490" s="2">
        <v>-100000</v>
      </c>
    </row>
    <row r="2491" spans="7:8" x14ac:dyDescent="0.25">
      <c r="G2491" s="2" t="str">
        <f ca="1">IFERROR(__xludf.DUMMYFUNCTION("""COMPUTED_VALUE"""),"An American Haunting ")</f>
        <v>An American Haunting </v>
      </c>
      <c r="H2491" s="2">
        <v>2298046</v>
      </c>
    </row>
    <row r="2492" spans="7:8" x14ac:dyDescent="0.25">
      <c r="G2492" s="2" t="str">
        <f ca="1">IFERROR(__xludf.DUMMYFUNCTION("""COMPUTED_VALUE"""),"My Boss's Daughter ")</f>
        <v>My Boss's Daughter </v>
      </c>
      <c r="H2492" s="2">
        <v>1549702</v>
      </c>
    </row>
    <row r="2493" spans="7:8" x14ac:dyDescent="0.25">
      <c r="G2493" s="2" t="str">
        <f ca="1">IFERROR(__xludf.DUMMYFUNCTION("""COMPUTED_VALUE"""),"A Perfect Getaway ")</f>
        <v>A Perfect Getaway </v>
      </c>
      <c r="H2493" s="2">
        <v>1483540</v>
      </c>
    </row>
    <row r="2494" spans="7:8" x14ac:dyDescent="0.25">
      <c r="G2494" s="2" t="str">
        <f ca="1">IFERROR(__xludf.DUMMYFUNCTION("""COMPUTED_VALUE"""),"Our Family Wedding ")</f>
        <v>Our Family Wedding </v>
      </c>
      <c r="H2494" s="2">
        <v>6246959</v>
      </c>
    </row>
    <row r="2495" spans="7:8" x14ac:dyDescent="0.25">
      <c r="G2495" s="2" t="str">
        <f ca="1">IFERROR(__xludf.DUMMYFUNCTION("""COMPUTED_VALUE"""),"Dead Man on Campus ")</f>
        <v>Dead Man on Campus </v>
      </c>
      <c r="H2495" s="2">
        <v>1062898</v>
      </c>
    </row>
    <row r="2496" spans="7:8" x14ac:dyDescent="0.25">
      <c r="G2496" s="2" t="str">
        <f ca="1">IFERROR(__xludf.DUMMYFUNCTION("""COMPUTED_VALUE"""),"Tea with Mussolini ")</f>
        <v>Tea with Mussolini </v>
      </c>
      <c r="H2496" s="2">
        <v>2348123</v>
      </c>
    </row>
    <row r="2497" spans="7:8" x14ac:dyDescent="0.25">
      <c r="G2497" s="2" t="str">
        <f ca="1">IFERROR(__xludf.DUMMYFUNCTION("""COMPUTED_VALUE"""),"Thinner ")</f>
        <v>Thinner </v>
      </c>
      <c r="H2497" s="2">
        <v>6671475</v>
      </c>
    </row>
    <row r="2498" spans="7:8" x14ac:dyDescent="0.25">
      <c r="G2498" s="2" t="str">
        <f ca="1">IFERROR(__xludf.DUMMYFUNCTION("""COMPUTED_VALUE"""),"Crooklyn ")</f>
        <v>Crooklyn </v>
      </c>
      <c r="H2498" s="2">
        <v>-360000</v>
      </c>
    </row>
    <row r="2499" spans="7:8" x14ac:dyDescent="0.25">
      <c r="G2499" s="2" t="str">
        <f ca="1">IFERROR(__xludf.DUMMYFUNCTION("""COMPUTED_VALUE"""),"Jason X ")</f>
        <v>Jason X </v>
      </c>
      <c r="H2499" s="2">
        <v>1610731</v>
      </c>
    </row>
    <row r="2500" spans="7:8" x14ac:dyDescent="0.25">
      <c r="G2500" s="2" t="str">
        <f ca="1">IFERROR(__xludf.DUMMYFUNCTION("""COMPUTED_VALUE"""),"Bobby ")</f>
        <v>Bobby </v>
      </c>
      <c r="H2500" s="2">
        <v>-2795501</v>
      </c>
    </row>
    <row r="2501" spans="7:8" x14ac:dyDescent="0.25">
      <c r="G2501" s="2" t="str">
        <f ca="1">IFERROR(__xludf.DUMMYFUNCTION("""COMPUTED_VALUE"""),"Head Over Heels ")</f>
        <v>Head Over Heels </v>
      </c>
      <c r="H2501" s="2">
        <v>-3602635</v>
      </c>
    </row>
    <row r="2502" spans="7:8" x14ac:dyDescent="0.25">
      <c r="G2502" s="2" t="str">
        <f ca="1">IFERROR(__xludf.DUMMYFUNCTION("""COMPUTED_VALUE"""),"Fun Size ")</f>
        <v>Fun Size </v>
      </c>
      <c r="H2502" s="2">
        <v>-4597590</v>
      </c>
    </row>
    <row r="2503" spans="7:8" x14ac:dyDescent="0.25">
      <c r="G2503" s="2" t="str">
        <f ca="1">IFERROR(__xludf.DUMMYFUNCTION("""COMPUTED_VALUE"""),"Little Children ")</f>
        <v>Little Children </v>
      </c>
      <c r="H2503" s="2">
        <v>-20540176</v>
      </c>
    </row>
    <row r="2504" spans="7:8" x14ac:dyDescent="0.25">
      <c r="G2504" s="2" t="str">
        <f ca="1">IFERROR(__xludf.DUMMYFUNCTION("""COMPUTED_VALUE"""),"Gossip ")</f>
        <v>Gossip </v>
      </c>
      <c r="H2504" s="2">
        <v>-18891180</v>
      </c>
    </row>
    <row r="2505" spans="7:8" x14ac:dyDescent="0.25">
      <c r="G2505" s="2" t="str">
        <f ca="1">IFERROR(__xludf.DUMMYFUNCTION("""COMPUTED_VALUE"""),"A Walk on the Moon ")</f>
        <v>A Walk on the Moon </v>
      </c>
      <c r="H2505" s="2">
        <v>-9258013</v>
      </c>
    </row>
    <row r="2506" spans="7:8" x14ac:dyDescent="0.25">
      <c r="G2506" s="2" t="str">
        <f ca="1">IFERROR(__xludf.DUMMYFUNCTION("""COMPUTED_VALUE"""),"Catch a Fire ")</f>
        <v>Catch a Fire </v>
      </c>
      <c r="H2506" s="2">
        <v>-9708035</v>
      </c>
    </row>
    <row r="2507" spans="7:8" x14ac:dyDescent="0.25">
      <c r="G2507" s="2" t="str">
        <f ca="1">IFERROR(__xludf.DUMMYFUNCTION("""COMPUTED_VALUE"""),"Soul Survivors ")</f>
        <v>Soul Survivors </v>
      </c>
      <c r="H2507" s="2">
        <v>-10899350</v>
      </c>
    </row>
    <row r="2508" spans="7:8" x14ac:dyDescent="0.25">
      <c r="G2508" s="2" t="str">
        <f ca="1">IFERROR(__xludf.DUMMYFUNCTION("""COMPUTED_VALUE"""),"Jefferson in Paris ")</f>
        <v>Jefferson in Paris </v>
      </c>
      <c r="H2508" s="2">
        <v>-11526000</v>
      </c>
    </row>
    <row r="2509" spans="7:8" x14ac:dyDescent="0.25">
      <c r="G2509" s="2" t="str">
        <f ca="1">IFERROR(__xludf.DUMMYFUNCTION("""COMPUTED_VALUE"""),"Caravans ")</f>
        <v>Caravans </v>
      </c>
      <c r="H2509" s="2">
        <v>-13000000</v>
      </c>
    </row>
    <row r="2510" spans="7:8" x14ac:dyDescent="0.25">
      <c r="G2510" s="2" t="str">
        <f ca="1">IFERROR(__xludf.DUMMYFUNCTION("""COMPUTED_VALUE"""),"Mr. Turner ")</f>
        <v>Mr. Turner </v>
      </c>
      <c r="H2510" s="2">
        <v>-4241500</v>
      </c>
    </row>
    <row r="2511" spans="7:8" x14ac:dyDescent="0.25">
      <c r="G2511" s="2" t="str">
        <f ca="1">IFERROR(__xludf.DUMMYFUNCTION("""COMPUTED_VALUE"""),"Amen. ")</f>
        <v>Amen. </v>
      </c>
      <c r="H2511" s="2">
        <v>-102725701</v>
      </c>
    </row>
    <row r="2512" spans="7:8" x14ac:dyDescent="0.25">
      <c r="G2512" s="2" t="str">
        <f ca="1">IFERROR(__xludf.DUMMYFUNCTION("""COMPUTED_VALUE"""),"The Lucky Ones ")</f>
        <v>The Lucky Ones </v>
      </c>
      <c r="H2512" s="2">
        <v>-14816912</v>
      </c>
    </row>
    <row r="2513" spans="7:8" x14ac:dyDescent="0.25">
      <c r="G2513" s="2" t="str">
        <f ca="1">IFERROR(__xludf.DUMMYFUNCTION("""COMPUTED_VALUE"""),"Margaret ")</f>
        <v>Margaret </v>
      </c>
      <c r="H2513" s="2">
        <v>-13953505</v>
      </c>
    </row>
    <row r="2514" spans="7:8" x14ac:dyDescent="0.25">
      <c r="G2514" s="2" t="str">
        <f ca="1">IFERROR(__xludf.DUMMYFUNCTION("""COMPUTED_VALUE"""),"Flipped ")</f>
        <v>Flipped </v>
      </c>
      <c r="H2514" s="2">
        <v>-12247786</v>
      </c>
    </row>
    <row r="2515" spans="7:8" x14ac:dyDescent="0.25">
      <c r="G2515" s="2" t="str">
        <f ca="1">IFERROR(__xludf.DUMMYFUNCTION("""COMPUTED_VALUE"""),"Brokeback Mountain ")</f>
        <v>Brokeback Mountain </v>
      </c>
      <c r="H2515" s="2">
        <v>69025853</v>
      </c>
    </row>
    <row r="2516" spans="7:8" x14ac:dyDescent="0.25">
      <c r="G2516" s="2" t="str">
        <f ca="1">IFERROR(__xludf.DUMMYFUNCTION("""COMPUTED_VALUE"""),"Clueless ")</f>
        <v>Clueless </v>
      </c>
      <c r="H2516" s="2">
        <v>44631572</v>
      </c>
    </row>
    <row r="2517" spans="7:8" x14ac:dyDescent="0.25">
      <c r="G2517" s="2" t="str">
        <f ca="1">IFERROR(__xludf.DUMMYFUNCTION("""COMPUTED_VALUE"""),"Far from Heaven ")</f>
        <v>Far from Heaven </v>
      </c>
      <c r="H2517" s="2">
        <v>2354988</v>
      </c>
    </row>
    <row r="2518" spans="7:8" x14ac:dyDescent="0.25">
      <c r="G2518" s="2" t="str">
        <f ca="1">IFERROR(__xludf.DUMMYFUNCTION("""COMPUTED_VALUE"""),"Hot Tub Time Machine 2 ")</f>
        <v>Hot Tub Time Machine 2 </v>
      </c>
      <c r="H2518" s="2">
        <v>-1717323</v>
      </c>
    </row>
    <row r="2519" spans="7:8" x14ac:dyDescent="0.25">
      <c r="G2519" s="2" t="str">
        <f ca="1">IFERROR(__xludf.DUMMYFUNCTION("""COMPUTED_VALUE"""),"Quills ")</f>
        <v>Quills </v>
      </c>
      <c r="H2519" s="2">
        <v>-6439124</v>
      </c>
    </row>
    <row r="2520" spans="7:8" x14ac:dyDescent="0.25">
      <c r="G2520" s="2" t="str">
        <f ca="1">IFERROR(__xludf.DUMMYFUNCTION("""COMPUTED_VALUE"""),"Seven Psychopaths ")</f>
        <v>Seven Psychopaths </v>
      </c>
      <c r="H2520" s="2">
        <v>-10239</v>
      </c>
    </row>
    <row r="2521" spans="7:8" x14ac:dyDescent="0.25">
      <c r="G2521" s="2" t="str">
        <f ca="1">IFERROR(__xludf.DUMMYFUNCTION("""COMPUTED_VALUE"""),"Downfall ")</f>
        <v>Downfall </v>
      </c>
      <c r="H2521" s="2">
        <v>-7998060</v>
      </c>
    </row>
    <row r="2522" spans="7:8" x14ac:dyDescent="0.25">
      <c r="G2522" s="2" t="str">
        <f ca="1">IFERROR(__xludf.DUMMYFUNCTION("""COMPUTED_VALUE"""),"The Sea Inside ")</f>
        <v>The Sea Inside </v>
      </c>
      <c r="H2522" s="2">
        <v>-7913655</v>
      </c>
    </row>
    <row r="2523" spans="7:8" x14ac:dyDescent="0.25">
      <c r="G2523" s="2" t="str">
        <f ca="1">IFERROR(__xludf.DUMMYFUNCTION("""COMPUTED_VALUE"""),"Good Morning, Vietnam ")</f>
        <v>Good Morning, Vietnam </v>
      </c>
      <c r="H2523" s="2">
        <v>110922370</v>
      </c>
    </row>
    <row r="2524" spans="7:8" x14ac:dyDescent="0.25">
      <c r="G2524" s="2" t="str">
        <f ca="1">IFERROR(__xludf.DUMMYFUNCTION("""COMPUTED_VALUE"""),"The Last Godfather ")</f>
        <v>The Last Godfather </v>
      </c>
      <c r="H2524" s="2">
        <v>-13236409</v>
      </c>
    </row>
    <row r="2525" spans="7:8" x14ac:dyDescent="0.25">
      <c r="G2525" s="2" t="str">
        <f ca="1">IFERROR(__xludf.DUMMYFUNCTION("""COMPUTED_VALUE"""),"Justin Bieber: Never Say Never ")</f>
        <v>Justin Bieber: Never Say Never </v>
      </c>
      <c r="H2525" s="2">
        <v>60000942</v>
      </c>
    </row>
    <row r="2526" spans="7:8" x14ac:dyDescent="0.25">
      <c r="G2526" s="2" t="str">
        <f ca="1">IFERROR(__xludf.DUMMYFUNCTION("""COMPUTED_VALUE"""),"Black Swan ")</f>
        <v>Black Swan </v>
      </c>
      <c r="H2526" s="2">
        <v>93952327</v>
      </c>
    </row>
    <row r="2527" spans="7:8" x14ac:dyDescent="0.25">
      <c r="G2527" s="2" t="str">
        <f ca="1">IFERROR(__xludf.DUMMYFUNCTION("""COMPUTED_VALUE"""),"The Godfather: Part II ")</f>
        <v>The Godfather: Part II </v>
      </c>
      <c r="H2527" s="2">
        <v>44300000</v>
      </c>
    </row>
    <row r="2528" spans="7:8" x14ac:dyDescent="0.25">
      <c r="G2528" s="2" t="str">
        <f ca="1">IFERROR(__xludf.DUMMYFUNCTION("""COMPUTED_VALUE"""),"Save the Last Dance ")</f>
        <v>Save the Last Dance </v>
      </c>
      <c r="H2528" s="2">
        <v>78038276</v>
      </c>
    </row>
    <row r="2529" spans="7:8" x14ac:dyDescent="0.25">
      <c r="G2529" s="2" t="str">
        <f ca="1">IFERROR(__xludf.DUMMYFUNCTION("""COMPUTED_VALUE"""),"A Nightmare on Elm Street 4: The Dream Master ")</f>
        <v>A Nightmare on Elm Street 4: The Dream Master </v>
      </c>
      <c r="H2529" s="2">
        <v>42369900</v>
      </c>
    </row>
    <row r="2530" spans="7:8" x14ac:dyDescent="0.25">
      <c r="G2530" s="2" t="str">
        <f ca="1">IFERROR(__xludf.DUMMYFUNCTION("""COMPUTED_VALUE"""),"Miracles from Heaven ")</f>
        <v>Miracles from Heaven </v>
      </c>
      <c r="H2530" s="2">
        <v>48693523</v>
      </c>
    </row>
    <row r="2531" spans="7:8" x14ac:dyDescent="0.25">
      <c r="G2531" s="2" t="str">
        <f ca="1">IFERROR(__xludf.DUMMYFUNCTION("""COMPUTED_VALUE"""),"Dude, Where's My Car? ")</f>
        <v>Dude, Where's My Car? </v>
      </c>
      <c r="H2531" s="2">
        <v>33729374</v>
      </c>
    </row>
    <row r="2532" spans="7:8" x14ac:dyDescent="0.25">
      <c r="G2532" s="2" t="str">
        <f ca="1">IFERROR(__xludf.DUMMYFUNCTION("""COMPUTED_VALUE"""),"Young Guns ")</f>
        <v>Young Guns </v>
      </c>
      <c r="H2532" s="2">
        <v>31726644</v>
      </c>
    </row>
    <row r="2533" spans="7:8" x14ac:dyDescent="0.25">
      <c r="G2533" s="2" t="str">
        <f ca="1">IFERROR(__xludf.DUMMYFUNCTION("""COMPUTED_VALUE"""),"St. Vincent ")</f>
        <v>St. Vincent </v>
      </c>
      <c r="H2533" s="2">
        <v>31134898</v>
      </c>
    </row>
    <row r="2534" spans="7:8" x14ac:dyDescent="0.25">
      <c r="G2534" s="2" t="str">
        <f ca="1">IFERROR(__xludf.DUMMYFUNCTION("""COMPUTED_VALUE"""),"About Last Night ")</f>
        <v>About Last Night </v>
      </c>
      <c r="H2534" s="2">
        <v>36137684</v>
      </c>
    </row>
    <row r="2535" spans="7:8" x14ac:dyDescent="0.25">
      <c r="G2535" s="2" t="str">
        <f ca="1">IFERROR(__xludf.DUMMYFUNCTION("""COMPUTED_VALUE"""),"10 Things I Hate About You ")</f>
        <v>10 Things I Hate About You </v>
      </c>
      <c r="H2535" s="2">
        <v>22176108</v>
      </c>
    </row>
    <row r="2536" spans="7:8" x14ac:dyDescent="0.25">
      <c r="G2536" s="2" t="str">
        <f ca="1">IFERROR(__xludf.DUMMYFUNCTION("""COMPUTED_VALUE"""),"The New Guy ")</f>
        <v>The New Guy </v>
      </c>
      <c r="H2536" s="2">
        <v>15972187</v>
      </c>
    </row>
    <row r="2537" spans="7:8" x14ac:dyDescent="0.25">
      <c r="G2537" s="2" t="str">
        <f ca="1">IFERROR(__xludf.DUMMYFUNCTION("""COMPUTED_VALUE"""),"Loaded Weapon 1 ")</f>
        <v>Loaded Weapon 1 </v>
      </c>
      <c r="H2537" s="2">
        <v>19779400</v>
      </c>
    </row>
    <row r="2538" spans="7:8" x14ac:dyDescent="0.25">
      <c r="G2538" s="2" t="str">
        <f ca="1">IFERROR(__xludf.DUMMYFUNCTION("""COMPUTED_VALUE"""),"The Shallows ")</f>
        <v>The Shallows </v>
      </c>
      <c r="H2538" s="2">
        <v>37257433</v>
      </c>
    </row>
    <row r="2539" spans="7:8" x14ac:dyDescent="0.25">
      <c r="G2539" s="2" t="str">
        <f ca="1">IFERROR(__xludf.DUMMYFUNCTION("""COMPUTED_VALUE"""),"The Butterfly Effect ")</f>
        <v>The Butterfly Effect </v>
      </c>
      <c r="H2539" s="2">
        <v>-12976053</v>
      </c>
    </row>
    <row r="2540" spans="7:8" x14ac:dyDescent="0.25">
      <c r="G2540" s="2" t="str">
        <f ca="1">IFERROR(__xludf.DUMMYFUNCTION("""COMPUTED_VALUE"""),"Snow Day ")</f>
        <v>Snow Day </v>
      </c>
      <c r="H2540" s="2">
        <v>47008303</v>
      </c>
    </row>
    <row r="2541" spans="7:8" x14ac:dyDescent="0.25">
      <c r="G2541" s="2" t="str">
        <f ca="1">IFERROR(__xludf.DUMMYFUNCTION("""COMPUTED_VALUE"""),"This Christmas ")</f>
        <v>This Christmas </v>
      </c>
      <c r="H2541" s="2">
        <v>36121934</v>
      </c>
    </row>
    <row r="2542" spans="7:8" x14ac:dyDescent="0.25">
      <c r="G2542" s="2" t="str">
        <f ca="1">IFERROR(__xludf.DUMMYFUNCTION("""COMPUTED_VALUE"""),"Baby Geniuses ")</f>
        <v>Baby Geniuses </v>
      </c>
      <c r="H2542" s="2">
        <v>9141959</v>
      </c>
    </row>
    <row r="2543" spans="7:8" x14ac:dyDescent="0.25">
      <c r="G2543" s="2" t="str">
        <f ca="1">IFERROR(__xludf.DUMMYFUNCTION("""COMPUTED_VALUE"""),"The Big Hit ")</f>
        <v>The Big Hit </v>
      </c>
      <c r="H2543" s="2">
        <v>14052167</v>
      </c>
    </row>
    <row r="2544" spans="7:8" x14ac:dyDescent="0.25">
      <c r="G2544" s="2" t="str">
        <f ca="1">IFERROR(__xludf.DUMMYFUNCTION("""COMPUTED_VALUE"""),"Harriet the Spy ")</f>
        <v>Harriet the Spy </v>
      </c>
      <c r="H2544" s="2">
        <v>13539321</v>
      </c>
    </row>
    <row r="2545" spans="7:8" x14ac:dyDescent="0.25">
      <c r="G2545" s="2" t="str">
        <f ca="1">IFERROR(__xludf.DUMMYFUNCTION("""COMPUTED_VALUE"""),"Child's Play 2 ")</f>
        <v>Child's Play 2 </v>
      </c>
      <c r="H2545" s="2">
        <v>15501605</v>
      </c>
    </row>
    <row r="2546" spans="7:8" x14ac:dyDescent="0.25">
      <c r="G2546" s="2" t="str">
        <f ca="1">IFERROR(__xludf.DUMMYFUNCTION("""COMPUTED_VALUE"""),"No Good Deed ")</f>
        <v>No Good Deed </v>
      </c>
      <c r="H2546" s="2">
        <v>39343632</v>
      </c>
    </row>
    <row r="2547" spans="7:8" x14ac:dyDescent="0.25">
      <c r="G2547" s="2" t="str">
        <f ca="1">IFERROR(__xludf.DUMMYFUNCTION("""COMPUTED_VALUE"""),"The Mist ")</f>
        <v>The Mist </v>
      </c>
      <c r="H2547" s="2">
        <v>7592632</v>
      </c>
    </row>
    <row r="2548" spans="7:8" x14ac:dyDescent="0.25">
      <c r="G2548" s="2" t="str">
        <f ca="1">IFERROR(__xludf.DUMMYFUNCTION("""COMPUTED_VALUE"""),"Ex Machina ")</f>
        <v>Ex Machina </v>
      </c>
      <c r="H2548" s="2">
        <v>10440971</v>
      </c>
    </row>
    <row r="2549" spans="7:8" x14ac:dyDescent="0.25">
      <c r="G2549" s="2" t="str">
        <f ca="1">IFERROR(__xludf.DUMMYFUNCTION("""COMPUTED_VALUE"""),"Being John Malkovich ")</f>
        <v>Being John Malkovich </v>
      </c>
      <c r="H2549" s="2">
        <v>9858926</v>
      </c>
    </row>
    <row r="2550" spans="7:8" x14ac:dyDescent="0.25">
      <c r="G2550" s="2" t="str">
        <f ca="1">IFERROR(__xludf.DUMMYFUNCTION("""COMPUTED_VALUE"""),"Two Can Play That Game ")</f>
        <v>Two Can Play That Game </v>
      </c>
      <c r="H2550" s="2">
        <v>16235901</v>
      </c>
    </row>
    <row r="2551" spans="7:8" x14ac:dyDescent="0.25">
      <c r="G2551" s="2" t="str">
        <f ca="1">IFERROR(__xludf.DUMMYFUNCTION("""COMPUTED_VALUE"""),"Earth to Echo ")</f>
        <v>Earth to Echo </v>
      </c>
      <c r="H2551" s="2">
        <v>25916903</v>
      </c>
    </row>
    <row r="2552" spans="7:8" x14ac:dyDescent="0.25">
      <c r="G2552" s="2" t="str">
        <f ca="1">IFERROR(__xludf.DUMMYFUNCTION("""COMPUTED_VALUE"""),"Crazy/Beautiful ")</f>
        <v>Crazy/Beautiful </v>
      </c>
      <c r="H2552" s="2">
        <v>2929123</v>
      </c>
    </row>
    <row r="2553" spans="7:8" x14ac:dyDescent="0.25">
      <c r="G2553" s="2" t="str">
        <f ca="1">IFERROR(__xludf.DUMMYFUNCTION("""COMPUTED_VALUE"""),"Letters from Iwo Jima ")</f>
        <v>Letters from Iwo Jima </v>
      </c>
      <c r="H2553" s="2">
        <v>-5246069</v>
      </c>
    </row>
    <row r="2554" spans="7:8" x14ac:dyDescent="0.25">
      <c r="G2554" s="2" t="str">
        <f ca="1">IFERROR(__xludf.DUMMYFUNCTION("""COMPUTED_VALUE"""),"The Astronaut Farmer ")</f>
        <v>The Astronaut Farmer </v>
      </c>
      <c r="H2554" s="2">
        <v>-2003560</v>
      </c>
    </row>
    <row r="2555" spans="7:8" x14ac:dyDescent="0.25">
      <c r="G2555" s="2" t="str">
        <f ca="1">IFERROR(__xludf.DUMMYFUNCTION("""COMPUTED_VALUE"""),"Woo ")</f>
        <v>Woo </v>
      </c>
      <c r="H2555" s="2">
        <v>-4973029</v>
      </c>
    </row>
    <row r="2556" spans="7:8" x14ac:dyDescent="0.25">
      <c r="G2556" s="2" t="str">
        <f ca="1">IFERROR(__xludf.DUMMYFUNCTION("""COMPUTED_VALUE"""),"Room ")</f>
        <v>Room </v>
      </c>
      <c r="H2556" s="2">
        <v>1677654</v>
      </c>
    </row>
    <row r="2557" spans="7:8" x14ac:dyDescent="0.25">
      <c r="G2557" s="2" t="str">
        <f ca="1">IFERROR(__xludf.DUMMYFUNCTION("""COMPUTED_VALUE"""),"Dirty Work ")</f>
        <v>Dirty Work </v>
      </c>
      <c r="H2557" s="2">
        <v>-3024316</v>
      </c>
    </row>
    <row r="2558" spans="7:8" x14ac:dyDescent="0.25">
      <c r="G2558" s="2" t="str">
        <f ca="1">IFERROR(__xludf.DUMMYFUNCTION("""COMPUTED_VALUE"""),"Serial Mom ")</f>
        <v>Serial Mom </v>
      </c>
      <c r="H2558" s="2">
        <v>-5118665</v>
      </c>
    </row>
    <row r="2559" spans="7:8" x14ac:dyDescent="0.25">
      <c r="G2559" s="2" t="str">
        <f ca="1">IFERROR(__xludf.DUMMYFUNCTION("""COMPUTED_VALUE"""),"Dick ")</f>
        <v>Dick </v>
      </c>
      <c r="H2559" s="2">
        <v>-6758303</v>
      </c>
    </row>
    <row r="2560" spans="7:8" x14ac:dyDescent="0.25">
      <c r="G2560" s="2" t="str">
        <f ca="1">IFERROR(__xludf.DUMMYFUNCTION("""COMPUTED_VALUE"""),"Light It Up ")</f>
        <v>Light It Up </v>
      </c>
      <c r="H2560" s="2">
        <v>-7128397</v>
      </c>
    </row>
    <row r="2561" spans="7:8" x14ac:dyDescent="0.25">
      <c r="G2561" s="2" t="str">
        <f ca="1">IFERROR(__xludf.DUMMYFUNCTION("""COMPUTED_VALUE"""),"54 ")</f>
        <v>54 </v>
      </c>
      <c r="H2561" s="2">
        <v>3574731</v>
      </c>
    </row>
    <row r="2562" spans="7:8" x14ac:dyDescent="0.25">
      <c r="G2562" s="2" t="str">
        <f ca="1">IFERROR(__xludf.DUMMYFUNCTION("""COMPUTED_VALUE"""),"Bubble Boy ")</f>
        <v>Bubble Boy </v>
      </c>
      <c r="H2562" s="2">
        <v>-7997690</v>
      </c>
    </row>
    <row r="2563" spans="7:8" x14ac:dyDescent="0.25">
      <c r="G2563" s="2" t="str">
        <f ca="1">IFERROR(__xludf.DUMMYFUNCTION("""COMPUTED_VALUE"""),"Birthday Girl ")</f>
        <v>Birthday Girl </v>
      </c>
      <c r="H2563" s="2">
        <v>-8080104</v>
      </c>
    </row>
    <row r="2564" spans="7:8" x14ac:dyDescent="0.25">
      <c r="G2564" s="2" t="str">
        <f ca="1">IFERROR(__xludf.DUMMYFUNCTION("""COMPUTED_VALUE"""),"21 &amp; Over ")</f>
        <v>21 &amp; Over </v>
      </c>
      <c r="H2564" s="2">
        <v>12675765</v>
      </c>
    </row>
    <row r="2565" spans="7:8" x14ac:dyDescent="0.25">
      <c r="G2565" s="2" t="str">
        <f ca="1">IFERROR(__xludf.DUMMYFUNCTION("""COMPUTED_VALUE"""),"Paris, je t'aime ")</f>
        <v>Paris, je t'aime </v>
      </c>
      <c r="H2565" s="2">
        <v>-8142624</v>
      </c>
    </row>
    <row r="2566" spans="7:8" x14ac:dyDescent="0.25">
      <c r="G2566" s="2" t="str">
        <f ca="1">IFERROR(__xludf.DUMMYFUNCTION("""COMPUTED_VALUE"""),"Resurrecting the Champ ")</f>
        <v>Resurrecting the Champ </v>
      </c>
      <c r="H2566" s="2">
        <v>-9830576</v>
      </c>
    </row>
    <row r="2567" spans="7:8" x14ac:dyDescent="0.25">
      <c r="G2567" s="2" t="str">
        <f ca="1">IFERROR(__xludf.DUMMYFUNCTION("""COMPUTED_VALUE"""),"Admission ")</f>
        <v>Admission </v>
      </c>
      <c r="H2567" s="2">
        <v>5004225</v>
      </c>
    </row>
    <row r="2568" spans="7:8" x14ac:dyDescent="0.25">
      <c r="G2568" s="2" t="str">
        <f ca="1">IFERROR(__xludf.DUMMYFUNCTION("""COMPUTED_VALUE"""),"The Widow of Saint-Pierre ")</f>
        <v>The Widow of Saint-Pierre </v>
      </c>
      <c r="H2568" s="2">
        <v>-96941620</v>
      </c>
    </row>
    <row r="2569" spans="7:8" x14ac:dyDescent="0.25">
      <c r="G2569" s="2" t="str">
        <f ca="1">IFERROR(__xludf.DUMMYFUNCTION("""COMPUTED_VALUE"""),"Chloe ")</f>
        <v>Chloe </v>
      </c>
      <c r="H2569" s="2">
        <v>-7925162</v>
      </c>
    </row>
    <row r="2570" spans="7:8" x14ac:dyDescent="0.25">
      <c r="G2570" s="2" t="str">
        <f ca="1">IFERROR(__xludf.DUMMYFUNCTION("""COMPUTED_VALUE"""),"Faithful ")</f>
        <v>Faithful </v>
      </c>
      <c r="H2570" s="2">
        <v>-10896000</v>
      </c>
    </row>
    <row r="2571" spans="7:8" x14ac:dyDescent="0.25">
      <c r="G2571" s="2" t="str">
        <f ca="1">IFERROR(__xludf.DUMMYFUNCTION("""COMPUTED_VALUE"""),"Find Me Guilty ")</f>
        <v>Find Me Guilty </v>
      </c>
      <c r="H2571" s="2">
        <v>-11827231</v>
      </c>
    </row>
    <row r="2572" spans="7:8" x14ac:dyDescent="0.25">
      <c r="G2572" s="2" t="str">
        <f ca="1">IFERROR(__xludf.DUMMYFUNCTION("""COMPUTED_VALUE"""),"The Perks of Being a Wallflower ")</f>
        <v>The Perks of Being a Wallflower </v>
      </c>
      <c r="H2572" s="2">
        <v>4738570</v>
      </c>
    </row>
    <row r="2573" spans="7:8" x14ac:dyDescent="0.25">
      <c r="G2573" s="2" t="str">
        <f ca="1">IFERROR(__xludf.DUMMYFUNCTION("""COMPUTED_VALUE"""),"Excessive Force ")</f>
        <v>Excessive Force </v>
      </c>
      <c r="H2573" s="2">
        <v>-1800000</v>
      </c>
    </row>
    <row r="2574" spans="7:8" x14ac:dyDescent="0.25">
      <c r="G2574" s="2" t="str">
        <f ca="1">IFERROR(__xludf.DUMMYFUNCTION("""COMPUTED_VALUE"""),"Infamous ")</f>
        <v>Infamous </v>
      </c>
      <c r="H2574" s="2">
        <v>-11849597</v>
      </c>
    </row>
    <row r="2575" spans="7:8" x14ac:dyDescent="0.25">
      <c r="G2575" s="2" t="str">
        <f ca="1">IFERROR(__xludf.DUMMYFUNCTION("""COMPUTED_VALUE"""),"The Claim ")</f>
        <v>The Claim </v>
      </c>
      <c r="H2575" s="2">
        <v>-19596068</v>
      </c>
    </row>
    <row r="2576" spans="7:8" x14ac:dyDescent="0.25">
      <c r="G2576" s="2" t="str">
        <f ca="1">IFERROR(__xludf.DUMMYFUNCTION("""COMPUTED_VALUE"""),"The Vatican Tapes ")</f>
        <v>The Vatican Tapes </v>
      </c>
      <c r="H2576" s="2">
        <v>-6782889</v>
      </c>
    </row>
    <row r="2577" spans="7:8" x14ac:dyDescent="0.25">
      <c r="G2577" s="2" t="str">
        <f ca="1">IFERROR(__xludf.DUMMYFUNCTION("""COMPUTED_VALUE"""),"Attack the Block ")</f>
        <v>Attack the Block </v>
      </c>
      <c r="H2577" s="2">
        <v>-11975825</v>
      </c>
    </row>
    <row r="2578" spans="7:8" x14ac:dyDescent="0.25">
      <c r="G2578" s="2" t="str">
        <f ca="1">IFERROR(__xludf.DUMMYFUNCTION("""COMPUTED_VALUE"""),"In the Land of Blood and Honey ")</f>
        <v>In the Land of Blood and Honey </v>
      </c>
      <c r="H2578" s="2">
        <v>-12698695</v>
      </c>
    </row>
    <row r="2579" spans="7:8" x14ac:dyDescent="0.25">
      <c r="G2579" s="2" t="str">
        <f ca="1">IFERROR(__xludf.DUMMYFUNCTION("""COMPUTED_VALUE"""),"The Call ")</f>
        <v>The Call </v>
      </c>
      <c r="H2579" s="2">
        <v>38872378</v>
      </c>
    </row>
    <row r="2580" spans="7:8" x14ac:dyDescent="0.25">
      <c r="G2580" s="2" t="str">
        <f ca="1">IFERROR(__xludf.DUMMYFUNCTION("""COMPUTED_VALUE"""),"Operation Chromite ")</f>
        <v>Operation Chromite </v>
      </c>
      <c r="H2580" s="2">
        <v>-12588338</v>
      </c>
    </row>
    <row r="2581" spans="7:8" x14ac:dyDescent="0.25">
      <c r="G2581" s="2" t="str">
        <f ca="1">IFERROR(__xludf.DUMMYFUNCTION("""COMPUTED_VALUE"""),"The Crocodile Hunter: Collision Course ")</f>
        <v>The Crocodile Hunter: Collision Course </v>
      </c>
      <c r="H2581" s="2">
        <v>15399192</v>
      </c>
    </row>
    <row r="2582" spans="7:8" x14ac:dyDescent="0.25">
      <c r="G2582" s="2" t="str">
        <f ca="1">IFERROR(__xludf.DUMMYFUNCTION("""COMPUTED_VALUE"""),"I Love You Phillip Morris ")</f>
        <v>I Love You Phillip Morris </v>
      </c>
      <c r="H2582" s="2">
        <v>-10964434</v>
      </c>
    </row>
    <row r="2583" spans="7:8" x14ac:dyDescent="0.25">
      <c r="G2583" s="2" t="str">
        <f ca="1">IFERROR(__xludf.DUMMYFUNCTION("""COMPUTED_VALUE"""),"Antwone Fisher ")</f>
        <v>Antwone Fisher </v>
      </c>
      <c r="H2583" s="2">
        <v>8578145</v>
      </c>
    </row>
    <row r="2584" spans="7:8" x14ac:dyDescent="0.25">
      <c r="G2584" s="2" t="str">
        <f ca="1">IFERROR(__xludf.DUMMYFUNCTION("""COMPUTED_VALUE"""),"The Emperor's Club ")</f>
        <v>The Emperor's Club </v>
      </c>
      <c r="H2584" s="2">
        <v>1560950</v>
      </c>
    </row>
    <row r="2585" spans="7:8" x14ac:dyDescent="0.25">
      <c r="G2585" s="2" t="str">
        <f ca="1">IFERROR(__xludf.DUMMYFUNCTION("""COMPUTED_VALUE"""),"True Romance ")</f>
        <v>True Romance </v>
      </c>
      <c r="H2585" s="2">
        <v>-718500</v>
      </c>
    </row>
    <row r="2586" spans="7:8" x14ac:dyDescent="0.25">
      <c r="G2586" s="2" t="str">
        <f ca="1">IFERROR(__xludf.DUMMYFUNCTION("""COMPUTED_VALUE"""),"Glengarry Glen Ross ")</f>
        <v>Glengarry Glen Ross </v>
      </c>
      <c r="H2586" s="2">
        <v>-1774772</v>
      </c>
    </row>
    <row r="2587" spans="7:8" x14ac:dyDescent="0.25">
      <c r="G2587" s="2" t="str">
        <f ca="1">IFERROR(__xludf.DUMMYFUNCTION("""COMPUTED_VALUE"""),"The Killer Inside Me ")</f>
        <v>The Killer Inside Me </v>
      </c>
      <c r="H2587" s="2">
        <v>-12785034</v>
      </c>
    </row>
    <row r="2588" spans="7:8" x14ac:dyDescent="0.25">
      <c r="G2588" s="2" t="str">
        <f ca="1">IFERROR(__xludf.DUMMYFUNCTION("""COMPUTED_VALUE"""),"Sorority Row ")</f>
        <v>Sorority Row </v>
      </c>
      <c r="H2588" s="2">
        <v>-4043793</v>
      </c>
    </row>
    <row r="2589" spans="7:8" x14ac:dyDescent="0.25">
      <c r="G2589" s="2" t="str">
        <f ca="1">IFERROR(__xludf.DUMMYFUNCTION("""COMPUTED_VALUE"""),"Lars and the Real Girl ")</f>
        <v>Lars and the Real Girl </v>
      </c>
      <c r="H2589" s="2">
        <v>-6050307</v>
      </c>
    </row>
    <row r="2590" spans="7:8" x14ac:dyDescent="0.25">
      <c r="G2590" s="2" t="str">
        <f ca="1">IFERROR(__xludf.DUMMYFUNCTION("""COMPUTED_VALUE"""),"The Boy in the Striped Pajamas ")</f>
        <v>The Boy in the Striped Pajamas </v>
      </c>
      <c r="H2590" s="2">
        <v>-3469419</v>
      </c>
    </row>
    <row r="2591" spans="7:8" x14ac:dyDescent="0.25">
      <c r="G2591" s="2" t="str">
        <f ca="1">IFERROR(__xludf.DUMMYFUNCTION("""COMPUTED_VALUE"""),"Dancer in the Dark ")</f>
        <v>Dancer in the Dark </v>
      </c>
      <c r="H2591" s="2">
        <v>-8642509</v>
      </c>
    </row>
    <row r="2592" spans="7:8" x14ac:dyDescent="0.25">
      <c r="G2592" s="2" t="str">
        <f ca="1">IFERROR(__xludf.DUMMYFUNCTION("""COMPUTED_VALUE"""),"Oscar and Lucinda ")</f>
        <v>Oscar and Lucinda </v>
      </c>
      <c r="H2592" s="2">
        <v>-14491311</v>
      </c>
    </row>
    <row r="2593" spans="7:8" x14ac:dyDescent="0.25">
      <c r="G2593" s="2" t="str">
        <f ca="1">IFERROR(__xludf.DUMMYFUNCTION("""COMPUTED_VALUE"""),"The Funeral ")</f>
        <v>The Funeral </v>
      </c>
      <c r="H2593" s="2">
        <v>-11272676</v>
      </c>
    </row>
    <row r="2594" spans="7:8" x14ac:dyDescent="0.25">
      <c r="G2594" s="2" t="str">
        <f ca="1">IFERROR(__xludf.DUMMYFUNCTION("""COMPUTED_VALUE"""),"Solitary Man ")</f>
        <v>Solitary Man </v>
      </c>
      <c r="H2594" s="2">
        <v>-10639452</v>
      </c>
    </row>
    <row r="2595" spans="7:8" x14ac:dyDescent="0.25">
      <c r="G2595" s="2" t="str">
        <f ca="1">IFERROR(__xludf.DUMMYFUNCTION("""COMPUTED_VALUE"""),"Machete ")</f>
        <v>Machete </v>
      </c>
      <c r="H2595" s="2">
        <v>16089953</v>
      </c>
    </row>
    <row r="2596" spans="7:8" x14ac:dyDescent="0.25">
      <c r="G2596" s="2" t="str">
        <f ca="1">IFERROR(__xludf.DUMMYFUNCTION("""COMPUTED_VALUE"""),"Casino Jack ")</f>
        <v>Casino Jack </v>
      </c>
      <c r="H2596" s="2">
        <v>-13960131</v>
      </c>
    </row>
    <row r="2597" spans="7:8" x14ac:dyDescent="0.25">
      <c r="G2597" s="2" t="str">
        <f ca="1">IFERROR(__xludf.DUMMYFUNCTION("""COMPUTED_VALUE"""),"The Land Before Time ")</f>
        <v>The Land Before Time </v>
      </c>
      <c r="H2597" s="2">
        <v>35592846</v>
      </c>
    </row>
    <row r="2598" spans="7:8" x14ac:dyDescent="0.25">
      <c r="G2598" s="2" t="str">
        <f ca="1">IFERROR(__xludf.DUMMYFUNCTION("""COMPUTED_VALUE"""),"Tae Guk Gi: The Brotherhood of War ")</f>
        <v>Tae Guk Gi: The Brotherhood of War </v>
      </c>
      <c r="H2598" s="2">
        <v>-11689814</v>
      </c>
    </row>
    <row r="2599" spans="7:8" x14ac:dyDescent="0.25">
      <c r="G2599" s="2" t="str">
        <f ca="1">IFERROR(__xludf.DUMMYFUNCTION("""COMPUTED_VALUE"""),"The Perfect Game ")</f>
        <v>The Perfect Game </v>
      </c>
      <c r="H2599" s="2">
        <v>-11410555</v>
      </c>
    </row>
    <row r="2600" spans="7:8" x14ac:dyDescent="0.25">
      <c r="G2600" s="2" t="str">
        <f ca="1">IFERROR(__xludf.DUMMYFUNCTION("""COMPUTED_VALUE"""),"The Exorcist ")</f>
        <v>The Exorcist </v>
      </c>
      <c r="H2600" s="2">
        <v>196565000</v>
      </c>
    </row>
    <row r="2601" spans="7:8" x14ac:dyDescent="0.25">
      <c r="G2601" s="2" t="str">
        <f ca="1">IFERROR(__xludf.DUMMYFUNCTION("""COMPUTED_VALUE"""),"Jaws ")</f>
        <v>Jaws </v>
      </c>
      <c r="H2601" s="2">
        <v>252000000</v>
      </c>
    </row>
    <row r="2602" spans="7:8" x14ac:dyDescent="0.25">
      <c r="G2602" s="2" t="str">
        <f ca="1">IFERROR(__xludf.DUMMYFUNCTION("""COMPUTED_VALUE"""),"American Pie ")</f>
        <v>American Pie </v>
      </c>
      <c r="H2602" s="2">
        <v>90736215</v>
      </c>
    </row>
    <row r="2603" spans="7:8" x14ac:dyDescent="0.25">
      <c r="G2603" s="2" t="str">
        <f ca="1">IFERROR(__xludf.DUMMYFUNCTION("""COMPUTED_VALUE"""),"Ernest &amp; Celestine ")</f>
        <v>Ernest &amp; Celestine </v>
      </c>
      <c r="H2603" s="2">
        <v>-9528558</v>
      </c>
    </row>
    <row r="2604" spans="7:8" x14ac:dyDescent="0.25">
      <c r="G2604" s="2" t="str">
        <f ca="1">IFERROR(__xludf.DUMMYFUNCTION("""COMPUTED_VALUE"""),"The Golden Child ")</f>
        <v>The Golden Child </v>
      </c>
      <c r="H2604" s="2">
        <v>54817937</v>
      </c>
    </row>
    <row r="2605" spans="7:8" x14ac:dyDescent="0.25">
      <c r="G2605" s="2" t="str">
        <f ca="1">IFERROR(__xludf.DUMMYFUNCTION("""COMPUTED_VALUE"""),"Think Like a Man ")</f>
        <v>Think Like a Man </v>
      </c>
      <c r="H2605" s="2">
        <v>79547205</v>
      </c>
    </row>
    <row r="2606" spans="7:8" x14ac:dyDescent="0.25">
      <c r="G2606" s="2" t="str">
        <f ca="1">IFERROR(__xludf.DUMMYFUNCTION("""COMPUTED_VALUE"""),"Barbershop ")</f>
        <v>Barbershop </v>
      </c>
      <c r="H2606" s="2">
        <v>63074950</v>
      </c>
    </row>
    <row r="2607" spans="7:8" x14ac:dyDescent="0.25">
      <c r="G2607" s="2" t="str">
        <f ca="1">IFERROR(__xludf.DUMMYFUNCTION("""COMPUTED_VALUE"""),"Star Trek II: The Wrath of Khan ")</f>
        <v>Star Trek II: The Wrath of Khan </v>
      </c>
      <c r="H2607" s="2">
        <v>67900000</v>
      </c>
    </row>
    <row r="2608" spans="7:8" x14ac:dyDescent="0.25">
      <c r="G2608" s="2" t="str">
        <f ca="1">IFERROR(__xludf.DUMMYFUNCTION("""COMPUTED_VALUE"""),"Ace Ventura: Pet Detective ")</f>
        <v>Ace Ventura: Pet Detective </v>
      </c>
      <c r="H2608" s="2">
        <v>60217000</v>
      </c>
    </row>
    <row r="2609" spans="7:8" x14ac:dyDescent="0.25">
      <c r="G2609" s="2" t="str">
        <f ca="1">IFERROR(__xludf.DUMMYFUNCTION("""COMPUTED_VALUE"""),"WarGames ")</f>
        <v>WarGames </v>
      </c>
      <c r="H2609" s="2">
        <v>67568000</v>
      </c>
    </row>
    <row r="2610" spans="7:8" x14ac:dyDescent="0.25">
      <c r="G2610" s="2" t="str">
        <f ca="1">IFERROR(__xludf.DUMMYFUNCTION("""COMPUTED_VALUE"""),"Witness ")</f>
        <v>Witness </v>
      </c>
      <c r="H2610" s="2">
        <v>53500000</v>
      </c>
    </row>
    <row r="2611" spans="7:8" x14ac:dyDescent="0.25">
      <c r="G2611" s="2" t="str">
        <f ca="1">IFERROR(__xludf.DUMMYFUNCTION("""COMPUTED_VALUE"""),"Act of Valor ")</f>
        <v>Act of Valor </v>
      </c>
      <c r="H2611" s="2">
        <v>58011073</v>
      </c>
    </row>
    <row r="2612" spans="7:8" x14ac:dyDescent="0.25">
      <c r="G2612" s="2" t="str">
        <f ca="1">IFERROR(__xludf.DUMMYFUNCTION("""COMPUTED_VALUE"""),"Step Up ")</f>
        <v>Step Up </v>
      </c>
      <c r="H2612" s="2">
        <v>53269010</v>
      </c>
    </row>
    <row r="2613" spans="7:8" x14ac:dyDescent="0.25">
      <c r="G2613" s="2" t="str">
        <f ca="1">IFERROR(__xludf.DUMMYFUNCTION("""COMPUTED_VALUE"""),"Beavis and Butt-Head Do America ")</f>
        <v>Beavis and Butt-Head Do America </v>
      </c>
      <c r="H2613" s="2">
        <v>51071133</v>
      </c>
    </row>
    <row r="2614" spans="7:8" x14ac:dyDescent="0.25">
      <c r="G2614" s="2" t="str">
        <f ca="1">IFERROR(__xludf.DUMMYFUNCTION("""COMPUTED_VALUE"""),"Jackie Brown ")</f>
        <v>Jackie Brown </v>
      </c>
      <c r="H2614" s="2">
        <v>27647595</v>
      </c>
    </row>
    <row r="2615" spans="7:8" x14ac:dyDescent="0.25">
      <c r="G2615" s="2" t="str">
        <f ca="1">IFERROR(__xludf.DUMMYFUNCTION("""COMPUTED_VALUE"""),"Harold &amp; Kumar Escape from Guantanamo Bay ")</f>
        <v>Harold &amp; Kumar Escape from Guantanamo Bay </v>
      </c>
      <c r="H2615" s="2">
        <v>26087366</v>
      </c>
    </row>
    <row r="2616" spans="7:8" x14ac:dyDescent="0.25">
      <c r="G2616" s="2" t="str">
        <f ca="1">IFERROR(__xludf.DUMMYFUNCTION("""COMPUTED_VALUE"""),"Chronicle ")</f>
        <v>Chronicle </v>
      </c>
      <c r="H2616" s="2">
        <v>52572496</v>
      </c>
    </row>
    <row r="2617" spans="7:8" x14ac:dyDescent="0.25">
      <c r="G2617" s="2" t="str">
        <f ca="1">IFERROR(__xludf.DUMMYFUNCTION("""COMPUTED_VALUE"""),"Yentl ")</f>
        <v>Yentl </v>
      </c>
      <c r="H2617" s="2">
        <v>18400000</v>
      </c>
    </row>
    <row r="2618" spans="7:8" x14ac:dyDescent="0.25">
      <c r="G2618" s="2" t="str">
        <f ca="1">IFERROR(__xludf.DUMMYFUNCTION("""COMPUTED_VALUE"""),"Time Bandits ")</f>
        <v>Time Bandits </v>
      </c>
      <c r="H2618" s="2">
        <v>37365600</v>
      </c>
    </row>
    <row r="2619" spans="7:8" x14ac:dyDescent="0.25">
      <c r="G2619" s="2" t="str">
        <f ca="1">IFERROR(__xludf.DUMMYFUNCTION("""COMPUTED_VALUE"""),"Crossroads ")</f>
        <v>Crossroads </v>
      </c>
      <c r="H2619" s="2">
        <v>25188667</v>
      </c>
    </row>
    <row r="2620" spans="7:8" x14ac:dyDescent="0.25">
      <c r="G2620" s="2" t="str">
        <f ca="1">IFERROR(__xludf.DUMMYFUNCTION("""COMPUTED_VALUE"""),"Project X ")</f>
        <v>Project X </v>
      </c>
      <c r="H2620" s="2">
        <v>42724272</v>
      </c>
    </row>
    <row r="2621" spans="7:8" x14ac:dyDescent="0.25">
      <c r="G2621" s="2" t="str">
        <f ca="1">IFERROR(__xludf.DUMMYFUNCTION("""COMPUTED_VALUE"""),"One Hour Photo ")</f>
        <v>One Hour Photo </v>
      </c>
      <c r="H2621" s="2">
        <v>19597131</v>
      </c>
    </row>
    <row r="2622" spans="7:8" x14ac:dyDescent="0.25">
      <c r="G2622" s="2" t="str">
        <f ca="1">IFERROR(__xludf.DUMMYFUNCTION("""COMPUTED_VALUE"""),"Quarantine ")</f>
        <v>Quarantine </v>
      </c>
      <c r="H2622" s="2">
        <v>19691811</v>
      </c>
    </row>
    <row r="2623" spans="7:8" x14ac:dyDescent="0.25">
      <c r="G2623" s="2" t="str">
        <f ca="1">IFERROR(__xludf.DUMMYFUNCTION("""COMPUTED_VALUE"""),"The Eye ")</f>
        <v>The Eye </v>
      </c>
      <c r="H2623" s="2">
        <v>19397498</v>
      </c>
    </row>
    <row r="2624" spans="7:8" x14ac:dyDescent="0.25">
      <c r="G2624" s="2" t="str">
        <f ca="1">IFERROR(__xludf.DUMMYFUNCTION("""COMPUTED_VALUE"""),"Johnson Family Vacation ")</f>
        <v>Johnson Family Vacation </v>
      </c>
      <c r="H2624" s="2">
        <v>19179516</v>
      </c>
    </row>
    <row r="2625" spans="7:8" x14ac:dyDescent="0.25">
      <c r="G2625" s="2" t="str">
        <f ca="1">IFERROR(__xludf.DUMMYFUNCTION("""COMPUTED_VALUE"""),"How High ")</f>
        <v>How High </v>
      </c>
      <c r="H2625" s="2">
        <v>19155435</v>
      </c>
    </row>
    <row r="2626" spans="7:8" x14ac:dyDescent="0.25">
      <c r="G2626" s="2" t="str">
        <f ca="1">IFERROR(__xludf.DUMMYFUNCTION("""COMPUTED_VALUE"""),"The Muppet Christmas Carol ")</f>
        <v>The Muppet Christmas Carol </v>
      </c>
      <c r="H2626" s="2">
        <v>15281507</v>
      </c>
    </row>
    <row r="2627" spans="7:8" x14ac:dyDescent="0.25">
      <c r="G2627" s="2" t="str">
        <f ca="1">IFERROR(__xludf.DUMMYFUNCTION("""COMPUTED_VALUE"""),"Frida ")</f>
        <v>Frida </v>
      </c>
      <c r="H2627" s="2">
        <v>13776062</v>
      </c>
    </row>
    <row r="2628" spans="7:8" x14ac:dyDescent="0.25">
      <c r="G2628" s="2" t="str">
        <f ca="1">IFERROR(__xludf.DUMMYFUNCTION("""COMPUTED_VALUE"""),"Katy Perry: Part of Me ")</f>
        <v>Katy Perry: Part of Me </v>
      </c>
      <c r="H2628" s="2">
        <v>13240988</v>
      </c>
    </row>
    <row r="2629" spans="7:8" x14ac:dyDescent="0.25">
      <c r="G2629" s="2" t="str">
        <f ca="1">IFERROR(__xludf.DUMMYFUNCTION("""COMPUTED_VALUE"""),"The Fault in Our Stars ")</f>
        <v>The Fault in Our Stars </v>
      </c>
      <c r="H2629" s="2">
        <v>112868837</v>
      </c>
    </row>
    <row r="2630" spans="7:8" x14ac:dyDescent="0.25">
      <c r="G2630" s="2" t="str">
        <f ca="1">IFERROR(__xludf.DUMMYFUNCTION("""COMPUTED_VALUE"""),"Rounders ")</f>
        <v>Rounders </v>
      </c>
      <c r="H2630" s="2">
        <v>10905674</v>
      </c>
    </row>
    <row r="2631" spans="7:8" x14ac:dyDescent="0.25">
      <c r="G2631" s="2" t="str">
        <f ca="1">IFERROR(__xludf.DUMMYFUNCTION("""COMPUTED_VALUE"""),"Top Five ")</f>
        <v>Top Five </v>
      </c>
      <c r="H2631" s="2">
        <v>13277561</v>
      </c>
    </row>
    <row r="2632" spans="7:8" x14ac:dyDescent="0.25">
      <c r="G2632" s="2" t="str">
        <f ca="1">IFERROR(__xludf.DUMMYFUNCTION("""COMPUTED_VALUE"""),"Stir of Echoes ")</f>
        <v>Stir of Echoes </v>
      </c>
      <c r="H2632" s="2">
        <v>9133087</v>
      </c>
    </row>
    <row r="2633" spans="7:8" x14ac:dyDescent="0.25">
      <c r="G2633" s="2" t="str">
        <f ca="1">IFERROR(__xludf.DUMMYFUNCTION("""COMPUTED_VALUE"""),"Philomena ")</f>
        <v>Philomena </v>
      </c>
      <c r="H2633" s="2">
        <v>25707719</v>
      </c>
    </row>
    <row r="2634" spans="7:8" x14ac:dyDescent="0.25">
      <c r="G2634" s="2" t="str">
        <f ca="1">IFERROR(__xludf.DUMMYFUNCTION("""COMPUTED_VALUE"""),"The Upside of Anger ")</f>
        <v>The Upside of Anger </v>
      </c>
      <c r="H2634" s="2">
        <v>9761993</v>
      </c>
    </row>
    <row r="2635" spans="7:8" x14ac:dyDescent="0.25">
      <c r="G2635" s="2" t="str">
        <f ca="1">IFERROR(__xludf.DUMMYFUNCTION("""COMPUTED_VALUE"""),"Aquamarine ")</f>
        <v>Aquamarine </v>
      </c>
      <c r="H2635" s="2">
        <v>6595716</v>
      </c>
    </row>
    <row r="2636" spans="7:8" x14ac:dyDescent="0.25">
      <c r="G2636" s="2" t="str">
        <f ca="1">IFERROR(__xludf.DUMMYFUNCTION("""COMPUTED_VALUE"""),"Paper Towns ")</f>
        <v>Paper Towns </v>
      </c>
      <c r="H2636" s="2">
        <v>19990064</v>
      </c>
    </row>
    <row r="2637" spans="7:8" x14ac:dyDescent="0.25">
      <c r="G2637" s="2" t="str">
        <f ca="1">IFERROR(__xludf.DUMMYFUNCTION("""COMPUTED_VALUE"""),"Nebraska ")</f>
        <v>Nebraska </v>
      </c>
      <c r="H2637" s="2">
        <v>5613460</v>
      </c>
    </row>
    <row r="2638" spans="7:8" x14ac:dyDescent="0.25">
      <c r="G2638" s="2" t="str">
        <f ca="1">IFERROR(__xludf.DUMMYFUNCTION("""COMPUTED_VALUE"""),"Tales from the Crypt: Demon Knight ")</f>
        <v>Tales from the Crypt: Demon Knight </v>
      </c>
      <c r="H2638" s="2">
        <v>8088568</v>
      </c>
    </row>
    <row r="2639" spans="7:8" x14ac:dyDescent="0.25">
      <c r="G2639" s="2" t="str">
        <f ca="1">IFERROR(__xludf.DUMMYFUNCTION("""COMPUTED_VALUE"""),"Max Keeble's Big Move ")</f>
        <v>Max Keeble's Big Move </v>
      </c>
      <c r="H2639" s="2">
        <v>5292381</v>
      </c>
    </row>
    <row r="2640" spans="7:8" x14ac:dyDescent="0.25">
      <c r="G2640" s="2" t="str">
        <f ca="1">IFERROR(__xludf.DUMMYFUNCTION("""COMPUTED_VALUE"""),"Young Adult ")</f>
        <v>Young Adult </v>
      </c>
      <c r="H2640" s="2">
        <v>4300302</v>
      </c>
    </row>
    <row r="2641" spans="7:8" x14ac:dyDescent="0.25">
      <c r="G2641" s="2" t="str">
        <f ca="1">IFERROR(__xludf.DUMMYFUNCTION("""COMPUTED_VALUE"""),"Crank ")</f>
        <v>Crank </v>
      </c>
      <c r="H2641" s="2">
        <v>15829874</v>
      </c>
    </row>
    <row r="2642" spans="7:8" x14ac:dyDescent="0.25">
      <c r="G2642" s="2" t="str">
        <f ca="1">IFERROR(__xludf.DUMMYFUNCTION("""COMPUTED_VALUE"""),"Living Out Loud ")</f>
        <v>Living Out Loud </v>
      </c>
      <c r="H2642" s="2">
        <v>902790</v>
      </c>
    </row>
    <row r="2643" spans="7:8" x14ac:dyDescent="0.25">
      <c r="G2643" s="2" t="str">
        <f ca="1">IFERROR(__xludf.DUMMYFUNCTION("""COMPUTED_VALUE"""),"Das Boot ")</f>
        <v>Das Boot </v>
      </c>
      <c r="H2643" s="2">
        <v>-2566866</v>
      </c>
    </row>
    <row r="2644" spans="7:8" x14ac:dyDescent="0.25">
      <c r="G2644" s="2" t="str">
        <f ca="1">IFERROR(__xludf.DUMMYFUNCTION("""COMPUTED_VALUE"""),"Sorority Boys ")</f>
        <v>Sorority Boys </v>
      </c>
      <c r="H2644" s="2">
        <v>-1801234</v>
      </c>
    </row>
    <row r="2645" spans="7:8" x14ac:dyDescent="0.25">
      <c r="G2645" s="2" t="str">
        <f ca="1">IFERROR(__xludf.DUMMYFUNCTION("""COMPUTED_VALUE"""),"About Time ")</f>
        <v>About Time </v>
      </c>
      <c r="H2645" s="2">
        <v>3294553</v>
      </c>
    </row>
    <row r="2646" spans="7:8" x14ac:dyDescent="0.25">
      <c r="G2646" s="2" t="str">
        <f ca="1">IFERROR(__xludf.DUMMYFUNCTION("""COMPUTED_VALUE"""),"House of Flying Daggers ")</f>
        <v>House of Flying Daggers </v>
      </c>
      <c r="H2646" s="2">
        <v>-88958772</v>
      </c>
    </row>
    <row r="2647" spans="7:8" x14ac:dyDescent="0.25">
      <c r="G2647" s="2" t="str">
        <f ca="1">IFERROR(__xludf.DUMMYFUNCTION("""COMPUTED_VALUE"""),"Arbitrage ")</f>
        <v>Arbitrage </v>
      </c>
      <c r="H2647" s="2">
        <v>-4081717</v>
      </c>
    </row>
    <row r="2648" spans="7:8" x14ac:dyDescent="0.25">
      <c r="G2648" s="2" t="str">
        <f ca="1">IFERROR(__xludf.DUMMYFUNCTION("""COMPUTED_VALUE"""),"Project Almanac ")</f>
        <v>Project Almanac </v>
      </c>
      <c r="H2648" s="2">
        <v>10331028</v>
      </c>
    </row>
    <row r="2649" spans="7:8" x14ac:dyDescent="0.25">
      <c r="G2649" s="2" t="str">
        <f ca="1">IFERROR(__xludf.DUMMYFUNCTION("""COMPUTED_VALUE"""),"Cadillac Records ")</f>
        <v>Cadillac Records </v>
      </c>
      <c r="H2649" s="2">
        <v>-3865783</v>
      </c>
    </row>
    <row r="2650" spans="7:8" x14ac:dyDescent="0.25">
      <c r="G2650" s="2" t="str">
        <f ca="1">IFERROR(__xludf.DUMMYFUNCTION("""COMPUTED_VALUE"""),"Screwed ")</f>
        <v>Screwed </v>
      </c>
      <c r="H2650" s="2">
        <v>-3017320</v>
      </c>
    </row>
    <row r="2651" spans="7:8" x14ac:dyDescent="0.25">
      <c r="G2651" s="2" t="str">
        <f ca="1">IFERROR(__xludf.DUMMYFUNCTION("""COMPUTED_VALUE"""),"Fortress ")</f>
        <v>Fortress </v>
      </c>
      <c r="H2651" s="2">
        <v>-1260859</v>
      </c>
    </row>
    <row r="2652" spans="7:8" x14ac:dyDescent="0.25">
      <c r="G2652" s="2" t="str">
        <f ca="1">IFERROR(__xludf.DUMMYFUNCTION("""COMPUTED_VALUE"""),"For Your Consideration ")</f>
        <v>For Your Consideration </v>
      </c>
      <c r="H2652" s="2">
        <v>-6457975</v>
      </c>
    </row>
    <row r="2653" spans="7:8" x14ac:dyDescent="0.25">
      <c r="G2653" s="2" t="str">
        <f ca="1">IFERROR(__xludf.DUMMYFUNCTION("""COMPUTED_VALUE"""),"Celebrity ")</f>
        <v>Celebrity </v>
      </c>
      <c r="H2653" s="2">
        <v>-6967504</v>
      </c>
    </row>
    <row r="2654" spans="7:8" x14ac:dyDescent="0.25">
      <c r="G2654" s="2" t="str">
        <f ca="1">IFERROR(__xludf.DUMMYFUNCTION("""COMPUTED_VALUE"""),"Running with Scissors ")</f>
        <v>Running with Scissors </v>
      </c>
      <c r="H2654" s="2">
        <v>-5245102</v>
      </c>
    </row>
    <row r="2655" spans="7:8" x14ac:dyDescent="0.25">
      <c r="G2655" s="2" t="str">
        <f ca="1">IFERROR(__xludf.DUMMYFUNCTION("""COMPUTED_VALUE"""),"From Justin to Kelly ")</f>
        <v>From Justin to Kelly </v>
      </c>
      <c r="H2655" s="2">
        <v>-7077834</v>
      </c>
    </row>
    <row r="2656" spans="7:8" x14ac:dyDescent="0.25">
      <c r="G2656" s="2" t="str">
        <f ca="1">IFERROR(__xludf.DUMMYFUNCTION("""COMPUTED_VALUE"""),"Girl 6 ")</f>
        <v>Girl 6 </v>
      </c>
      <c r="H2656" s="2">
        <v>-7097000</v>
      </c>
    </row>
    <row r="2657" spans="7:8" x14ac:dyDescent="0.25">
      <c r="G2657" s="2" t="str">
        <f ca="1">IFERROR(__xludf.DUMMYFUNCTION("""COMPUTED_VALUE"""),"In the Cut ")</f>
        <v>In the Cut </v>
      </c>
      <c r="H2657" s="2">
        <v>-7282545</v>
      </c>
    </row>
    <row r="2658" spans="7:8" x14ac:dyDescent="0.25">
      <c r="G2658" s="2" t="str">
        <f ca="1">IFERROR(__xludf.DUMMYFUNCTION("""COMPUTED_VALUE"""),"Two Lovers ")</f>
        <v>Two Lovers </v>
      </c>
      <c r="H2658" s="2">
        <v>-8851518</v>
      </c>
    </row>
    <row r="2659" spans="7:8" x14ac:dyDescent="0.25">
      <c r="G2659" s="2" t="str">
        <f ca="1">IFERROR(__xludf.DUMMYFUNCTION("""COMPUTED_VALUE"""),"Last Orders ")</f>
        <v>Last Orders </v>
      </c>
      <c r="H2659" s="2">
        <v>-9673593</v>
      </c>
    </row>
    <row r="2660" spans="7:8" x14ac:dyDescent="0.25">
      <c r="G2660" s="2" t="str">
        <f ca="1">IFERROR(__xludf.DUMMYFUNCTION("""COMPUTED_VALUE"""),"Ravenous ")</f>
        <v>Ravenous </v>
      </c>
      <c r="H2660" s="2">
        <v>-12213298588</v>
      </c>
    </row>
    <row r="2661" spans="7:8" x14ac:dyDescent="0.25">
      <c r="G2661" s="2" t="str">
        <f ca="1">IFERROR(__xludf.DUMMYFUNCTION("""COMPUTED_VALUE"""),"Charlie Bartlett ")</f>
        <v>Charlie Bartlett </v>
      </c>
      <c r="H2661" s="2">
        <v>-9939047</v>
      </c>
    </row>
    <row r="2662" spans="7:8" x14ac:dyDescent="0.25">
      <c r="G2662" s="2" t="str">
        <f ca="1">IFERROR(__xludf.DUMMYFUNCTION("""COMPUTED_VALUE"""),"The Great Beauty ")</f>
        <v>The Great Beauty </v>
      </c>
      <c r="H2662" s="2">
        <v>-8049706</v>
      </c>
    </row>
    <row r="2663" spans="7:8" x14ac:dyDescent="0.25">
      <c r="G2663" s="2" t="str">
        <f ca="1">IFERROR(__xludf.DUMMYFUNCTION("""COMPUTED_VALUE"""),"The Dangerous Lives of Altar Boys ")</f>
        <v>The Dangerous Lives of Altar Boys </v>
      </c>
      <c r="H2663" s="2">
        <v>-6364114</v>
      </c>
    </row>
    <row r="2664" spans="7:8" x14ac:dyDescent="0.25">
      <c r="G2664" s="2" t="str">
        <f ca="1">IFERROR(__xludf.DUMMYFUNCTION("""COMPUTED_VALUE"""),"Stoker ")</f>
        <v>Stoker </v>
      </c>
      <c r="H2664" s="2">
        <v>-10220716</v>
      </c>
    </row>
    <row r="2665" spans="7:8" x14ac:dyDescent="0.25">
      <c r="G2665" s="2" t="str">
        <f ca="1">IFERROR(__xludf.DUMMYFUNCTION("""COMPUTED_VALUE"""),"2046 ")</f>
        <v>2046 </v>
      </c>
      <c r="H2665" s="2">
        <v>-10297723</v>
      </c>
    </row>
    <row r="2666" spans="7:8" x14ac:dyDescent="0.25">
      <c r="G2666" s="2" t="str">
        <f ca="1">IFERROR(__xludf.DUMMYFUNCTION("""COMPUTED_VALUE"""),"Married Life ")</f>
        <v>Married Life </v>
      </c>
      <c r="H2666" s="2">
        <v>-11738519</v>
      </c>
    </row>
    <row r="2667" spans="7:8" x14ac:dyDescent="0.25">
      <c r="G2667" s="2" t="str">
        <f ca="1">IFERROR(__xludf.DUMMYFUNCTION("""COMPUTED_VALUE"""),"Duma ")</f>
        <v>Duma </v>
      </c>
      <c r="H2667" s="2">
        <v>-10493002</v>
      </c>
    </row>
    <row r="2668" spans="7:8" x14ac:dyDescent="0.25">
      <c r="G2668" s="2" t="str">
        <f ca="1">IFERROR(__xludf.DUMMYFUNCTION("""COMPUTED_VALUE"""),"Ondine ")</f>
        <v>Ondine </v>
      </c>
      <c r="H2668" s="2">
        <v>-11139998</v>
      </c>
    </row>
    <row r="2669" spans="7:8" x14ac:dyDescent="0.25">
      <c r="G2669" s="2" t="str">
        <f ca="1">IFERROR(__xludf.DUMMYFUNCTION("""COMPUTED_VALUE"""),"Brother ")</f>
        <v>Brother </v>
      </c>
      <c r="H2669" s="2">
        <v>-11451066</v>
      </c>
    </row>
    <row r="2670" spans="7:8" x14ac:dyDescent="0.25">
      <c r="G2670" s="2" t="str">
        <f ca="1">IFERROR(__xludf.DUMMYFUNCTION("""COMPUTED_VALUE"""),"Welcome to Collinwood ")</f>
        <v>Welcome to Collinwood </v>
      </c>
      <c r="H2670" s="2">
        <v>-9552250</v>
      </c>
    </row>
    <row r="2671" spans="7:8" x14ac:dyDescent="0.25">
      <c r="G2671" s="2" t="str">
        <f ca="1">IFERROR(__xludf.DUMMYFUNCTION("""COMPUTED_VALUE"""),"Critical Care ")</f>
        <v>Critical Care </v>
      </c>
      <c r="H2671" s="2">
        <v>-11666024</v>
      </c>
    </row>
    <row r="2672" spans="7:8" x14ac:dyDescent="0.25">
      <c r="G2672" s="2" t="str">
        <f ca="1">IFERROR(__xludf.DUMMYFUNCTION("""COMPUTED_VALUE"""),"The Life Before Her Eyes ")</f>
        <v>The Life Before Her Eyes </v>
      </c>
      <c r="H2672" s="2">
        <v>-11858147</v>
      </c>
    </row>
    <row r="2673" spans="7:8" x14ac:dyDescent="0.25">
      <c r="G2673" s="2" t="str">
        <f ca="1">IFERROR(__xludf.DUMMYFUNCTION("""COMPUTED_VALUE"""),"Trade ")</f>
        <v>Trade </v>
      </c>
      <c r="H2673" s="2">
        <v>-7696561</v>
      </c>
    </row>
    <row r="2674" spans="7:8" x14ac:dyDescent="0.25">
      <c r="G2674" s="2" t="str">
        <f ca="1">IFERROR(__xludf.DUMMYFUNCTION("""COMPUTED_VALUE"""),"Fateless ")</f>
        <v>Fateless </v>
      </c>
      <c r="H2674" s="2">
        <v>-11785798</v>
      </c>
    </row>
    <row r="2675" spans="7:8" x14ac:dyDescent="0.25">
      <c r="G2675" s="2" t="str">
        <f ca="1">IFERROR(__xludf.DUMMYFUNCTION("""COMPUTED_VALUE"""),"Breakfast of Champions ")</f>
        <v>Breakfast of Champions </v>
      </c>
      <c r="H2675" s="2">
        <v>-2499804112</v>
      </c>
    </row>
    <row r="2676" spans="7:8" x14ac:dyDescent="0.25">
      <c r="G2676" s="2" t="str">
        <f ca="1">IFERROR(__xludf.DUMMYFUNCTION("""COMPUTED_VALUE"""),"City of Life and Death ")</f>
        <v>City of Life and Death </v>
      </c>
      <c r="H2676" s="2">
        <v>-11824630</v>
      </c>
    </row>
    <row r="2677" spans="7:8" x14ac:dyDescent="0.25">
      <c r="G2677" s="2" t="str">
        <f ca="1">IFERROR(__xludf.DUMMYFUNCTION("""COMPUTED_VALUE"""),"5 Days of War ")</f>
        <v>5 Days of War </v>
      </c>
      <c r="H2677" s="2">
        <v>-11880078</v>
      </c>
    </row>
    <row r="2678" spans="7:8" x14ac:dyDescent="0.25">
      <c r="G2678" s="2" t="str">
        <f ca="1">IFERROR(__xludf.DUMMYFUNCTION("""COMPUTED_VALUE"""),"10 Days in a Madhouse ")</f>
        <v>10 Days in a Madhouse </v>
      </c>
      <c r="H2678" s="2">
        <v>-19982851</v>
      </c>
    </row>
    <row r="2679" spans="7:8" x14ac:dyDescent="0.25">
      <c r="G2679" s="2" t="str">
        <f ca="1">IFERROR(__xludf.DUMMYFUNCTION("""COMPUTED_VALUE"""),"Heaven Is for Real ")</f>
        <v>Heaven Is for Real </v>
      </c>
      <c r="H2679" s="2">
        <v>-11985384</v>
      </c>
    </row>
    <row r="2680" spans="7:8" x14ac:dyDescent="0.25">
      <c r="G2680" s="2" t="str">
        <f ca="1">IFERROR(__xludf.DUMMYFUNCTION("""COMPUTED_VALUE"""),"Snatch ")</f>
        <v>Snatch </v>
      </c>
      <c r="H2680" s="2">
        <v>79443253</v>
      </c>
    </row>
    <row r="2681" spans="7:8" x14ac:dyDescent="0.25">
      <c r="G2681" s="2" t="str">
        <f ca="1">IFERROR(__xludf.DUMMYFUNCTION("""COMPUTED_VALUE"""),"Pet Sematary ")</f>
        <v>Pet Sematary </v>
      </c>
      <c r="H2681" s="2">
        <v>24093107</v>
      </c>
    </row>
    <row r="2682" spans="7:8" x14ac:dyDescent="0.25">
      <c r="G2682" s="2" t="str">
        <f ca="1">IFERROR(__xludf.DUMMYFUNCTION("""COMPUTED_VALUE"""),"Madadayo ")</f>
        <v>Madadayo </v>
      </c>
      <c r="H2682" s="2">
        <v>45969179</v>
      </c>
    </row>
    <row r="2683" spans="7:8" x14ac:dyDescent="0.25">
      <c r="G2683" s="2" t="str">
        <f ca="1">IFERROR(__xludf.DUMMYFUNCTION("""COMPUTED_VALUE"""),"Gremlins ")</f>
        <v>Gremlins </v>
      </c>
      <c r="H2683" s="2">
        <v>-11851144</v>
      </c>
    </row>
    <row r="2684" spans="7:8" x14ac:dyDescent="0.25">
      <c r="G2684" s="2" t="str">
        <f ca="1">IFERROR(__xludf.DUMMYFUNCTION("""COMPUTED_VALUE"""),"Star Wars: Episode IV - A New Hope ")</f>
        <v>Star Wars: Episode IV - A New Hope </v>
      </c>
      <c r="H2684" s="2">
        <v>137170000</v>
      </c>
    </row>
    <row r="2685" spans="7:8" x14ac:dyDescent="0.25">
      <c r="G2685" s="2" t="str">
        <f ca="1">IFERROR(__xludf.DUMMYFUNCTION("""COMPUTED_VALUE"""),"Dirty Grandpa ")</f>
        <v>Dirty Grandpa </v>
      </c>
      <c r="H2685" s="2">
        <v>449935665</v>
      </c>
    </row>
    <row r="2686" spans="7:8" x14ac:dyDescent="0.25">
      <c r="G2686" s="2" t="str">
        <f ca="1">IFERROR(__xludf.DUMMYFUNCTION("""COMPUTED_VALUE"""),"Doctor Zhivago ")</f>
        <v>Doctor Zhivago </v>
      </c>
      <c r="H2686" s="2">
        <v>24037564</v>
      </c>
    </row>
    <row r="2687" spans="7:8" x14ac:dyDescent="0.25">
      <c r="G2687" s="2" t="str">
        <f ca="1">IFERROR(__xludf.DUMMYFUNCTION("""COMPUTED_VALUE"""),"High School Musical 3: Senior Year ")</f>
        <v>High School Musical 3: Senior Year </v>
      </c>
      <c r="H2687" s="2">
        <v>100722000</v>
      </c>
    </row>
    <row r="2688" spans="7:8" x14ac:dyDescent="0.25">
      <c r="G2688" s="2" t="str">
        <f ca="1">IFERROR(__xludf.DUMMYFUNCTION("""COMPUTED_VALUE"""),"The Fighter ")</f>
        <v>The Fighter </v>
      </c>
      <c r="H2688" s="2">
        <v>79556401</v>
      </c>
    </row>
    <row r="2689" spans="7:8" x14ac:dyDescent="0.25">
      <c r="G2689" s="2" t="str">
        <f ca="1">IFERROR(__xludf.DUMMYFUNCTION("""COMPUTED_VALUE"""),"My Cousin Vinny ")</f>
        <v>My Cousin Vinny </v>
      </c>
      <c r="H2689" s="2">
        <v>68571803</v>
      </c>
    </row>
    <row r="2690" spans="7:8" x14ac:dyDescent="0.25">
      <c r="G2690" s="2" t="str">
        <f ca="1">IFERROR(__xludf.DUMMYFUNCTION("""COMPUTED_VALUE"""),"If I Stay ")</f>
        <v>If I Stay </v>
      </c>
      <c r="H2690" s="2">
        <v>41929168</v>
      </c>
    </row>
    <row r="2691" spans="7:8" x14ac:dyDescent="0.25">
      <c r="G2691" s="2" t="str">
        <f ca="1">IFERROR(__xludf.DUMMYFUNCTION("""COMPUTED_VALUE"""),"Major League ")</f>
        <v>Major League </v>
      </c>
      <c r="H2691" s="2">
        <v>39461335</v>
      </c>
    </row>
    <row r="2692" spans="7:8" x14ac:dyDescent="0.25">
      <c r="G2692" s="2" t="str">
        <f ca="1">IFERROR(__xludf.DUMMYFUNCTION("""COMPUTED_VALUE"""),"Phone Booth ")</f>
        <v>Phone Booth </v>
      </c>
      <c r="H2692" s="2">
        <v>38797148</v>
      </c>
    </row>
    <row r="2693" spans="7:8" x14ac:dyDescent="0.25">
      <c r="G2693" s="2" t="str">
        <f ca="1">IFERROR(__xludf.DUMMYFUNCTION("""COMPUTED_VALUE"""),"A Walk to Remember ")</f>
        <v>A Walk to Remember </v>
      </c>
      <c r="H2693" s="2">
        <v>33563158</v>
      </c>
    </row>
    <row r="2694" spans="7:8" x14ac:dyDescent="0.25">
      <c r="G2694" s="2" t="str">
        <f ca="1">IFERROR(__xludf.DUMMYFUNCTION("""COMPUTED_VALUE"""),"Dead Man Walking ")</f>
        <v>Dead Man Walking </v>
      </c>
      <c r="H2694" s="2">
        <v>30227069</v>
      </c>
    </row>
    <row r="2695" spans="7:8" x14ac:dyDescent="0.25">
      <c r="G2695" s="2" t="str">
        <f ca="1">IFERROR(__xludf.DUMMYFUNCTION("""COMPUTED_VALUE"""),"Cruel Intentions ")</f>
        <v>Cruel Intentions </v>
      </c>
      <c r="H2695" s="2">
        <v>28025000</v>
      </c>
    </row>
    <row r="2696" spans="7:8" x14ac:dyDescent="0.25">
      <c r="G2696" s="2" t="str">
        <f ca="1">IFERROR(__xludf.DUMMYFUNCTION("""COMPUTED_VALUE"""),"Saw VI ")</f>
        <v>Saw VI </v>
      </c>
      <c r="H2696" s="2">
        <v>27701895</v>
      </c>
    </row>
    <row r="2697" spans="7:8" x14ac:dyDescent="0.25">
      <c r="G2697" s="2" t="str">
        <f ca="1">IFERROR(__xludf.DUMMYFUNCTION("""COMPUTED_VALUE"""),"The Secret Life of Bees ")</f>
        <v>The Secret Life of Bees </v>
      </c>
      <c r="H2697" s="2">
        <v>16669413</v>
      </c>
    </row>
    <row r="2698" spans="7:8" x14ac:dyDescent="0.25">
      <c r="G2698" s="2" t="str">
        <f ca="1">IFERROR(__xludf.DUMMYFUNCTION("""COMPUTED_VALUE"""),"Corky Romano ")</f>
        <v>Corky Romano </v>
      </c>
      <c r="H2698" s="2">
        <v>26766350</v>
      </c>
    </row>
    <row r="2699" spans="7:8" x14ac:dyDescent="0.25">
      <c r="G2699" s="2" t="str">
        <f ca="1">IFERROR(__xludf.DUMMYFUNCTION("""COMPUTED_VALUE"""),"Raising Cain ")</f>
        <v>Raising Cain </v>
      </c>
      <c r="H2699" s="2">
        <v>12978402</v>
      </c>
    </row>
    <row r="2700" spans="7:8" x14ac:dyDescent="0.25">
      <c r="G2700" s="2" t="str">
        <f ca="1">IFERROR(__xludf.DUMMYFUNCTION("""COMPUTED_VALUE"""),"Invaders from Mars ")</f>
        <v>Invaders from Mars </v>
      </c>
      <c r="H2700" s="2">
        <v>9370057</v>
      </c>
    </row>
    <row r="2701" spans="7:8" x14ac:dyDescent="0.25">
      <c r="G2701" s="2" t="str">
        <f ca="1">IFERROR(__xludf.DUMMYFUNCTION("""COMPUTED_VALUE"""),"Brooklyn ")</f>
        <v>Brooklyn </v>
      </c>
      <c r="H2701" s="2">
        <v>-7115337</v>
      </c>
    </row>
    <row r="2702" spans="7:8" x14ac:dyDescent="0.25">
      <c r="G2702" s="2" t="str">
        <f ca="1">IFERROR(__xludf.DUMMYFUNCTION("""COMPUTED_VALUE"""),"Out Cold ")</f>
        <v>Out Cold </v>
      </c>
      <c r="H2702" s="2">
        <v>27317535</v>
      </c>
    </row>
    <row r="2703" spans="7:8" x14ac:dyDescent="0.25">
      <c r="G2703" s="2" t="str">
        <f ca="1">IFERROR(__xludf.DUMMYFUNCTION("""COMPUTED_VALUE"""),"The Ladies Man ")</f>
        <v>The Ladies Man </v>
      </c>
      <c r="H2703" s="2">
        <v>2903262</v>
      </c>
    </row>
    <row r="2704" spans="7:8" x14ac:dyDescent="0.25">
      <c r="G2704" s="2" t="str">
        <f ca="1">IFERROR(__xludf.DUMMYFUNCTION("""COMPUTED_VALUE"""),"Quartet ")</f>
        <v>Quartet </v>
      </c>
      <c r="H2704" s="2">
        <v>2592872</v>
      </c>
    </row>
    <row r="2705" spans="7:8" x14ac:dyDescent="0.25">
      <c r="G2705" s="2" t="str">
        <f ca="1">IFERROR(__xludf.DUMMYFUNCTION("""COMPUTED_VALUE"""),"Tomcats ")</f>
        <v>Tomcats </v>
      </c>
      <c r="H2705" s="2">
        <v>7381787</v>
      </c>
    </row>
    <row r="2706" spans="7:8" x14ac:dyDescent="0.25">
      <c r="G2706" s="2" t="str">
        <f ca="1">IFERROR(__xludf.DUMMYFUNCTION("""COMPUTED_VALUE"""),"Frailty ")</f>
        <v>Frailty </v>
      </c>
      <c r="H2706" s="2">
        <v>2558739</v>
      </c>
    </row>
    <row r="2707" spans="7:8" x14ac:dyDescent="0.25">
      <c r="G2707" s="2" t="str">
        <f ca="1">IFERROR(__xludf.DUMMYFUNCTION("""COMPUTED_VALUE"""),"Woman in Gold ")</f>
        <v>Woman in Gold </v>
      </c>
      <c r="H2707" s="2">
        <v>2103828</v>
      </c>
    </row>
    <row r="2708" spans="7:8" x14ac:dyDescent="0.25">
      <c r="G2708" s="2" t="str">
        <f ca="1">IFERROR(__xludf.DUMMYFUNCTION("""COMPUTED_VALUE"""),"Kinsey ")</f>
        <v>Kinsey </v>
      </c>
      <c r="H2708" s="2">
        <v>22305037</v>
      </c>
    </row>
    <row r="2709" spans="7:8" x14ac:dyDescent="0.25">
      <c r="G2709" s="2" t="str">
        <f ca="1">IFERROR(__xludf.DUMMYFUNCTION("""COMPUTED_VALUE"""),"Army of Darkness ")</f>
        <v>Army of Darkness </v>
      </c>
      <c r="H2709" s="2">
        <v>-785353</v>
      </c>
    </row>
    <row r="2710" spans="7:8" x14ac:dyDescent="0.25">
      <c r="G2710" s="2" t="str">
        <f ca="1">IFERROR(__xludf.DUMMYFUNCTION("""COMPUTED_VALUE"""),"Slackers ")</f>
        <v>Slackers </v>
      </c>
      <c r="H2710" s="2">
        <v>-1498907</v>
      </c>
    </row>
    <row r="2711" spans="7:8" x14ac:dyDescent="0.25">
      <c r="G2711" s="2" t="str">
        <f ca="1">IFERROR(__xludf.DUMMYFUNCTION("""COMPUTED_VALUE"""),"What's Eating Gilbert Grape ")</f>
        <v>What's Eating Gilbert Grape </v>
      </c>
      <c r="H2711" s="2">
        <v>-6185756</v>
      </c>
    </row>
    <row r="2712" spans="7:8" x14ac:dyDescent="0.25">
      <c r="G2712" s="2" t="str">
        <f ca="1">IFERROR(__xludf.DUMMYFUNCTION("""COMPUTED_VALUE"""),"The Visual Bible: The Gospel of John ")</f>
        <v>The Visual Bible: The Gospel of John </v>
      </c>
      <c r="H2712" s="2">
        <v>-1829786</v>
      </c>
    </row>
    <row r="2713" spans="7:8" x14ac:dyDescent="0.25">
      <c r="G2713" s="2" t="str">
        <f ca="1">IFERROR(__xludf.DUMMYFUNCTION("""COMPUTED_VALUE"""),"Vera Drake ")</f>
        <v>Vera Drake </v>
      </c>
      <c r="H2713" s="2">
        <v>-12931913</v>
      </c>
    </row>
    <row r="2714" spans="7:8" x14ac:dyDescent="0.25">
      <c r="G2714" s="2" t="str">
        <f ca="1">IFERROR(__xludf.DUMMYFUNCTION("""COMPUTED_VALUE"""),"The Guru ")</f>
        <v>The Guru </v>
      </c>
      <c r="H2714" s="2">
        <v>-7246194</v>
      </c>
    </row>
    <row r="2715" spans="7:8" x14ac:dyDescent="0.25">
      <c r="G2715" s="2" t="str">
        <f ca="1">IFERROR(__xludf.DUMMYFUNCTION("""COMPUTED_VALUE"""),"The Perez Family ")</f>
        <v>The Perez Family </v>
      </c>
      <c r="H2715" s="2">
        <v>-7965819</v>
      </c>
    </row>
    <row r="2716" spans="7:8" x14ac:dyDescent="0.25">
      <c r="G2716" s="2" t="str">
        <f ca="1">IFERROR(__xludf.DUMMYFUNCTION("""COMPUTED_VALUE"""),"Inside Llewyn Davis ")</f>
        <v>Inside Llewyn Davis </v>
      </c>
      <c r="H2716" s="2">
        <v>-8167174</v>
      </c>
    </row>
    <row r="2717" spans="7:8" x14ac:dyDescent="0.25">
      <c r="G2717" s="2" t="str">
        <f ca="1">IFERROR(__xludf.DUMMYFUNCTION("""COMPUTED_VALUE"""),"O ")</f>
        <v>O </v>
      </c>
      <c r="H2717" s="2">
        <v>2214255</v>
      </c>
    </row>
    <row r="2718" spans="7:8" x14ac:dyDescent="0.25">
      <c r="G2718" s="2" t="str">
        <f ca="1">IFERROR(__xludf.DUMMYFUNCTION("""COMPUTED_VALUE"""),"Return to the Blue Lagoon ")</f>
        <v>Return to the Blue Lagoon </v>
      </c>
      <c r="H2718" s="2">
        <v>11017403</v>
      </c>
    </row>
    <row r="2719" spans="7:8" x14ac:dyDescent="0.25">
      <c r="G2719" s="2" t="str">
        <f ca="1">IFERROR(__xludf.DUMMYFUNCTION("""COMPUTED_VALUE"""),"Copying Beethoven ")</f>
        <v>Copying Beethoven </v>
      </c>
      <c r="H2719" s="2">
        <v>-8192146</v>
      </c>
    </row>
    <row r="2720" spans="7:8" x14ac:dyDescent="0.25">
      <c r="G2720" s="2" t="str">
        <f ca="1">IFERROR(__xludf.DUMMYFUNCTION("""COMPUTED_VALUE"""),"Saw V ")</f>
        <v>Saw V </v>
      </c>
      <c r="H2720" s="2">
        <v>-10647214</v>
      </c>
    </row>
    <row r="2721" spans="7:8" x14ac:dyDescent="0.25">
      <c r="G2721" s="2" t="str">
        <f ca="1">IFERROR(__xludf.DUMMYFUNCTION("""COMPUTED_VALUE"""),"Jindabyne ")</f>
        <v>Jindabyne </v>
      </c>
      <c r="H2721" s="2">
        <v>45929973</v>
      </c>
    </row>
    <row r="2722" spans="7:8" x14ac:dyDescent="0.25">
      <c r="G2722" s="2" t="str">
        <f ca="1">IFERROR(__xludf.DUMMYFUNCTION("""COMPUTED_VALUE"""),"Kabhi Alvida Naa Kehna ")</f>
        <v>Kabhi Alvida Naa Kehna </v>
      </c>
      <c r="H2722" s="2">
        <v>-14600121</v>
      </c>
    </row>
    <row r="2723" spans="7:8" x14ac:dyDescent="0.25">
      <c r="G2723" s="2" t="str">
        <f ca="1">IFERROR(__xludf.DUMMYFUNCTION("""COMPUTED_VALUE"""),"An Ideal Husband ")</f>
        <v>An Ideal Husband </v>
      </c>
      <c r="H2723" s="2">
        <v>-696724557</v>
      </c>
    </row>
    <row r="2724" spans="7:8" x14ac:dyDescent="0.25">
      <c r="G2724" s="2" t="str">
        <f ca="1">IFERROR(__xludf.DUMMYFUNCTION("""COMPUTED_VALUE"""),"The Last Days on Mars ")</f>
        <v>The Last Days on Mars </v>
      </c>
      <c r="H2724" s="2">
        <v>4535191</v>
      </c>
    </row>
    <row r="2725" spans="7:8" x14ac:dyDescent="0.25">
      <c r="G2725" s="2" t="str">
        <f ca="1">IFERROR(__xludf.DUMMYFUNCTION("""COMPUTED_VALUE"""),"Darkness ")</f>
        <v>Darkness </v>
      </c>
      <c r="H2725" s="2">
        <v>-6976162</v>
      </c>
    </row>
    <row r="2726" spans="7:8" x14ac:dyDescent="0.25">
      <c r="G2726" s="2" t="str">
        <f ca="1">IFERROR(__xludf.DUMMYFUNCTION("""COMPUTED_VALUE"""),"2001: A Space Odyssey ")</f>
        <v>2001: A Space Odyssey </v>
      </c>
      <c r="H2726" s="2">
        <v>11560085</v>
      </c>
    </row>
    <row r="2727" spans="7:8" x14ac:dyDescent="0.25">
      <c r="G2727" s="2" t="str">
        <f ca="1">IFERROR(__xludf.DUMMYFUNCTION("""COMPUTED_VALUE"""),"E.T. the Extra-Terrestrial ")</f>
        <v>E.T. the Extra-Terrestrial </v>
      </c>
      <c r="H2727" s="2">
        <v>44715371</v>
      </c>
    </row>
    <row r="2728" spans="7:8" x14ac:dyDescent="0.25">
      <c r="G2728" s="2" t="str">
        <f ca="1">IFERROR(__xludf.DUMMYFUNCTION("""COMPUTED_VALUE"""),"In the Land of Women ")</f>
        <v>In the Land of Women </v>
      </c>
      <c r="H2728" s="2">
        <v>424449459</v>
      </c>
    </row>
    <row r="2729" spans="7:8" x14ac:dyDescent="0.25">
      <c r="G2729" s="2" t="str">
        <f ca="1">IFERROR(__xludf.DUMMYFUNCTION("""COMPUTED_VALUE"""),"There Goes My Baby ")</f>
        <v>There Goes My Baby </v>
      </c>
      <c r="H2729" s="2">
        <v>1043445</v>
      </c>
    </row>
    <row r="2730" spans="7:8" x14ac:dyDescent="0.25">
      <c r="G2730" s="2" t="str">
        <f ca="1">IFERROR(__xludf.DUMMYFUNCTION("""COMPUTED_VALUE"""),"For Greater Glory: The True Story of Cristiada ")</f>
        <v>For Greater Glory: The True Story of Cristiada </v>
      </c>
      <c r="H2730" s="2">
        <v>-10374831</v>
      </c>
    </row>
    <row r="2731" spans="7:8" x14ac:dyDescent="0.25">
      <c r="G2731" s="2" t="str">
        <f ca="1">IFERROR(__xludf.DUMMYFUNCTION("""COMPUTED_VALUE"""),"Good Will Hunting ")</f>
        <v>Good Will Hunting </v>
      </c>
      <c r="H2731" s="2">
        <v>-5149694</v>
      </c>
    </row>
    <row r="2732" spans="7:8" x14ac:dyDescent="0.25">
      <c r="G2732" s="2" t="str">
        <f ca="1">IFERROR(__xludf.DUMMYFUNCTION("""COMPUTED_VALUE"""),"Saw III ")</f>
        <v>Saw III </v>
      </c>
      <c r="H2732" s="2">
        <v>128339411</v>
      </c>
    </row>
    <row r="2733" spans="7:8" x14ac:dyDescent="0.25">
      <c r="G2733" s="2" t="str">
        <f ca="1">IFERROR(__xludf.DUMMYFUNCTION("""COMPUTED_VALUE"""),"Stripes ")</f>
        <v>Stripes </v>
      </c>
      <c r="H2733" s="2">
        <v>70150343</v>
      </c>
    </row>
    <row r="2734" spans="7:8" x14ac:dyDescent="0.25">
      <c r="G2734" s="2" t="str">
        <f ca="1">IFERROR(__xludf.DUMMYFUNCTION("""COMPUTED_VALUE"""),"Bring It On ")</f>
        <v>Bring It On </v>
      </c>
      <c r="H2734" s="2">
        <v>75300000</v>
      </c>
    </row>
    <row r="2735" spans="7:8" x14ac:dyDescent="0.25">
      <c r="G2735" s="2" t="str">
        <f ca="1">IFERROR(__xludf.DUMMYFUNCTION("""COMPUTED_VALUE"""),"The Purge: Election Year ")</f>
        <v>The Purge: Election Year </v>
      </c>
      <c r="H2735" s="2">
        <v>58353550</v>
      </c>
    </row>
    <row r="2736" spans="7:8" x14ac:dyDescent="0.25">
      <c r="G2736" s="2" t="str">
        <f ca="1">IFERROR(__xludf.DUMMYFUNCTION("""COMPUTED_VALUE"""),"She's All That ")</f>
        <v>She's All That </v>
      </c>
      <c r="H2736" s="2">
        <v>68845130</v>
      </c>
    </row>
    <row r="2737" spans="7:8" x14ac:dyDescent="0.25">
      <c r="G2737" s="2" t="str">
        <f ca="1">IFERROR(__xludf.DUMMYFUNCTION("""COMPUTED_VALUE"""),"Saw IV ")</f>
        <v>Saw IV </v>
      </c>
      <c r="H2737" s="2">
        <v>53319509</v>
      </c>
    </row>
    <row r="2738" spans="7:8" x14ac:dyDescent="0.25">
      <c r="G2738" s="2" t="str">
        <f ca="1">IFERROR(__xludf.DUMMYFUNCTION("""COMPUTED_VALUE"""),"White Noise ")</f>
        <v>White Noise </v>
      </c>
      <c r="H2738" s="2">
        <v>53270259</v>
      </c>
    </row>
    <row r="2739" spans="7:8" x14ac:dyDescent="0.25">
      <c r="G2739" s="2" t="str">
        <f ca="1">IFERROR(__xludf.DUMMYFUNCTION("""COMPUTED_VALUE"""),"Madea's Family Reunion ")</f>
        <v>Madea's Family Reunion </v>
      </c>
      <c r="H2739" s="2">
        <v>45865715</v>
      </c>
    </row>
    <row r="2740" spans="7:8" x14ac:dyDescent="0.25">
      <c r="G2740" s="2" t="str">
        <f ca="1">IFERROR(__xludf.DUMMYFUNCTION("""COMPUTED_VALUE"""),"The Color of Money ")</f>
        <v>The Color of Money </v>
      </c>
      <c r="H2740" s="2">
        <v>57231524</v>
      </c>
    </row>
    <row r="2741" spans="7:8" x14ac:dyDescent="0.25">
      <c r="G2741" s="2" t="str">
        <f ca="1">IFERROR(__xludf.DUMMYFUNCTION("""COMPUTED_VALUE"""),"The Mighty Ducks ")</f>
        <v>The Mighty Ducks </v>
      </c>
      <c r="H2741" s="2">
        <v>38493982</v>
      </c>
    </row>
    <row r="2742" spans="7:8" x14ac:dyDescent="0.25">
      <c r="G2742" s="2" t="str">
        <f ca="1">IFERROR(__xludf.DUMMYFUNCTION("""COMPUTED_VALUE"""),"The Grudge ")</f>
        <v>The Grudge </v>
      </c>
      <c r="H2742" s="2">
        <v>40752337</v>
      </c>
    </row>
    <row r="2743" spans="7:8" x14ac:dyDescent="0.25">
      <c r="G2743" s="2" t="str">
        <f ca="1">IFERROR(__xludf.DUMMYFUNCTION("""COMPUTED_VALUE"""),"Happy Gilmore ")</f>
        <v>Happy Gilmore </v>
      </c>
      <c r="H2743" s="2">
        <v>100175871</v>
      </c>
    </row>
    <row r="2744" spans="7:8" x14ac:dyDescent="0.25">
      <c r="G2744" s="2" t="str">
        <f ca="1">IFERROR(__xludf.DUMMYFUNCTION("""COMPUTED_VALUE"""),"Jeepers Creepers ")</f>
        <v>Jeepers Creepers </v>
      </c>
      <c r="H2744" s="2">
        <v>26624000</v>
      </c>
    </row>
    <row r="2745" spans="7:8" x14ac:dyDescent="0.25">
      <c r="G2745" s="2" t="str">
        <f ca="1">IFERROR(__xludf.DUMMYFUNCTION("""COMPUTED_VALUE"""),"Bill &amp; Ted's Excellent Adventure ")</f>
        <v>Bill &amp; Ted's Excellent Adventure </v>
      </c>
      <c r="H2745" s="2">
        <v>27470017</v>
      </c>
    </row>
    <row r="2746" spans="7:8" x14ac:dyDescent="0.25">
      <c r="G2746" s="2" t="str">
        <f ca="1">IFERROR(__xludf.DUMMYFUNCTION("""COMPUTED_VALUE"""),"Oliver! ")</f>
        <v>Oliver! </v>
      </c>
      <c r="H2746" s="2">
        <v>30485039</v>
      </c>
    </row>
    <row r="2747" spans="7:8" x14ac:dyDescent="0.25">
      <c r="G2747" s="2" t="str">
        <f ca="1">IFERROR(__xludf.DUMMYFUNCTION("""COMPUTED_VALUE"""),"The Best Exotic Marigold Hotel ")</f>
        <v>The Best Exotic Marigold Hotel </v>
      </c>
      <c r="H2747" s="2">
        <v>6800000</v>
      </c>
    </row>
    <row r="2748" spans="7:8" x14ac:dyDescent="0.25">
      <c r="G2748" s="2" t="str">
        <f ca="1">IFERROR(__xludf.DUMMYFUNCTION("""COMPUTED_VALUE"""),"Recess: School's Out ")</f>
        <v>Recess: School's Out </v>
      </c>
      <c r="H2748" s="2">
        <v>36377022</v>
      </c>
    </row>
    <row r="2749" spans="7:8" x14ac:dyDescent="0.25">
      <c r="G2749" s="2" t="str">
        <f ca="1">IFERROR(__xludf.DUMMYFUNCTION("""COMPUTED_VALUE"""),"Mad Max Beyond Thunderdome ")</f>
        <v>Mad Max Beyond Thunderdome </v>
      </c>
      <c r="H2749" s="2">
        <v>13696761</v>
      </c>
    </row>
    <row r="2750" spans="7:8" x14ac:dyDescent="0.25">
      <c r="G2750" s="2" t="str">
        <f ca="1">IFERROR(__xludf.DUMMYFUNCTION("""COMPUTED_VALUE"""),"The Boy ")</f>
        <v>The Boy </v>
      </c>
      <c r="H2750" s="2">
        <v>23894477</v>
      </c>
    </row>
    <row r="2751" spans="7:8" x14ac:dyDescent="0.25">
      <c r="G2751" s="2" t="str">
        <f ca="1">IFERROR(__xludf.DUMMYFUNCTION("""COMPUTED_VALUE"""),"Devil ")</f>
        <v>Devil </v>
      </c>
      <c r="H2751" s="2">
        <v>25794166</v>
      </c>
    </row>
    <row r="2752" spans="7:8" x14ac:dyDescent="0.25">
      <c r="G2752" s="2" t="str">
        <f ca="1">IFERROR(__xludf.DUMMYFUNCTION("""COMPUTED_VALUE"""),"Friday After Next ")</f>
        <v>Friday After Next </v>
      </c>
      <c r="H2752" s="2">
        <v>23583175</v>
      </c>
    </row>
    <row r="2753" spans="7:8" x14ac:dyDescent="0.25">
      <c r="G2753" s="2" t="str">
        <f ca="1">IFERROR(__xludf.DUMMYFUNCTION("""COMPUTED_VALUE"""),"Insidious: Chapter 3 ")</f>
        <v>Insidious: Chapter 3 </v>
      </c>
      <c r="H2753" s="2">
        <v>12983713</v>
      </c>
    </row>
    <row r="2754" spans="7:8" x14ac:dyDescent="0.25">
      <c r="G2754" s="2" t="str">
        <f ca="1">IFERROR(__xludf.DUMMYFUNCTION("""COMPUTED_VALUE"""),"The Last Dragon ")</f>
        <v>The Last Dragon </v>
      </c>
      <c r="H2754" s="2">
        <v>42200504</v>
      </c>
    </row>
    <row r="2755" spans="7:8" x14ac:dyDescent="0.25">
      <c r="G2755" s="2" t="str">
        <f ca="1">IFERROR(__xludf.DUMMYFUNCTION("""COMPUTED_VALUE"""),"The Lawnmower Man ")</f>
        <v>The Lawnmower Man </v>
      </c>
      <c r="H2755" s="2">
        <v>23000000</v>
      </c>
    </row>
    <row r="2756" spans="7:8" x14ac:dyDescent="0.25">
      <c r="G2756" s="2" t="str">
        <f ca="1">IFERROR(__xludf.DUMMYFUNCTION("""COMPUTED_VALUE"""),"Nick and Norah's Infinite Playlist ")</f>
        <v>Nick and Norah's Infinite Playlist </v>
      </c>
      <c r="H2756" s="2">
        <v>22101000</v>
      </c>
    </row>
    <row r="2757" spans="7:8" x14ac:dyDescent="0.25">
      <c r="G2757" s="2" t="str">
        <f ca="1">IFERROR(__xludf.DUMMYFUNCTION("""COMPUTED_VALUE"""),"Dogma ")</f>
        <v>Dogma </v>
      </c>
      <c r="H2757" s="2">
        <v>22487293</v>
      </c>
    </row>
    <row r="2758" spans="7:8" x14ac:dyDescent="0.25">
      <c r="G2758" s="2" t="str">
        <f ca="1">IFERROR(__xludf.DUMMYFUNCTION("""COMPUTED_VALUE"""),"The Banger Sisters ")</f>
        <v>The Banger Sisters </v>
      </c>
      <c r="H2758" s="2">
        <v>20651422</v>
      </c>
    </row>
    <row r="2759" spans="7:8" x14ac:dyDescent="0.25">
      <c r="G2759" s="2" t="str">
        <f ca="1">IFERROR(__xludf.DUMMYFUNCTION("""COMPUTED_VALUE"""),"Twilight Zone: The Movie ")</f>
        <v>Twilight Zone: The Movie </v>
      </c>
      <c r="H2759" s="2">
        <v>20306281</v>
      </c>
    </row>
    <row r="2760" spans="7:8" x14ac:dyDescent="0.25">
      <c r="G2760" s="2" t="str">
        <f ca="1">IFERROR(__xludf.DUMMYFUNCTION("""COMPUTED_VALUE"""),"Road House ")</f>
        <v>Road House </v>
      </c>
      <c r="H2760" s="2">
        <v>19500000</v>
      </c>
    </row>
    <row r="2761" spans="7:8" x14ac:dyDescent="0.25">
      <c r="G2761" s="2" t="str">
        <f ca="1">IFERROR(__xludf.DUMMYFUNCTION("""COMPUTED_VALUE"""),"A Low Down Dirty Shame ")</f>
        <v>A Low Down Dirty Shame </v>
      </c>
      <c r="H2761" s="2">
        <v>13050028</v>
      </c>
    </row>
    <row r="2762" spans="7:8" x14ac:dyDescent="0.25">
      <c r="G2762" s="2" t="str">
        <f ca="1">IFERROR(__xludf.DUMMYFUNCTION("""COMPUTED_VALUE"""),"Swimfan ")</f>
        <v>Swimfan </v>
      </c>
      <c r="H2762" s="2">
        <v>19392418</v>
      </c>
    </row>
    <row r="2763" spans="7:8" x14ac:dyDescent="0.25">
      <c r="G2763" s="2" t="str">
        <f ca="1">IFERROR(__xludf.DUMMYFUNCTION("""COMPUTED_VALUE"""),"Employee of the Month ")</f>
        <v>Employee of the Month </v>
      </c>
      <c r="H2763" s="2">
        <v>20063926</v>
      </c>
    </row>
    <row r="2764" spans="7:8" x14ac:dyDescent="0.25">
      <c r="G2764" s="2" t="str">
        <f ca="1">IFERROR(__xludf.DUMMYFUNCTION("""COMPUTED_VALUE"""),"Can't Hardly Wait ")</f>
        <v>Can't Hardly Wait </v>
      </c>
      <c r="H2764" s="2">
        <v>16435406</v>
      </c>
    </row>
    <row r="2765" spans="7:8" x14ac:dyDescent="0.25">
      <c r="G2765" s="2" t="str">
        <f ca="1">IFERROR(__xludf.DUMMYFUNCTION("""COMPUTED_VALUE"""),"The Outsiders ")</f>
        <v>The Outsiders </v>
      </c>
      <c r="H2765" s="2">
        <v>15339117</v>
      </c>
    </row>
    <row r="2766" spans="7:8" x14ac:dyDescent="0.25">
      <c r="G2766" s="2" t="str">
        <f ca="1">IFERROR(__xludf.DUMMYFUNCTION("""COMPUTED_VALUE"""),"Sinister 2 ")</f>
        <v>Sinister 2 </v>
      </c>
      <c r="H2766" s="2">
        <v>15600000</v>
      </c>
    </row>
    <row r="2767" spans="7:8" x14ac:dyDescent="0.25">
      <c r="G2767" s="2" t="str">
        <f ca="1">IFERROR(__xludf.DUMMYFUNCTION("""COMPUTED_VALUE"""),"Sparkle ")</f>
        <v>Sparkle </v>
      </c>
      <c r="H2767" s="2">
        <v>17736779</v>
      </c>
    </row>
    <row r="2768" spans="7:8" x14ac:dyDescent="0.25">
      <c r="G2768" s="2" t="str">
        <f ca="1">IFERROR(__xludf.DUMMYFUNCTION("""COMPUTED_VALUE"""),"Valentine ")</f>
        <v>Valentine </v>
      </c>
      <c r="H2768" s="2">
        <v>7397469</v>
      </c>
    </row>
    <row r="2769" spans="7:8" x14ac:dyDescent="0.25">
      <c r="G2769" s="2" t="str">
        <f ca="1">IFERROR(__xludf.DUMMYFUNCTION("""COMPUTED_VALUE"""),"The Fourth Kind ")</f>
        <v>The Fourth Kind </v>
      </c>
      <c r="H2769" s="2">
        <v>10384136</v>
      </c>
    </row>
    <row r="2770" spans="7:8" x14ac:dyDescent="0.25">
      <c r="G2770" s="2" t="str">
        <f ca="1">IFERROR(__xludf.DUMMYFUNCTION("""COMPUTED_VALUE"""),"A Prairie Home Companion ")</f>
        <v>A Prairie Home Companion </v>
      </c>
      <c r="H2770" s="2">
        <v>15464480</v>
      </c>
    </row>
    <row r="2771" spans="7:8" x14ac:dyDescent="0.25">
      <c r="G2771" s="2" t="str">
        <f ca="1">IFERROR(__xludf.DUMMYFUNCTION("""COMPUTED_VALUE"""),"Sugar Hill ")</f>
        <v>Sugar Hill </v>
      </c>
      <c r="H2771" s="2">
        <v>10338609</v>
      </c>
    </row>
    <row r="2772" spans="7:8" x14ac:dyDescent="0.25">
      <c r="G2772" s="2" t="str">
        <f ca="1">IFERROR(__xludf.DUMMYFUNCTION("""COMPUTED_VALUE"""),"Rushmore ")</f>
        <v>Rushmore </v>
      </c>
      <c r="H2772" s="2">
        <v>8272447</v>
      </c>
    </row>
    <row r="2773" spans="7:8" x14ac:dyDescent="0.25">
      <c r="G2773" s="2" t="str">
        <f ca="1">IFERROR(__xludf.DUMMYFUNCTION("""COMPUTED_VALUE"""),"Skyline ")</f>
        <v>Skyline </v>
      </c>
      <c r="H2773" s="2">
        <v>8096053</v>
      </c>
    </row>
    <row r="2774" spans="7:8" x14ac:dyDescent="0.25">
      <c r="G2774" s="2" t="str">
        <f ca="1">IFERROR(__xludf.DUMMYFUNCTION("""COMPUTED_VALUE"""),"The Second Best Exotic Marigold Hotel ")</f>
        <v>The Second Best Exotic Marigold Hotel </v>
      </c>
      <c r="H2774" s="2">
        <v>11371425</v>
      </c>
    </row>
    <row r="2775" spans="7:8" x14ac:dyDescent="0.25">
      <c r="G2775" s="2" t="str">
        <f ca="1">IFERROR(__xludf.DUMMYFUNCTION("""COMPUTED_VALUE"""),"Kit Kittredge: An American Girl ")</f>
        <v>Kit Kittredge: An American Girl </v>
      </c>
      <c r="H2775" s="2">
        <v>23071558</v>
      </c>
    </row>
    <row r="2776" spans="7:8" x14ac:dyDescent="0.25">
      <c r="G2776" s="2" t="str">
        <f ca="1">IFERROR(__xludf.DUMMYFUNCTION("""COMPUTED_VALUE"""),"The Perfect Man ")</f>
        <v>The Perfect Man </v>
      </c>
      <c r="H2776" s="2">
        <v>7655201</v>
      </c>
    </row>
    <row r="2777" spans="7:8" x14ac:dyDescent="0.25">
      <c r="G2777" s="2" t="str">
        <f ca="1">IFERROR(__xludf.DUMMYFUNCTION("""COMPUTED_VALUE"""),"Mo' Better Blues ")</f>
        <v>Mo' Better Blues </v>
      </c>
      <c r="H2777" s="2">
        <v>-8752225</v>
      </c>
    </row>
    <row r="2778" spans="7:8" x14ac:dyDescent="0.25">
      <c r="G2778" s="2" t="str">
        <f ca="1">IFERROR(__xludf.DUMMYFUNCTION("""COMPUTED_VALUE"""),"Kung Pow: Enter the Fist ")</f>
        <v>Kung Pow: Enter the Fist </v>
      </c>
      <c r="H2778" s="2">
        <v>6153600</v>
      </c>
    </row>
    <row r="2779" spans="7:8" x14ac:dyDescent="0.25">
      <c r="G2779" s="2" t="str">
        <f ca="1">IFERROR(__xludf.DUMMYFUNCTION("""COMPUTED_VALUE"""),"Tremors ")</f>
        <v>Tremors </v>
      </c>
      <c r="H2779" s="2">
        <v>6033556</v>
      </c>
    </row>
    <row r="2780" spans="7:8" x14ac:dyDescent="0.25">
      <c r="G2780" s="2" t="str">
        <f ca="1">IFERROR(__xludf.DUMMYFUNCTION("""COMPUTED_VALUE"""),"Wrong Turn ")</f>
        <v>Wrong Turn </v>
      </c>
      <c r="H2780" s="2">
        <v>5667084</v>
      </c>
    </row>
    <row r="2781" spans="7:8" x14ac:dyDescent="0.25">
      <c r="G2781" s="2" t="str">
        <f ca="1">IFERROR(__xludf.DUMMYFUNCTION("""COMPUTED_VALUE"""),"The Corruptor ")</f>
        <v>The Corruptor </v>
      </c>
      <c r="H2781" s="2">
        <v>2817771</v>
      </c>
    </row>
    <row r="2782" spans="7:8" x14ac:dyDescent="0.25">
      <c r="G2782" s="2" t="str">
        <f ca="1">IFERROR(__xludf.DUMMYFUNCTION("""COMPUTED_VALUE"""),"Mud ")</f>
        <v>Mud </v>
      </c>
      <c r="H2782" s="2">
        <v>-14843800</v>
      </c>
    </row>
    <row r="2783" spans="7:8" x14ac:dyDescent="0.25">
      <c r="G2783" s="2" t="str">
        <f ca="1">IFERROR(__xludf.DUMMYFUNCTION("""COMPUTED_VALUE"""),"Reno 911!: Miami ")</f>
        <v>Reno 911!: Miami </v>
      </c>
      <c r="H2783" s="2">
        <v>11589307</v>
      </c>
    </row>
    <row r="2784" spans="7:8" x14ac:dyDescent="0.25">
      <c r="G2784" s="2" t="str">
        <f ca="1">IFERROR(__xludf.DUMMYFUNCTION("""COMPUTED_VALUE"""),"One Direction: This Is Us ")</f>
        <v>One Direction: This Is Us </v>
      </c>
      <c r="H2784" s="2">
        <v>10339754</v>
      </c>
    </row>
    <row r="2785" spans="7:8" x14ac:dyDescent="0.25">
      <c r="G2785" s="2" t="str">
        <f ca="1">IFERROR(__xludf.DUMMYFUNCTION("""COMPUTED_VALUE"""),"Hey Arnold! The Movie ")</f>
        <v>Hey Arnold! The Movie </v>
      </c>
      <c r="H2785" s="2">
        <v>18873374</v>
      </c>
    </row>
    <row r="2786" spans="7:8" x14ac:dyDescent="0.25">
      <c r="G2786" s="2" t="str">
        <f ca="1">IFERROR(__xludf.DUMMYFUNCTION("""COMPUTED_VALUE"""),"My Week with Marilyn ")</f>
        <v>My Week with Marilyn </v>
      </c>
      <c r="H2786" s="2">
        <v>10684949</v>
      </c>
    </row>
    <row r="2787" spans="7:8" x14ac:dyDescent="0.25">
      <c r="G2787" s="2" t="str">
        <f ca="1">IFERROR(__xludf.DUMMYFUNCTION("""COMPUTED_VALUE"""),"The Matador ")</f>
        <v>The Matador </v>
      </c>
      <c r="H2787" s="2">
        <v>8197405</v>
      </c>
    </row>
    <row r="2788" spans="7:8" x14ac:dyDescent="0.25">
      <c r="G2788" s="2" t="str">
        <f ca="1">IFERROR(__xludf.DUMMYFUNCTION("""COMPUTED_VALUE"""),"Love Jones ")</f>
        <v>Love Jones </v>
      </c>
      <c r="H2788" s="2">
        <v>2570442</v>
      </c>
    </row>
    <row r="2789" spans="7:8" x14ac:dyDescent="0.25">
      <c r="G2789" s="2" t="str">
        <f ca="1">IFERROR(__xludf.DUMMYFUNCTION("""COMPUTED_VALUE"""),"The Gift ")</f>
        <v>The Gift </v>
      </c>
      <c r="H2789" s="2">
        <v>2514138</v>
      </c>
    </row>
    <row r="2790" spans="7:8" x14ac:dyDescent="0.25">
      <c r="G2790" s="2" t="str">
        <f ca="1">IFERROR(__xludf.DUMMYFUNCTION("""COMPUTED_VALUE"""),"End of the Spear ")</f>
        <v>End of the Spear </v>
      </c>
      <c r="H2790" s="2">
        <v>38771291</v>
      </c>
    </row>
    <row r="2791" spans="7:8" x14ac:dyDescent="0.25">
      <c r="G2791" s="2" t="str">
        <f ca="1">IFERROR(__xludf.DUMMYFUNCTION("""COMPUTED_VALUE"""),"Get Over It ")</f>
        <v>Get Over It </v>
      </c>
      <c r="H2791" s="2">
        <v>1703287</v>
      </c>
    </row>
    <row r="2792" spans="7:8" x14ac:dyDescent="0.25">
      <c r="G2792" s="2" t="str">
        <f ca="1">IFERROR(__xludf.DUMMYFUNCTION("""COMPUTED_VALUE"""),"Office Space ")</f>
        <v>Office Space </v>
      </c>
      <c r="H2792" s="2">
        <v>-10439741</v>
      </c>
    </row>
    <row r="2793" spans="7:8" x14ac:dyDescent="0.25">
      <c r="G2793" s="2" t="str">
        <f ca="1">IFERROR(__xludf.DUMMYFUNCTION("""COMPUTED_VALUE"""),"Drop Dead Gorgeous ")</f>
        <v>Drop Dead Gorgeous </v>
      </c>
      <c r="H2793" s="2">
        <v>824921</v>
      </c>
    </row>
    <row r="2794" spans="7:8" x14ac:dyDescent="0.25">
      <c r="G2794" s="2" t="str">
        <f ca="1">IFERROR(__xludf.DUMMYFUNCTION("""COMPUTED_VALUE"""),"Big Eyes ")</f>
        <v>Big Eyes </v>
      </c>
      <c r="H2794" s="2">
        <v>561238</v>
      </c>
    </row>
    <row r="2795" spans="7:8" x14ac:dyDescent="0.25">
      <c r="G2795" s="2" t="str">
        <f ca="1">IFERROR(__xludf.DUMMYFUNCTION("""COMPUTED_VALUE"""),"Very Bad Things ")</f>
        <v>Very Bad Things </v>
      </c>
      <c r="H2795" s="2">
        <v>4479776</v>
      </c>
    </row>
    <row r="2796" spans="7:8" x14ac:dyDescent="0.25">
      <c r="G2796" s="2" t="str">
        <f ca="1">IFERROR(__xludf.DUMMYFUNCTION("""COMPUTED_VALUE"""),"Sleepover ")</f>
        <v>Sleepover </v>
      </c>
      <c r="H2796" s="2">
        <v>-198218</v>
      </c>
    </row>
    <row r="2797" spans="7:8" x14ac:dyDescent="0.25">
      <c r="G2797" s="2" t="str">
        <f ca="1">IFERROR(__xludf.DUMMYFUNCTION("""COMPUTED_VALUE"""),"MacGruber ")</f>
        <v>MacGruber </v>
      </c>
      <c r="H2797" s="2">
        <v>-1929689</v>
      </c>
    </row>
    <row r="2798" spans="7:8" x14ac:dyDescent="0.25">
      <c r="G2798" s="2" t="str">
        <f ca="1">IFERROR(__xludf.DUMMYFUNCTION("""COMPUTED_VALUE"""),"Dirty Pretty Things ")</f>
        <v>Dirty Pretty Things </v>
      </c>
      <c r="H2798" s="2">
        <v>-1539005</v>
      </c>
    </row>
    <row r="2799" spans="7:8" x14ac:dyDescent="0.25">
      <c r="G2799" s="2" t="str">
        <f ca="1">IFERROR(__xludf.DUMMYFUNCTION("""COMPUTED_VALUE"""),"Movie 43 ")</f>
        <v>Movie 43 </v>
      </c>
      <c r="H2799" s="2">
        <v>-1888640</v>
      </c>
    </row>
    <row r="2800" spans="7:8" x14ac:dyDescent="0.25">
      <c r="G2800" s="2" t="str">
        <f ca="1">IFERROR(__xludf.DUMMYFUNCTION("""COMPUTED_VALUE"""),"Over Her Dead Body ")</f>
        <v>Over Her Dead Body </v>
      </c>
      <c r="H2800" s="2">
        <v>2828771</v>
      </c>
    </row>
    <row r="2801" spans="7:8" x14ac:dyDescent="0.25">
      <c r="G2801" s="2" t="str">
        <f ca="1">IFERROR(__xludf.DUMMYFUNCTION("""COMPUTED_VALUE"""),"Seeking a Friend for the End of the World ")</f>
        <v>Seeking a Friend for the End of the World </v>
      </c>
      <c r="H2801" s="2">
        <v>-2436330</v>
      </c>
    </row>
    <row r="2802" spans="7:8" x14ac:dyDescent="0.25">
      <c r="G2802" s="2" t="str">
        <f ca="1">IFERROR(__xludf.DUMMYFUNCTION("""COMPUTED_VALUE"""),"American History X ")</f>
        <v>American History X </v>
      </c>
      <c r="H2802" s="2">
        <v>-3380827</v>
      </c>
    </row>
    <row r="2803" spans="7:8" x14ac:dyDescent="0.25">
      <c r="G2803" s="2" t="str">
        <f ca="1">IFERROR(__xludf.DUMMYFUNCTION("""COMPUTED_VALUE"""),"The Collection ")</f>
        <v>The Collection </v>
      </c>
      <c r="H2803" s="2">
        <v>-787759</v>
      </c>
    </row>
    <row r="2804" spans="7:8" x14ac:dyDescent="0.25">
      <c r="G2804" s="2" t="str">
        <f ca="1">IFERROR(__xludf.DUMMYFUNCTION("""COMPUTED_VALUE"""),"Teacher's Pet ")</f>
        <v>Teacher's Pet </v>
      </c>
      <c r="H2804" s="2">
        <v>-3157942</v>
      </c>
    </row>
    <row r="2805" spans="7:8" x14ac:dyDescent="0.25">
      <c r="G2805" s="2" t="str">
        <f ca="1">IFERROR(__xludf.DUMMYFUNCTION("""COMPUTED_VALUE"""),"The Red Violin ")</f>
        <v>The Red Violin </v>
      </c>
      <c r="H2805" s="2">
        <v>-3508650</v>
      </c>
    </row>
    <row r="2806" spans="7:8" x14ac:dyDescent="0.25">
      <c r="G2806" s="2" t="str">
        <f ca="1">IFERROR(__xludf.DUMMYFUNCTION("""COMPUTED_VALUE"""),"The Straight Story ")</f>
        <v>The Straight Story </v>
      </c>
      <c r="H2806" s="2">
        <v>-526618</v>
      </c>
    </row>
    <row r="2807" spans="7:8" x14ac:dyDescent="0.25">
      <c r="G2807" s="2" t="str">
        <f ca="1">IFERROR(__xludf.DUMMYFUNCTION("""COMPUTED_VALUE"""),"Deuces Wild ")</f>
        <v>Deuces Wild </v>
      </c>
      <c r="H2807" s="2">
        <v>-3802134</v>
      </c>
    </row>
    <row r="2808" spans="7:8" x14ac:dyDescent="0.25">
      <c r="G2808" s="2" t="str">
        <f ca="1">IFERROR(__xludf.DUMMYFUNCTION("""COMPUTED_VALUE"""),"Bad Words ")</f>
        <v>Bad Words </v>
      </c>
      <c r="H2808" s="2">
        <v>-3955382</v>
      </c>
    </row>
    <row r="2809" spans="7:8" x14ac:dyDescent="0.25">
      <c r="G2809" s="2" t="str">
        <f ca="1">IFERROR(__xludf.DUMMYFUNCTION("""COMPUTED_VALUE"""),"Black or White ")</f>
        <v>Black or White </v>
      </c>
      <c r="H2809" s="2">
        <v>-2235973</v>
      </c>
    </row>
    <row r="2810" spans="7:8" x14ac:dyDescent="0.25">
      <c r="G2810" s="2" t="str">
        <f ca="1">IFERROR(__xludf.DUMMYFUNCTION("""COMPUTED_VALUE"""),"On the Line ")</f>
        <v>On the Line </v>
      </c>
      <c r="H2810" s="2">
        <v>12569041</v>
      </c>
    </row>
    <row r="2811" spans="7:8" x14ac:dyDescent="0.25">
      <c r="G2811" s="2" t="str">
        <f ca="1">IFERROR(__xludf.DUMMYFUNCTION("""COMPUTED_VALUE"""),"Rescue Dawn ")</f>
        <v>Rescue Dawn </v>
      </c>
      <c r="H2811" s="2">
        <v>-11643257</v>
      </c>
    </row>
    <row r="2812" spans="7:8" x14ac:dyDescent="0.25">
      <c r="G2812" s="2" t="str">
        <f ca="1">IFERROR(__xludf.DUMMYFUNCTION("""COMPUTED_VALUE"""),"Danny Collins ")</f>
        <v>Danny Collins </v>
      </c>
      <c r="H2812" s="2">
        <v>-4515625</v>
      </c>
    </row>
    <row r="2813" spans="7:8" x14ac:dyDescent="0.25">
      <c r="G2813" s="2" t="str">
        <f ca="1">IFERROR(__xludf.DUMMYFUNCTION("""COMPUTED_VALUE"""),"Jeff, Who Lives at Home ")</f>
        <v>Jeff, Who Lives at Home </v>
      </c>
      <c r="H2813" s="2">
        <v>-4651683</v>
      </c>
    </row>
    <row r="2814" spans="7:8" x14ac:dyDescent="0.25">
      <c r="G2814" s="2" t="str">
        <f ca="1">IFERROR(__xludf.DUMMYFUNCTION("""COMPUTED_VALUE"""),"I Am Love ")</f>
        <v>I Am Love </v>
      </c>
      <c r="H2814" s="2">
        <v>-5755845</v>
      </c>
    </row>
    <row r="2815" spans="7:8" x14ac:dyDescent="0.25">
      <c r="G2815" s="2" t="str">
        <f ca="1">IFERROR(__xludf.DUMMYFUNCTION("""COMPUTED_VALUE"""),"Atlas Shrugged II: The Strike ")</f>
        <v>Atlas Shrugged II: The Strike </v>
      </c>
      <c r="H2815" s="2">
        <v>-4995352</v>
      </c>
    </row>
    <row r="2816" spans="7:8" x14ac:dyDescent="0.25">
      <c r="G2816" s="2" t="str">
        <f ca="1">IFERROR(__xludf.DUMMYFUNCTION("""COMPUTED_VALUE"""),"Romeo Is Bleeding ")</f>
        <v>Romeo Is Bleeding </v>
      </c>
      <c r="H2816" s="2">
        <v>-6666177</v>
      </c>
    </row>
    <row r="2817" spans="7:8" x14ac:dyDescent="0.25">
      <c r="G2817" s="2" t="str">
        <f ca="1">IFERROR(__xludf.DUMMYFUNCTION("""COMPUTED_VALUE"""),"The Limey ")</f>
        <v>The Limey </v>
      </c>
      <c r="H2817" s="2">
        <v>-8224415</v>
      </c>
    </row>
    <row r="2818" spans="7:8" x14ac:dyDescent="0.25">
      <c r="G2818" s="2" t="str">
        <f ca="1">IFERROR(__xludf.DUMMYFUNCTION("""COMPUTED_VALUE"""),"Crash ")</f>
        <v>Crash </v>
      </c>
      <c r="H2818" s="2">
        <v>-5806898</v>
      </c>
    </row>
    <row r="2819" spans="7:8" x14ac:dyDescent="0.25">
      <c r="G2819" s="2" t="str">
        <f ca="1">IFERROR(__xludf.DUMMYFUNCTION("""COMPUTED_VALUE"""),"The House of Mirth ")</f>
        <v>The House of Mirth </v>
      </c>
      <c r="H2819" s="2">
        <v>48057348</v>
      </c>
    </row>
    <row r="2820" spans="7:8" x14ac:dyDescent="0.25">
      <c r="G2820" s="2" t="str">
        <f ca="1">IFERROR(__xludf.DUMMYFUNCTION("""COMPUTED_VALUE"""),"Malone ")</f>
        <v>Malone </v>
      </c>
      <c r="H2820" s="2">
        <v>-6958197</v>
      </c>
    </row>
    <row r="2821" spans="7:8" x14ac:dyDescent="0.25">
      <c r="G2821" s="2" t="str">
        <f ca="1">IFERROR(__xludf.DUMMYFUNCTION("""COMPUTED_VALUE"""),"Peaceful Warrior ")</f>
        <v>Peaceful Warrior </v>
      </c>
      <c r="H2821" s="2">
        <v>-6939142</v>
      </c>
    </row>
    <row r="2822" spans="7:8" x14ac:dyDescent="0.25">
      <c r="G2822" s="2" t="str">
        <f ca="1">IFERROR(__xludf.DUMMYFUNCTION("""COMPUTED_VALUE"""),"Bucky Larson: Born to Be a Star ")</f>
        <v>Bucky Larson: Born to Be a Star </v>
      </c>
      <c r="H2822" s="2">
        <v>-8944346</v>
      </c>
    </row>
    <row r="2823" spans="7:8" x14ac:dyDescent="0.25">
      <c r="G2823" s="2" t="str">
        <f ca="1">IFERROR(__xludf.DUMMYFUNCTION("""COMPUTED_VALUE"""),"Bamboozled ")</f>
        <v>Bamboozled </v>
      </c>
      <c r="H2823" s="2">
        <v>-7668682</v>
      </c>
    </row>
    <row r="2824" spans="7:8" x14ac:dyDescent="0.25">
      <c r="G2824" s="2" t="str">
        <f ca="1">IFERROR(__xludf.DUMMYFUNCTION("""COMPUTED_VALUE"""),"The Forest ")</f>
        <v>The Forest </v>
      </c>
      <c r="H2824" s="2">
        <v>-7814734</v>
      </c>
    </row>
    <row r="2825" spans="7:8" x14ac:dyDescent="0.25">
      <c r="G2825" s="2" t="str">
        <f ca="1">IFERROR(__xludf.DUMMYFUNCTION("""COMPUTED_VALUE"""),"Sphinx ")</f>
        <v>Sphinx </v>
      </c>
      <c r="H2825" s="2">
        <v>16583369</v>
      </c>
    </row>
    <row r="2826" spans="7:8" x14ac:dyDescent="0.25">
      <c r="G2826" s="2" t="str">
        <f ca="1">IFERROR(__xludf.DUMMYFUNCTION("""COMPUTED_VALUE"""),"While We're Young ")</f>
        <v>While We're Young </v>
      </c>
      <c r="H2826" s="2">
        <v>-13200000</v>
      </c>
    </row>
    <row r="2827" spans="7:8" x14ac:dyDescent="0.25">
      <c r="G2827" s="2" t="str">
        <f ca="1">IFERROR(__xludf.DUMMYFUNCTION("""COMPUTED_VALUE"""),"A Better Life ")</f>
        <v>A Better Life </v>
      </c>
      <c r="H2827" s="2">
        <v>-2425934</v>
      </c>
    </row>
    <row r="2828" spans="7:8" x14ac:dyDescent="0.25">
      <c r="G2828" s="2" t="str">
        <f ca="1">IFERROR(__xludf.DUMMYFUNCTION("""COMPUTED_VALUE"""),"Spider ")</f>
        <v>Spider </v>
      </c>
      <c r="H2828" s="2">
        <v>-8245681</v>
      </c>
    </row>
    <row r="2829" spans="7:8" x14ac:dyDescent="0.25">
      <c r="G2829" s="2" t="str">
        <f ca="1">IFERROR(__xludf.DUMMYFUNCTION("""COMPUTED_VALUE"""),"Gun Shy ")</f>
        <v>Gun Shy </v>
      </c>
      <c r="H2829" s="2">
        <v>-6358212</v>
      </c>
    </row>
    <row r="2830" spans="7:8" x14ac:dyDescent="0.25">
      <c r="G2830" s="2" t="str">
        <f ca="1">IFERROR(__xludf.DUMMYFUNCTION("""COMPUTED_VALUE"""),"Nicholas Nickleby ")</f>
        <v>Nicholas Nickleby </v>
      </c>
      <c r="H2830" s="2">
        <v>-8368161</v>
      </c>
    </row>
    <row r="2831" spans="7:8" x14ac:dyDescent="0.25">
      <c r="G2831" s="2" t="str">
        <f ca="1">IFERROR(__xludf.DUMMYFUNCTION("""COMPUTED_VALUE"""),"The Iceman ")</f>
        <v>The Iceman </v>
      </c>
      <c r="H2831" s="2">
        <v>-8690151</v>
      </c>
    </row>
    <row r="2832" spans="7:8" x14ac:dyDescent="0.25">
      <c r="G2832" s="2" t="str">
        <f ca="1">IFERROR(__xludf.DUMMYFUNCTION("""COMPUTED_VALUE"""),"Cecil B. DeMented ")</f>
        <v>Cecil B. DeMented </v>
      </c>
      <c r="H2832" s="2">
        <v>-8060559</v>
      </c>
    </row>
    <row r="2833" spans="7:8" x14ac:dyDescent="0.25">
      <c r="G2833" s="2" t="str">
        <f ca="1">IFERROR(__xludf.DUMMYFUNCTION("""COMPUTED_VALUE"""),"Killer Joe ")</f>
        <v>Killer Joe </v>
      </c>
      <c r="H2833" s="2">
        <v>-8723016</v>
      </c>
    </row>
    <row r="2834" spans="7:8" x14ac:dyDescent="0.25">
      <c r="G2834" s="2" t="str">
        <f ca="1">IFERROR(__xludf.DUMMYFUNCTION("""COMPUTED_VALUE"""),"The Joneses ")</f>
        <v>The Joneses </v>
      </c>
      <c r="H2834" s="2">
        <v>-9012238</v>
      </c>
    </row>
    <row r="2835" spans="7:8" x14ac:dyDescent="0.25">
      <c r="G2835" s="2" t="str">
        <f ca="1">IFERROR(__xludf.DUMMYFUNCTION("""COMPUTED_VALUE"""),"Owning Mahowny ")</f>
        <v>Owning Mahowny </v>
      </c>
      <c r="H2835" s="2">
        <v>-3525492</v>
      </c>
    </row>
    <row r="2836" spans="7:8" x14ac:dyDescent="0.25">
      <c r="G2836" s="2" t="str">
        <f ca="1">IFERROR(__xludf.DUMMYFUNCTION("""COMPUTED_VALUE"""),"The Brothers Solomon ")</f>
        <v>The Brothers Solomon </v>
      </c>
      <c r="H2836" s="2">
        <v>-8988946</v>
      </c>
    </row>
    <row r="2837" spans="7:8" x14ac:dyDescent="0.25">
      <c r="G2837" s="2" t="str">
        <f ca="1">IFERROR(__xludf.DUMMYFUNCTION("""COMPUTED_VALUE"""),"My Blueberry Nights ")</f>
        <v>My Blueberry Nights </v>
      </c>
      <c r="H2837" s="2">
        <v>-9099074</v>
      </c>
    </row>
    <row r="2838" spans="7:8" x14ac:dyDescent="0.25">
      <c r="G2838" s="2" t="str">
        <f ca="1">IFERROR(__xludf.DUMMYFUNCTION("""COMPUTED_VALUE"""),"Swept Away ")</f>
        <v>Swept Away </v>
      </c>
      <c r="H2838" s="2">
        <v>-9133222</v>
      </c>
    </row>
    <row r="2839" spans="7:8" x14ac:dyDescent="0.25">
      <c r="G2839" s="2" t="str">
        <f ca="1">IFERROR(__xludf.DUMMYFUNCTION("""COMPUTED_VALUE"""),"War, Inc. ")</f>
        <v>War, Inc. </v>
      </c>
      <c r="H2839" s="2">
        <v>-9401355</v>
      </c>
    </row>
    <row r="2840" spans="7:8" x14ac:dyDescent="0.25">
      <c r="G2840" s="2" t="str">
        <f ca="1">IFERROR(__xludf.DUMMYFUNCTION("""COMPUTED_VALUE"""),"Shaolin Soccer ")</f>
        <v>Shaolin Soccer </v>
      </c>
      <c r="H2840" s="2">
        <v>-9421473</v>
      </c>
    </row>
    <row r="2841" spans="7:8" x14ac:dyDescent="0.25">
      <c r="G2841" s="2" t="str">
        <f ca="1">IFERROR(__xludf.DUMMYFUNCTION("""COMPUTED_VALUE"""),"The Brown Bunny ")</f>
        <v>The Brown Bunny </v>
      </c>
      <c r="H2841" s="2">
        <v>-9511128</v>
      </c>
    </row>
    <row r="2842" spans="7:8" x14ac:dyDescent="0.25">
      <c r="G2842" s="2" t="str">
        <f ca="1">IFERROR(__xludf.DUMMYFUNCTION("""COMPUTED_VALUE"""),"The Swindle ")</f>
        <v>The Swindle </v>
      </c>
      <c r="H2842" s="2">
        <v>-9634266</v>
      </c>
    </row>
    <row r="2843" spans="7:8" x14ac:dyDescent="0.25">
      <c r="G2843" s="2" t="str">
        <f ca="1">IFERROR(__xludf.DUMMYFUNCTION("""COMPUTED_VALUE"""),"Rosewater ")</f>
        <v>Rosewater </v>
      </c>
      <c r="H2843" s="2">
        <v>-59768583</v>
      </c>
    </row>
    <row r="2844" spans="7:8" x14ac:dyDescent="0.25">
      <c r="G2844" s="2" t="str">
        <f ca="1">IFERROR(__xludf.DUMMYFUNCTION("""COMPUTED_VALUE"""),"Imaginary Heroes ")</f>
        <v>Imaginary Heroes </v>
      </c>
      <c r="H2844" s="2">
        <v>-1906509</v>
      </c>
    </row>
    <row r="2845" spans="7:8" x14ac:dyDescent="0.25">
      <c r="G2845" s="2" t="str">
        <f ca="1">IFERROR(__xludf.DUMMYFUNCTION("""COMPUTED_VALUE"""),"High Heels and Low Lifes ")</f>
        <v>High Heels and Low Lifes </v>
      </c>
      <c r="H2845" s="2">
        <v>-3771476</v>
      </c>
    </row>
    <row r="2846" spans="7:8" x14ac:dyDescent="0.25">
      <c r="G2846" s="2" t="str">
        <f ca="1">IFERROR(__xludf.DUMMYFUNCTION("""COMPUTED_VALUE"""),"Severance ")</f>
        <v>Severance </v>
      </c>
      <c r="H2846" s="2">
        <v>-9773208</v>
      </c>
    </row>
    <row r="2847" spans="7:8" x14ac:dyDescent="0.25">
      <c r="G2847" s="2" t="str">
        <f ca="1">IFERROR(__xludf.DUMMYFUNCTION("""COMPUTED_VALUE"""),"Edmond ")</f>
        <v>Edmond </v>
      </c>
      <c r="H2847" s="2">
        <v>-4863568</v>
      </c>
    </row>
    <row r="2848" spans="7:8" x14ac:dyDescent="0.25">
      <c r="G2848" s="2" t="str">
        <f ca="1">IFERROR(__xludf.DUMMYFUNCTION("""COMPUTED_VALUE"""),"Police Academy: Mission to Moscow ")</f>
        <v>Police Academy: Mission to Moscow </v>
      </c>
      <c r="H2848" s="2">
        <v>-9868383</v>
      </c>
    </row>
    <row r="2849" spans="7:8" x14ac:dyDescent="0.25">
      <c r="G2849" s="2" t="str">
        <f ca="1">IFERROR(__xludf.DUMMYFUNCTION("""COMPUTED_VALUE"""),"Cinco de Mayo, La Batalla ")</f>
        <v>Cinco de Mayo, La Batalla </v>
      </c>
      <c r="H2849" s="2">
        <v>-6073753</v>
      </c>
    </row>
    <row r="2850" spans="7:8" x14ac:dyDescent="0.25">
      <c r="G2850" s="2" t="str">
        <f ca="1">IFERROR(__xludf.DUMMYFUNCTION("""COMPUTED_VALUE"""),"An Alan Smithee Film: Burn Hollywood Burn ")</f>
        <v>An Alan Smithee Film: Burn Hollywood Burn </v>
      </c>
      <c r="H2850" s="2">
        <v>-9830621</v>
      </c>
    </row>
    <row r="2851" spans="7:8" x14ac:dyDescent="0.25">
      <c r="G2851" s="2" t="str">
        <f ca="1">IFERROR(__xludf.DUMMYFUNCTION("""COMPUTED_VALUE"""),"The Open Road ")</f>
        <v>The Open Road </v>
      </c>
      <c r="H2851" s="2">
        <v>-9984553</v>
      </c>
    </row>
    <row r="2852" spans="7:8" x14ac:dyDescent="0.25">
      <c r="G2852" s="2" t="str">
        <f ca="1">IFERROR(__xludf.DUMMYFUNCTION("""COMPUTED_VALUE"""),"The Good Guy ")</f>
        <v>The Good Guy </v>
      </c>
      <c r="H2852" s="2">
        <v>-9980652</v>
      </c>
    </row>
    <row r="2853" spans="7:8" x14ac:dyDescent="0.25">
      <c r="G2853" s="2" t="str">
        <f ca="1">IFERROR(__xludf.DUMMYFUNCTION("""COMPUTED_VALUE"""),"Motherhood ")</f>
        <v>Motherhood </v>
      </c>
      <c r="H2853" s="2">
        <v>-7899497</v>
      </c>
    </row>
    <row r="2854" spans="7:8" x14ac:dyDescent="0.25">
      <c r="G2854" s="2" t="str">
        <f ca="1">IFERROR(__xludf.DUMMYFUNCTION("""COMPUTED_VALUE"""),"Blonde Ambition ")</f>
        <v>Blonde Ambition </v>
      </c>
      <c r="H2854" s="2">
        <v>-4907100</v>
      </c>
    </row>
    <row r="2855" spans="7:8" x14ac:dyDescent="0.25">
      <c r="G2855" s="2" t="str">
        <f ca="1">IFERROR(__xludf.DUMMYFUNCTION("""COMPUTED_VALUE"""),"The Oxford Murders ")</f>
        <v>The Oxford Murders </v>
      </c>
      <c r="H2855" s="2">
        <v>-9994439</v>
      </c>
    </row>
    <row r="2856" spans="7:8" x14ac:dyDescent="0.25">
      <c r="G2856" s="2" t="str">
        <f ca="1">IFERROR(__xludf.DUMMYFUNCTION("""COMPUTED_VALUE"""),"Eulogy ")</f>
        <v>Eulogy </v>
      </c>
      <c r="H2856" s="2">
        <v>-9996393</v>
      </c>
    </row>
    <row r="2857" spans="7:8" x14ac:dyDescent="0.25">
      <c r="G2857" s="2" t="str">
        <f ca="1">IFERROR(__xludf.DUMMYFUNCTION("""COMPUTED_VALUE"""),"Of Horses and Men ")</f>
        <v>Of Horses and Men </v>
      </c>
      <c r="H2857" s="2">
        <v>-6429473</v>
      </c>
    </row>
    <row r="2858" spans="7:8" x14ac:dyDescent="0.25">
      <c r="G2858" s="2" t="str">
        <f ca="1">IFERROR(__xludf.DUMMYFUNCTION("""COMPUTED_VALUE"""),"The Good, the Bad, the Weird ")</f>
        <v>The Good, the Bad, the Weird </v>
      </c>
      <c r="H2858" s="2">
        <v>-9988165</v>
      </c>
    </row>
    <row r="2859" spans="7:8" x14ac:dyDescent="0.25">
      <c r="G2859" s="2" t="str">
        <f ca="1">IFERROR(__xludf.DUMMYFUNCTION("""COMPUTED_VALUE"""),"The Lost City ")</f>
        <v>The Lost City </v>
      </c>
      <c r="H2859" s="2">
        <v>-9871514</v>
      </c>
    </row>
    <row r="2860" spans="7:8" x14ac:dyDescent="0.25">
      <c r="G2860" s="2" t="str">
        <f ca="1">IFERROR(__xludf.DUMMYFUNCTION("""COMPUTED_VALUE"""),"Next Friday ")</f>
        <v>Next Friday </v>
      </c>
      <c r="H2860" s="2">
        <v>-7116045</v>
      </c>
    </row>
    <row r="2861" spans="7:8" x14ac:dyDescent="0.25">
      <c r="G2861" s="2" t="str">
        <f ca="1">IFERROR(__xludf.DUMMYFUNCTION("""COMPUTED_VALUE"""),"You Only Live Twice ")</f>
        <v>You Only Live Twice </v>
      </c>
      <c r="H2861" s="2">
        <v>47676582</v>
      </c>
    </row>
    <row r="2862" spans="7:8" x14ac:dyDescent="0.25">
      <c r="G2862" s="2" t="str">
        <f ca="1">IFERROR(__xludf.DUMMYFUNCTION("""COMPUTED_VALUE"""),"Amour ")</f>
        <v>Amour </v>
      </c>
      <c r="H2862" s="2">
        <v>33600000</v>
      </c>
    </row>
    <row r="2863" spans="7:8" x14ac:dyDescent="0.25">
      <c r="G2863" s="2" t="str">
        <f ca="1">IFERROR(__xludf.DUMMYFUNCTION("""COMPUTED_VALUE"""),"Poltergeist III ")</f>
        <v>Poltergeist III </v>
      </c>
      <c r="H2863" s="2">
        <v>-8674623</v>
      </c>
    </row>
    <row r="2864" spans="7:8" x14ac:dyDescent="0.25">
      <c r="G2864" s="2" t="str">
        <f ca="1">IFERROR(__xludf.DUMMYFUNCTION("""COMPUTED_VALUE"""),"It's a Mad, Mad, Mad, Mad World ")</f>
        <v>It's a Mad, Mad, Mad, Mad World </v>
      </c>
      <c r="H2864" s="2">
        <v>3614488</v>
      </c>
    </row>
    <row r="2865" spans="7:8" x14ac:dyDescent="0.25">
      <c r="G2865" s="2" t="str">
        <f ca="1">IFERROR(__xludf.DUMMYFUNCTION("""COMPUTED_VALUE"""),"Richard III ")</f>
        <v>Richard III </v>
      </c>
      <c r="H2865" s="2">
        <v>36900000</v>
      </c>
    </row>
    <row r="2866" spans="7:8" x14ac:dyDescent="0.25">
      <c r="G2866" s="2" t="str">
        <f ca="1">IFERROR(__xludf.DUMMYFUNCTION("""COMPUTED_VALUE"""),"Kites ")</f>
        <v>Kites </v>
      </c>
      <c r="H2866" s="2">
        <v>-3400000</v>
      </c>
    </row>
    <row r="2867" spans="7:8" x14ac:dyDescent="0.25">
      <c r="G2867" s="2" t="str">
        <f ca="1">IFERROR(__xludf.DUMMYFUNCTION("""COMPUTED_VALUE"""),"Melancholia ")</f>
        <v>Melancholia </v>
      </c>
      <c r="H2867" s="2">
        <v>-598397534</v>
      </c>
    </row>
    <row r="2868" spans="7:8" x14ac:dyDescent="0.25">
      <c r="G2868" s="2" t="str">
        <f ca="1">IFERROR(__xludf.DUMMYFUNCTION("""COMPUTED_VALUE"""),"Jab Tak Hai Jaan ")</f>
        <v>Jab Tak Hai Jaan </v>
      </c>
      <c r="H2868" s="2">
        <v>-4370130</v>
      </c>
    </row>
    <row r="2869" spans="7:8" x14ac:dyDescent="0.25">
      <c r="G2869" s="2" t="str">
        <f ca="1">IFERROR(__xludf.DUMMYFUNCTION("""COMPUTED_VALUE"""),"Alien ")</f>
        <v>Alien </v>
      </c>
      <c r="H2869" s="2">
        <v>-4170061</v>
      </c>
    </row>
    <row r="2870" spans="7:8" x14ac:dyDescent="0.25">
      <c r="G2870" s="2" t="str">
        <f ca="1">IFERROR(__xludf.DUMMYFUNCTION("""COMPUTED_VALUE"""),"The Texas Chain Saw Massacre ")</f>
        <v>The Texas Chain Saw Massacre </v>
      </c>
      <c r="H2870" s="2">
        <v>67900000</v>
      </c>
    </row>
    <row r="2871" spans="7:8" x14ac:dyDescent="0.25">
      <c r="G2871" s="2" t="str">
        <f ca="1">IFERROR(__xludf.DUMMYFUNCTION("""COMPUTED_VALUE"""),"The Runaways ")</f>
        <v>The Runaways </v>
      </c>
      <c r="H2871" s="2">
        <v>30775468</v>
      </c>
    </row>
    <row r="2872" spans="7:8" x14ac:dyDescent="0.25">
      <c r="G2872" s="2" t="str">
        <f ca="1">IFERROR(__xludf.DUMMYFUNCTION("""COMPUTED_VALUE"""),"Fiddler on the Roof ")</f>
        <v>Fiddler on the Roof </v>
      </c>
      <c r="H2872" s="2">
        <v>-6428265</v>
      </c>
    </row>
    <row r="2873" spans="7:8" x14ac:dyDescent="0.25">
      <c r="G2873" s="2" t="str">
        <f ca="1">IFERROR(__xludf.DUMMYFUNCTION("""COMPUTED_VALUE"""),"Thunderball ")</f>
        <v>Thunderball </v>
      </c>
      <c r="H2873" s="2">
        <v>41000000</v>
      </c>
    </row>
    <row r="2874" spans="7:8" x14ac:dyDescent="0.25">
      <c r="G2874" s="2" t="str">
        <f ca="1">IFERROR(__xludf.DUMMYFUNCTION("""COMPUTED_VALUE"""),"Set It Off ")</f>
        <v>Set It Off </v>
      </c>
      <c r="H2874" s="2">
        <v>54600000</v>
      </c>
    </row>
    <row r="2875" spans="7:8" x14ac:dyDescent="0.25">
      <c r="G2875" s="2" t="str">
        <f ca="1">IFERROR(__xludf.DUMMYFUNCTION("""COMPUTED_VALUE"""),"The Best Man ")</f>
        <v>The Best Man </v>
      </c>
      <c r="H2875" s="2">
        <v>27049108</v>
      </c>
    </row>
    <row r="2876" spans="7:8" x14ac:dyDescent="0.25">
      <c r="G2876" s="2" t="str">
        <f ca="1">IFERROR(__xludf.DUMMYFUNCTION("""COMPUTED_VALUE"""),"Child's Play ")</f>
        <v>Child's Play </v>
      </c>
      <c r="H2876" s="2">
        <v>25074895</v>
      </c>
    </row>
    <row r="2877" spans="7:8" x14ac:dyDescent="0.25">
      <c r="G2877" s="2" t="str">
        <f ca="1">IFERROR(__xludf.DUMMYFUNCTION("""COMPUTED_VALUE"""),"Sicko ")</f>
        <v>Sicko </v>
      </c>
      <c r="H2877" s="2">
        <v>24244684</v>
      </c>
    </row>
    <row r="2878" spans="7:8" x14ac:dyDescent="0.25">
      <c r="G2878" s="2" t="str">
        <f ca="1">IFERROR(__xludf.DUMMYFUNCTION("""COMPUTED_VALUE"""),"The Purge: Anarchy ")</f>
        <v>The Purge: Anarchy </v>
      </c>
      <c r="H2878" s="2">
        <v>15530513</v>
      </c>
    </row>
    <row r="2879" spans="7:8" x14ac:dyDescent="0.25">
      <c r="G2879" s="2" t="str">
        <f ca="1">IFERROR(__xludf.DUMMYFUNCTION("""COMPUTED_VALUE"""),"Down to You ")</f>
        <v>Down to You </v>
      </c>
      <c r="H2879" s="2">
        <v>62519230</v>
      </c>
    </row>
    <row r="2880" spans="7:8" x14ac:dyDescent="0.25">
      <c r="G2880" s="2" t="str">
        <f ca="1">IFERROR(__xludf.DUMMYFUNCTION("""COMPUTED_VALUE"""),"Harold &amp; Kumar Go to White Castle ")</f>
        <v>Harold &amp; Kumar Go to White Castle </v>
      </c>
      <c r="H2880" s="2">
        <v>11035310</v>
      </c>
    </row>
    <row r="2881" spans="7:8" x14ac:dyDescent="0.25">
      <c r="G2881" s="2" t="str">
        <f ca="1">IFERROR(__xludf.DUMMYFUNCTION("""COMPUTED_VALUE"""),"The Contender ")</f>
        <v>The Contender </v>
      </c>
      <c r="H2881" s="2">
        <v>9225165</v>
      </c>
    </row>
    <row r="2882" spans="7:8" x14ac:dyDescent="0.25">
      <c r="G2882" s="2" t="str">
        <f ca="1">IFERROR(__xludf.DUMMYFUNCTION("""COMPUTED_VALUE"""),"Boiler Room ")</f>
        <v>Boiler Room </v>
      </c>
      <c r="H2882" s="2">
        <v>-2195727</v>
      </c>
    </row>
    <row r="2883" spans="7:8" x14ac:dyDescent="0.25">
      <c r="G2883" s="2" t="str">
        <f ca="1">IFERROR(__xludf.DUMMYFUNCTION("""COMPUTED_VALUE"""),"Black Christmas ")</f>
        <v>Black Christmas </v>
      </c>
      <c r="H2883" s="2">
        <v>8938179</v>
      </c>
    </row>
    <row r="2884" spans="7:8" x14ac:dyDescent="0.25">
      <c r="G2884" s="2" t="str">
        <f ca="1">IFERROR(__xludf.DUMMYFUNCTION("""COMPUTED_VALUE"""),"Henry V ")</f>
        <v>Henry V </v>
      </c>
      <c r="H2884" s="2">
        <v>7235293</v>
      </c>
    </row>
    <row r="2885" spans="7:8" x14ac:dyDescent="0.25">
      <c r="G2885" s="2" t="str">
        <f ca="1">IFERROR(__xludf.DUMMYFUNCTION("""COMPUTED_VALUE"""),"The Way of the Gun ")</f>
        <v>The Way of the Gun </v>
      </c>
      <c r="H2885" s="2">
        <v>1161099</v>
      </c>
    </row>
    <row r="2886" spans="7:8" x14ac:dyDescent="0.25">
      <c r="G2886" s="2" t="str">
        <f ca="1">IFERROR(__xludf.DUMMYFUNCTION("""COMPUTED_VALUE"""),"Igby Goes Down ")</f>
        <v>Igby Goes Down </v>
      </c>
      <c r="H2886" s="2">
        <v>-2452144</v>
      </c>
    </row>
    <row r="2887" spans="7:8" x14ac:dyDescent="0.25">
      <c r="G2887" s="2" t="str">
        <f ca="1">IFERROR(__xludf.DUMMYFUNCTION("""COMPUTED_VALUE"""),"PCU ")</f>
        <v>PCU </v>
      </c>
      <c r="H2887" s="2">
        <v>-4318497</v>
      </c>
    </row>
    <row r="2888" spans="7:8" x14ac:dyDescent="0.25">
      <c r="G2888" s="2" t="str">
        <f ca="1">IFERROR(__xludf.DUMMYFUNCTION("""COMPUTED_VALUE"""),"Gracie ")</f>
        <v>Gracie </v>
      </c>
      <c r="H2888" s="2">
        <v>-3649226</v>
      </c>
    </row>
    <row r="2889" spans="7:8" x14ac:dyDescent="0.25">
      <c r="G2889" s="2" t="str">
        <f ca="1">IFERROR(__xludf.DUMMYFUNCTION("""COMPUTED_VALUE"""),"Trust the Man ")</f>
        <v>Trust the Man </v>
      </c>
      <c r="H2889" s="2">
        <v>-6044961</v>
      </c>
    </row>
    <row r="2890" spans="7:8" x14ac:dyDescent="0.25">
      <c r="G2890" s="2" t="str">
        <f ca="1">IFERROR(__xludf.DUMMYFUNCTION("""COMPUTED_VALUE"""),"Hamlet 2 ")</f>
        <v>Hamlet 2 </v>
      </c>
      <c r="H2890" s="2">
        <v>-7469465</v>
      </c>
    </row>
    <row r="2891" spans="7:8" x14ac:dyDescent="0.25">
      <c r="G2891" s="2" t="str">
        <f ca="1">IFERROR(__xludf.DUMMYFUNCTION("""COMPUTED_VALUE"""),"Glee: The 3D Concert Movie ")</f>
        <v>Glee: The 3D Concert Movie </v>
      </c>
      <c r="H2891" s="2">
        <v>-4118133</v>
      </c>
    </row>
    <row r="2892" spans="7:8" x14ac:dyDescent="0.25">
      <c r="G2892" s="2" t="str">
        <f ca="1">IFERROR(__xludf.DUMMYFUNCTION("""COMPUTED_VALUE"""),"The Legend of Suriyothai ")</f>
        <v>The Legend of Suriyothai </v>
      </c>
      <c r="H2892" s="2">
        <v>2860839</v>
      </c>
    </row>
    <row r="2893" spans="7:8" x14ac:dyDescent="0.25">
      <c r="G2893" s="2" t="str">
        <f ca="1">IFERROR(__xludf.DUMMYFUNCTION("""COMPUTED_VALUE"""),"Two Evil Eyes ")</f>
        <v>Two Evil Eyes </v>
      </c>
      <c r="H2893" s="2">
        <v>-399545745</v>
      </c>
    </row>
    <row r="2894" spans="7:8" x14ac:dyDescent="0.25">
      <c r="G2894" s="2" t="str">
        <f ca="1">IFERROR(__xludf.DUMMYFUNCTION("""COMPUTED_VALUE"""),"All or Nothing ")</f>
        <v>All or Nothing </v>
      </c>
      <c r="H2894" s="2">
        <v>-8650382</v>
      </c>
    </row>
    <row r="2895" spans="7:8" x14ac:dyDescent="0.25">
      <c r="G2895" s="2" t="str">
        <f ca="1">IFERROR(__xludf.DUMMYFUNCTION("""COMPUTED_VALUE"""),"Princess Kaiulani ")</f>
        <v>Princess Kaiulani </v>
      </c>
      <c r="H2895" s="2">
        <v>-8887065</v>
      </c>
    </row>
    <row r="2896" spans="7:8" x14ac:dyDescent="0.25">
      <c r="G2896" s="2" t="str">
        <f ca="1">IFERROR(__xludf.DUMMYFUNCTION("""COMPUTED_VALUE"""),"Opal Dream ")</f>
        <v>Opal Dream </v>
      </c>
      <c r="H2896" s="2">
        <v>-8116113</v>
      </c>
    </row>
    <row r="2897" spans="7:8" x14ac:dyDescent="0.25">
      <c r="G2897" s="2" t="str">
        <f ca="1">IFERROR(__xludf.DUMMYFUNCTION("""COMPUTED_VALUE"""),"Flame and Citron ")</f>
        <v>Flame and Citron </v>
      </c>
      <c r="H2897" s="2">
        <v>-11386249</v>
      </c>
    </row>
    <row r="2898" spans="7:8" x14ac:dyDescent="0.25">
      <c r="G2898" s="2" t="str">
        <f ca="1">IFERROR(__xludf.DUMMYFUNCTION("""COMPUTED_VALUE"""),"Undiscovered ")</f>
        <v>Undiscovered </v>
      </c>
      <c r="H2898" s="2">
        <v>-44854891</v>
      </c>
    </row>
    <row r="2899" spans="7:8" x14ac:dyDescent="0.25">
      <c r="G2899" s="2" t="str">
        <f ca="1">IFERROR(__xludf.DUMMYFUNCTION("""COMPUTED_VALUE"""),"Crocodile Dundee ")</f>
        <v>Crocodile Dundee </v>
      </c>
      <c r="H2899" s="2">
        <v>-7953834</v>
      </c>
    </row>
    <row r="2900" spans="7:8" x14ac:dyDescent="0.25">
      <c r="G2900" s="2" t="str">
        <f ca="1">IFERROR(__xludf.DUMMYFUNCTION("""COMPUTED_VALUE"""),"Awake ")</f>
        <v>Awake </v>
      </c>
      <c r="H2900" s="2">
        <v>165835000</v>
      </c>
    </row>
    <row r="2901" spans="7:8" x14ac:dyDescent="0.25">
      <c r="G2901" s="2" t="str">
        <f ca="1">IFERROR(__xludf.DUMMYFUNCTION("""COMPUTED_VALUE"""),"Skin Trade ")</f>
        <v>Skin Trade </v>
      </c>
      <c r="H2901" s="2">
        <v>5773825</v>
      </c>
    </row>
    <row r="2902" spans="7:8" x14ac:dyDescent="0.25">
      <c r="G2902" s="2" t="str">
        <f ca="1">IFERROR(__xludf.DUMMYFUNCTION("""COMPUTED_VALUE"""),"Crazy Heart ")</f>
        <v>Crazy Heart </v>
      </c>
      <c r="H2902" s="2">
        <v>-8999838</v>
      </c>
    </row>
    <row r="2903" spans="7:8" x14ac:dyDescent="0.25">
      <c r="G2903" s="2" t="str">
        <f ca="1">IFERROR(__xludf.DUMMYFUNCTION("""COMPUTED_VALUE"""),"The Rose ")</f>
        <v>The Rose </v>
      </c>
      <c r="H2903" s="2">
        <v>32462438</v>
      </c>
    </row>
    <row r="2904" spans="7:8" x14ac:dyDescent="0.25">
      <c r="G2904" s="2" t="str">
        <f ca="1">IFERROR(__xludf.DUMMYFUNCTION("""COMPUTED_VALUE"""),"Baggage Claim ")</f>
        <v>Baggage Claim </v>
      </c>
      <c r="H2904" s="2">
        <v>20700000</v>
      </c>
    </row>
    <row r="2905" spans="7:8" x14ac:dyDescent="0.25">
      <c r="G2905" s="2" t="str">
        <f ca="1">IFERROR(__xludf.DUMMYFUNCTION("""COMPUTED_VALUE"""),"Election ")</f>
        <v>Election </v>
      </c>
      <c r="H2905" s="2">
        <v>13064616</v>
      </c>
    </row>
    <row r="2906" spans="7:8" x14ac:dyDescent="0.25">
      <c r="G2906" s="2" t="str">
        <f ca="1">IFERROR(__xludf.DUMMYFUNCTION("""COMPUTED_VALUE"""),"The DUFF ")</f>
        <v>The DUFF </v>
      </c>
      <c r="H2906" s="2">
        <v>6879556</v>
      </c>
    </row>
    <row r="2907" spans="7:8" x14ac:dyDescent="0.25">
      <c r="G2907" s="2" t="str">
        <f ca="1">IFERROR(__xludf.DUMMYFUNCTION("""COMPUTED_VALUE"""),"Glitter ")</f>
        <v>Glitter </v>
      </c>
      <c r="H2907" s="2">
        <v>25517854</v>
      </c>
    </row>
    <row r="2908" spans="7:8" x14ac:dyDescent="0.25">
      <c r="G2908" s="2" t="str">
        <f ca="1">IFERROR(__xludf.DUMMYFUNCTION("""COMPUTED_VALUE"""),"Bright Star ")</f>
        <v>Bright Star </v>
      </c>
      <c r="H2908" s="2">
        <v>-17726628</v>
      </c>
    </row>
    <row r="2909" spans="7:8" x14ac:dyDescent="0.25">
      <c r="G2909" s="2" t="str">
        <f ca="1">IFERROR(__xludf.DUMMYFUNCTION("""COMPUTED_VALUE"""),"My Name Is Khan ")</f>
        <v>My Name Is Khan </v>
      </c>
      <c r="H2909" s="2">
        <v>-4059945</v>
      </c>
    </row>
    <row r="2910" spans="7:8" x14ac:dyDescent="0.25">
      <c r="G2910" s="2" t="str">
        <f ca="1">IFERROR(__xludf.DUMMYFUNCTION("""COMPUTED_VALUE"""),"All Is Lost ")</f>
        <v>All Is Lost </v>
      </c>
      <c r="H2910" s="2">
        <v>-7981305</v>
      </c>
    </row>
    <row r="2911" spans="7:8" x14ac:dyDescent="0.25">
      <c r="G2911" s="2" t="str">
        <f ca="1">IFERROR(__xludf.DUMMYFUNCTION("""COMPUTED_VALUE"""),"Limbo ")</f>
        <v>Limbo </v>
      </c>
      <c r="H2911" s="2">
        <v>-2737058</v>
      </c>
    </row>
    <row r="2912" spans="7:8" x14ac:dyDescent="0.25">
      <c r="G2912" s="2" t="str">
        <f ca="1">IFERROR(__xludf.DUMMYFUNCTION("""COMPUTED_VALUE"""),"Repo! The Genetic Opera ")</f>
        <v>Repo! The Genetic Opera </v>
      </c>
      <c r="H2912" s="2">
        <v>-6002193</v>
      </c>
    </row>
    <row r="2913" spans="7:8" x14ac:dyDescent="0.25">
      <c r="G2913" s="2" t="str">
        <f ca="1">IFERROR(__xludf.DUMMYFUNCTION("""COMPUTED_VALUE"""),"Pulp Fiction ")</f>
        <v>Pulp Fiction </v>
      </c>
      <c r="H2913" s="2">
        <v>-8359756</v>
      </c>
    </row>
    <row r="2914" spans="7:8" x14ac:dyDescent="0.25">
      <c r="G2914" s="2" t="str">
        <f ca="1">IFERROR(__xludf.DUMMYFUNCTION("""COMPUTED_VALUE"""),"Nightcrawler ")</f>
        <v>Nightcrawler </v>
      </c>
      <c r="H2914" s="2">
        <v>99930000</v>
      </c>
    </row>
    <row r="2915" spans="7:8" x14ac:dyDescent="0.25">
      <c r="G2915" s="2" t="str">
        <f ca="1">IFERROR(__xludf.DUMMYFUNCTION("""COMPUTED_VALUE"""),"Club Dread ")</f>
        <v>Club Dread </v>
      </c>
      <c r="H2915" s="2">
        <v>23779955</v>
      </c>
    </row>
    <row r="2916" spans="7:8" x14ac:dyDescent="0.25">
      <c r="G2916" s="2" t="str">
        <f ca="1">IFERROR(__xludf.DUMMYFUNCTION("""COMPUTED_VALUE"""),"The Sound of Music ")</f>
        <v>The Sound of Music </v>
      </c>
      <c r="H2916" s="2">
        <v>-3557841</v>
      </c>
    </row>
    <row r="2917" spans="7:8" x14ac:dyDescent="0.25">
      <c r="G2917" s="2" t="str">
        <f ca="1">IFERROR(__xludf.DUMMYFUNCTION("""COMPUTED_VALUE"""),"Splash ")</f>
        <v>Splash </v>
      </c>
      <c r="H2917" s="2">
        <v>155014286</v>
      </c>
    </row>
    <row r="2918" spans="7:8" x14ac:dyDescent="0.25">
      <c r="G2918" s="2" t="str">
        <f ca="1">IFERROR(__xludf.DUMMYFUNCTION("""COMPUTED_VALUE"""),"Little Miss Sunshine ")</f>
        <v>Little Miss Sunshine </v>
      </c>
      <c r="H2918" s="2">
        <v>61800000</v>
      </c>
    </row>
    <row r="2919" spans="7:8" x14ac:dyDescent="0.25">
      <c r="G2919" s="2" t="str">
        <f ca="1">IFERROR(__xludf.DUMMYFUNCTION("""COMPUTED_VALUE"""),"Stand by Me ")</f>
        <v>Stand by Me </v>
      </c>
      <c r="H2919" s="2">
        <v>51889948</v>
      </c>
    </row>
    <row r="2920" spans="7:8" x14ac:dyDescent="0.25">
      <c r="G2920" s="2" t="str">
        <f ca="1">IFERROR(__xludf.DUMMYFUNCTION("""COMPUTED_VALUE"""),"28 Days Later... ")</f>
        <v>28 Days Later... </v>
      </c>
      <c r="H2920" s="2">
        <v>44287414</v>
      </c>
    </row>
    <row r="2921" spans="7:8" x14ac:dyDescent="0.25">
      <c r="G2921" s="2" t="str">
        <f ca="1">IFERROR(__xludf.DUMMYFUNCTION("""COMPUTED_VALUE"""),"You Got Served ")</f>
        <v>You Got Served </v>
      </c>
      <c r="H2921" s="2">
        <v>37063889</v>
      </c>
    </row>
    <row r="2922" spans="7:8" x14ac:dyDescent="0.25">
      <c r="G2922" s="2" t="str">
        <f ca="1">IFERROR(__xludf.DUMMYFUNCTION("""COMPUTED_VALUE"""),"Escape from Alcatraz ")</f>
        <v>Escape from Alcatraz </v>
      </c>
      <c r="H2922" s="2">
        <v>32066497</v>
      </c>
    </row>
    <row r="2923" spans="7:8" x14ac:dyDescent="0.25">
      <c r="G2923" s="2" t="str">
        <f ca="1">IFERROR(__xludf.DUMMYFUNCTION("""COMPUTED_VALUE"""),"Brown Sugar ")</f>
        <v>Brown Sugar </v>
      </c>
      <c r="H2923" s="2">
        <v>28500000</v>
      </c>
    </row>
    <row r="2924" spans="7:8" x14ac:dyDescent="0.25">
      <c r="G2924" s="2" t="str">
        <f ca="1">IFERROR(__xludf.DUMMYFUNCTION("""COMPUTED_VALUE"""),"A Thin Line Between Love and Hate ")</f>
        <v>A Thin Line Between Love and Hate </v>
      </c>
      <c r="H2924" s="2">
        <v>19362712</v>
      </c>
    </row>
    <row r="2925" spans="7:8" x14ac:dyDescent="0.25">
      <c r="G2925" s="2" t="str">
        <f ca="1">IFERROR(__xludf.DUMMYFUNCTION("""COMPUTED_VALUE"""),"50/50 ")</f>
        <v>50/50 </v>
      </c>
      <c r="H2925" s="2">
        <v>26746109</v>
      </c>
    </row>
    <row r="2926" spans="7:8" x14ac:dyDescent="0.25">
      <c r="G2926" s="2" t="str">
        <f ca="1">IFERROR(__xludf.DUMMYFUNCTION("""COMPUTED_VALUE"""),"Shutter ")</f>
        <v>Shutter </v>
      </c>
      <c r="H2926" s="2">
        <v>26963967</v>
      </c>
    </row>
    <row r="2927" spans="7:8" x14ac:dyDescent="0.25">
      <c r="G2927" s="2" t="str">
        <f ca="1">IFERROR(__xludf.DUMMYFUNCTION("""COMPUTED_VALUE"""),"That Awkward Moment ")</f>
        <v>That Awkward Moment </v>
      </c>
      <c r="H2927" s="2">
        <v>17926543</v>
      </c>
    </row>
    <row r="2928" spans="7:8" x14ac:dyDescent="0.25">
      <c r="G2928" s="2" t="str">
        <f ca="1">IFERROR(__xludf.DUMMYFUNCTION("""COMPUTED_VALUE"""),"Much Ado About Nothing ")</f>
        <v>Much Ado About Nothing </v>
      </c>
      <c r="H2928" s="2">
        <v>18049082</v>
      </c>
    </row>
    <row r="2929" spans="7:8" x14ac:dyDescent="0.25">
      <c r="G2929" s="2" t="str">
        <f ca="1">IFERROR(__xludf.DUMMYFUNCTION("""COMPUTED_VALUE"""),"On Her Majesty's Secret Service ")</f>
        <v>On Her Majesty's Secret Service </v>
      </c>
      <c r="H2929" s="2">
        <v>14551000</v>
      </c>
    </row>
    <row r="2930" spans="7:8" x14ac:dyDescent="0.25">
      <c r="G2930" s="2" t="str">
        <f ca="1">IFERROR(__xludf.DUMMYFUNCTION("""COMPUTED_VALUE"""),"New Nightmare ")</f>
        <v>New Nightmare </v>
      </c>
      <c r="H2930" s="2">
        <v>15800000</v>
      </c>
    </row>
    <row r="2931" spans="7:8" x14ac:dyDescent="0.25">
      <c r="G2931" s="2" t="str">
        <f ca="1">IFERROR(__xludf.DUMMYFUNCTION("""COMPUTED_VALUE"""),"Drive Me Crazy ")</f>
        <v>Drive Me Crazy </v>
      </c>
      <c r="H2931" s="2">
        <v>10090181</v>
      </c>
    </row>
    <row r="2932" spans="7:8" x14ac:dyDescent="0.25">
      <c r="G2932" s="2" t="str">
        <f ca="1">IFERROR(__xludf.DUMMYFUNCTION("""COMPUTED_VALUE"""),"Half Baked ")</f>
        <v>Half Baked </v>
      </c>
      <c r="H2932" s="2">
        <v>9843379</v>
      </c>
    </row>
    <row r="2933" spans="7:8" x14ac:dyDescent="0.25">
      <c r="G2933" s="2" t="str">
        <f ca="1">IFERROR(__xludf.DUMMYFUNCTION("""COMPUTED_VALUE"""),"New in Town ")</f>
        <v>New in Town </v>
      </c>
      <c r="H2933" s="2">
        <v>9278980</v>
      </c>
    </row>
    <row r="2934" spans="7:8" x14ac:dyDescent="0.25">
      <c r="G2934" s="2" t="str">
        <f ca="1">IFERROR(__xludf.DUMMYFUNCTION("""COMPUTED_VALUE"""),"American Psycho ")</f>
        <v>American Psycho </v>
      </c>
      <c r="H2934" s="2">
        <v>8699684</v>
      </c>
    </row>
    <row r="2935" spans="7:8" x14ac:dyDescent="0.25">
      <c r="G2935" s="2" t="str">
        <f ca="1">IFERROR(__xludf.DUMMYFUNCTION("""COMPUTED_VALUE"""),"The Good Girl ")</f>
        <v>The Good Girl </v>
      </c>
      <c r="H2935" s="2">
        <v>8047419</v>
      </c>
    </row>
    <row r="2936" spans="7:8" x14ac:dyDescent="0.25">
      <c r="G2936" s="2" t="str">
        <f ca="1">IFERROR(__xludf.DUMMYFUNCTION("""COMPUTED_VALUE"""),"The Boondock Saints II: All Saints Day ")</f>
        <v>The Boondock Saints II: All Saints Day </v>
      </c>
      <c r="H2936" s="2">
        <v>9015786</v>
      </c>
    </row>
    <row r="2937" spans="7:8" x14ac:dyDescent="0.25">
      <c r="G2937" s="2" t="str">
        <f ca="1">IFERROR(__xludf.DUMMYFUNCTION("""COMPUTED_VALUE"""),"Enough Said ")</f>
        <v>Enough Said </v>
      </c>
      <c r="H2937" s="2">
        <v>2269307</v>
      </c>
    </row>
    <row r="2938" spans="7:8" x14ac:dyDescent="0.25">
      <c r="G2938" s="2" t="str">
        <f ca="1">IFERROR(__xludf.DUMMYFUNCTION("""COMPUTED_VALUE"""),"Easy A ")</f>
        <v>Easy A </v>
      </c>
      <c r="H2938" s="2">
        <v>9536788</v>
      </c>
    </row>
    <row r="2939" spans="7:8" x14ac:dyDescent="0.25">
      <c r="G2939" s="2" t="str">
        <f ca="1">IFERROR(__xludf.DUMMYFUNCTION("""COMPUTED_VALUE"""),"Shadow of the Vampire ")</f>
        <v>Shadow of the Vampire </v>
      </c>
      <c r="H2939" s="2">
        <v>50401464</v>
      </c>
    </row>
    <row r="2940" spans="7:8" x14ac:dyDescent="0.25">
      <c r="G2940" s="2" t="str">
        <f ca="1">IFERROR(__xludf.DUMMYFUNCTION("""COMPUTED_VALUE"""),"Prom ")</f>
        <v>Prom </v>
      </c>
      <c r="H2940" s="2">
        <v>279017</v>
      </c>
    </row>
    <row r="2941" spans="7:8" x14ac:dyDescent="0.25">
      <c r="G2941" s="2" t="str">
        <f ca="1">IFERROR(__xludf.DUMMYFUNCTION("""COMPUTED_VALUE"""),"Held Up ")</f>
        <v>Held Up </v>
      </c>
      <c r="H2941" s="2">
        <v>2106233</v>
      </c>
    </row>
    <row r="2942" spans="7:8" x14ac:dyDescent="0.25">
      <c r="G2942" s="2" t="str">
        <f ca="1">IFERROR(__xludf.DUMMYFUNCTION("""COMPUTED_VALUE"""),"Woman on Top ")</f>
        <v>Woman on Top </v>
      </c>
      <c r="H2942" s="2">
        <v>-3307186</v>
      </c>
    </row>
    <row r="2943" spans="7:8" x14ac:dyDescent="0.25">
      <c r="G2943" s="2" t="str">
        <f ca="1">IFERROR(__xludf.DUMMYFUNCTION("""COMPUTED_VALUE"""),"Anomalisa ")</f>
        <v>Anomalisa </v>
      </c>
      <c r="H2943" s="2">
        <v>-2981550</v>
      </c>
    </row>
    <row r="2944" spans="7:8" x14ac:dyDescent="0.25">
      <c r="G2944" s="2" t="str">
        <f ca="1">IFERROR(__xludf.DUMMYFUNCTION("""COMPUTED_VALUE"""),"Another Year ")</f>
        <v>Another Year </v>
      </c>
      <c r="H2944" s="2">
        <v>-4557180</v>
      </c>
    </row>
    <row r="2945" spans="7:8" x14ac:dyDescent="0.25">
      <c r="G2945" s="2" t="str">
        <f ca="1">IFERROR(__xludf.DUMMYFUNCTION("""COMPUTED_VALUE"""),"8 Women ")</f>
        <v>8 Women </v>
      </c>
      <c r="H2945" s="2">
        <v>-6794756</v>
      </c>
    </row>
    <row r="2946" spans="7:8" x14ac:dyDescent="0.25">
      <c r="G2946" s="2" t="str">
        <f ca="1">IFERROR(__xludf.DUMMYFUNCTION("""COMPUTED_VALUE"""),"Showdown in Little Tokyo ")</f>
        <v>Showdown in Little Tokyo </v>
      </c>
      <c r="H2946" s="2">
        <v>-4923575</v>
      </c>
    </row>
    <row r="2947" spans="7:8" x14ac:dyDescent="0.25">
      <c r="G2947" s="2" t="str">
        <f ca="1">IFERROR(__xludf.DUMMYFUNCTION("""COMPUTED_VALUE"""),"Clay Pigeons ")</f>
        <v>Clay Pigeons </v>
      </c>
      <c r="H2947" s="2">
        <v>-5724443</v>
      </c>
    </row>
    <row r="2948" spans="7:8" x14ac:dyDescent="0.25">
      <c r="G2948" s="2" t="str">
        <f ca="1">IFERROR(__xludf.DUMMYFUNCTION("""COMPUTED_VALUE"""),"It's Kind of a Funny Story ")</f>
        <v>It's Kind of a Funny Story </v>
      </c>
      <c r="H2948" s="2">
        <v>-6210108</v>
      </c>
    </row>
    <row r="2949" spans="7:8" x14ac:dyDescent="0.25">
      <c r="G2949" s="2" t="str">
        <f ca="1">IFERROR(__xludf.DUMMYFUNCTION("""COMPUTED_VALUE"""),"Made in Dagenham ")</f>
        <v>Made in Dagenham </v>
      </c>
      <c r="H2949" s="2">
        <v>-1649942</v>
      </c>
    </row>
    <row r="2950" spans="7:8" x14ac:dyDescent="0.25">
      <c r="G2950" s="2" t="str">
        <f ca="1">IFERROR(__xludf.DUMMYFUNCTION("""COMPUTED_VALUE"""),"When Did You Last See Your Father? ")</f>
        <v>When Did You Last See Your Father? </v>
      </c>
      <c r="H2950" s="2">
        <v>-6105202</v>
      </c>
    </row>
    <row r="2951" spans="7:8" x14ac:dyDescent="0.25">
      <c r="G2951" s="2" t="str">
        <f ca="1">IFERROR(__xludf.DUMMYFUNCTION("""COMPUTED_VALUE"""),"Prefontaine ")</f>
        <v>Prefontaine </v>
      </c>
      <c r="H2951" s="2">
        <v>-6928760</v>
      </c>
    </row>
    <row r="2952" spans="7:8" x14ac:dyDescent="0.25">
      <c r="G2952" s="2" t="str">
        <f ca="1">IFERROR(__xludf.DUMMYFUNCTION("""COMPUTED_VALUE"""),"The Secret of Kells ")</f>
        <v>The Secret of Kells </v>
      </c>
      <c r="H2952" s="2">
        <v>-7467810</v>
      </c>
    </row>
    <row r="2953" spans="7:8" x14ac:dyDescent="0.25">
      <c r="G2953" s="2" t="str">
        <f ca="1">IFERROR(__xludf.DUMMYFUNCTION("""COMPUTED_VALUE"""),"Begin Again ")</f>
        <v>Begin Again </v>
      </c>
      <c r="H2953" s="2">
        <v>-5813617</v>
      </c>
    </row>
    <row r="2954" spans="7:8" x14ac:dyDescent="0.25">
      <c r="G2954" s="2" t="str">
        <f ca="1">IFERROR(__xludf.DUMMYFUNCTION("""COMPUTED_VALUE"""),"Down in the Valley ")</f>
        <v>Down in the Valley </v>
      </c>
      <c r="H2954" s="2">
        <v>8168741</v>
      </c>
    </row>
    <row r="2955" spans="7:8" x14ac:dyDescent="0.25">
      <c r="G2955" s="2" t="str">
        <f ca="1">IFERROR(__xludf.DUMMYFUNCTION("""COMPUTED_VALUE"""),"Brooklyn Rules ")</f>
        <v>Brooklyn Rules </v>
      </c>
      <c r="H2955" s="2">
        <v>-7431305</v>
      </c>
    </row>
    <row r="2956" spans="7:8" x14ac:dyDescent="0.25">
      <c r="G2956" s="2" t="str">
        <f ca="1">IFERROR(__xludf.DUMMYFUNCTION("""COMPUTED_VALUE"""),"The Singing Detective ")</f>
        <v>The Singing Detective </v>
      </c>
      <c r="H2956" s="2">
        <v>-7601580</v>
      </c>
    </row>
    <row r="2957" spans="7:8" x14ac:dyDescent="0.25">
      <c r="G2957" s="2" t="str">
        <f ca="1">IFERROR(__xludf.DUMMYFUNCTION("""COMPUTED_VALUE"""),"Fido ")</f>
        <v>Fido </v>
      </c>
      <c r="H2957" s="2">
        <v>-7663544</v>
      </c>
    </row>
    <row r="2958" spans="7:8" x14ac:dyDescent="0.25">
      <c r="G2958" s="2" t="str">
        <f ca="1">IFERROR(__xludf.DUMMYFUNCTION("""COMPUTED_VALUE"""),"The Wendell Baker Story ")</f>
        <v>The Wendell Baker Story </v>
      </c>
      <c r="H2958" s="2">
        <v>-7701890</v>
      </c>
    </row>
    <row r="2959" spans="7:8" x14ac:dyDescent="0.25">
      <c r="G2959" s="2" t="str">
        <f ca="1">IFERROR(__xludf.DUMMYFUNCTION("""COMPUTED_VALUE"""),"Wild Target ")</f>
        <v>Wild Target </v>
      </c>
      <c r="H2959" s="2">
        <v>-7872856</v>
      </c>
    </row>
    <row r="2960" spans="7:8" x14ac:dyDescent="0.25">
      <c r="G2960" s="2" t="str">
        <f ca="1">IFERROR(__xludf.DUMMYFUNCTION("""COMPUTED_VALUE"""),"Pathology ")</f>
        <v>Pathology </v>
      </c>
      <c r="H2960" s="2">
        <v>-7882810</v>
      </c>
    </row>
    <row r="2961" spans="7:8" x14ac:dyDescent="0.25">
      <c r="G2961" s="2" t="str">
        <f ca="1">IFERROR(__xludf.DUMMYFUNCTION("""COMPUTED_VALUE"""),"10th &amp; Wolf ")</f>
        <v>10th &amp; Wolf </v>
      </c>
      <c r="H2961" s="2">
        <v>-7891338</v>
      </c>
    </row>
    <row r="2962" spans="7:8" x14ac:dyDescent="0.25">
      <c r="G2962" s="2" t="str">
        <f ca="1">IFERROR(__xludf.DUMMYFUNCTION("""COMPUTED_VALUE"""),"Dear Wendy ")</f>
        <v>Dear Wendy </v>
      </c>
      <c r="H2962" s="2">
        <v>-7946519</v>
      </c>
    </row>
    <row r="2963" spans="7:8" x14ac:dyDescent="0.25">
      <c r="G2963" s="2" t="str">
        <f ca="1">IFERROR(__xludf.DUMMYFUNCTION("""COMPUTED_VALUE"""),"Aloft ")</f>
        <v>Aloft </v>
      </c>
      <c r="H2963" s="2">
        <v>-49976894</v>
      </c>
    </row>
    <row r="2964" spans="7:8" x14ac:dyDescent="0.25">
      <c r="G2964" s="2" t="str">
        <f ca="1">IFERROR(__xludf.DUMMYFUNCTION("""COMPUTED_VALUE"""),"Akira ")</f>
        <v>Akira </v>
      </c>
      <c r="H2964" s="2">
        <v>-7947039</v>
      </c>
    </row>
    <row r="2965" spans="7:8" x14ac:dyDescent="0.25">
      <c r="G2965" s="2" t="str">
        <f ca="1">IFERROR(__xludf.DUMMYFUNCTION("""COMPUTED_VALUE"""),"Imagine Me &amp; You ")</f>
        <v>Imagine Me &amp; You </v>
      </c>
      <c r="H2965" s="2">
        <v>-1099560838</v>
      </c>
    </row>
    <row r="2966" spans="7:8" x14ac:dyDescent="0.25">
      <c r="G2966" s="2" t="str">
        <f ca="1">IFERROR(__xludf.DUMMYFUNCTION("""COMPUTED_VALUE"""),"The Blood of Heroes ")</f>
        <v>The Blood of Heroes </v>
      </c>
      <c r="H2966" s="2">
        <v>-7228760</v>
      </c>
    </row>
    <row r="2967" spans="7:8" x14ac:dyDescent="0.25">
      <c r="G2967" s="2" t="str">
        <f ca="1">IFERROR(__xludf.DUMMYFUNCTION("""COMPUTED_VALUE"""),"Driving Miss Daisy ")</f>
        <v>Driving Miss Daisy </v>
      </c>
      <c r="H2967" s="2">
        <v>-9117710</v>
      </c>
    </row>
    <row r="2968" spans="7:8" x14ac:dyDescent="0.25">
      <c r="G2968" s="2" t="str">
        <f ca="1">IFERROR(__xludf.DUMMYFUNCTION("""COMPUTED_VALUE"""),"Soul Food ")</f>
        <v>Soul Food </v>
      </c>
      <c r="H2968" s="2">
        <v>99093296</v>
      </c>
    </row>
    <row r="2969" spans="7:8" x14ac:dyDescent="0.25">
      <c r="G2969" s="2" t="str">
        <f ca="1">IFERROR(__xludf.DUMMYFUNCTION("""COMPUTED_VALUE"""),"Rumble in the Bronx ")</f>
        <v>Rumble in the Bronx </v>
      </c>
      <c r="H2969" s="2">
        <v>35990057</v>
      </c>
    </row>
    <row r="2970" spans="7:8" x14ac:dyDescent="0.25">
      <c r="G2970" s="2" t="str">
        <f ca="1">IFERROR(__xludf.DUMMYFUNCTION("""COMPUTED_VALUE"""),"Thank You for Smoking ")</f>
        <v>Thank You for Smoking </v>
      </c>
      <c r="H2970" s="2">
        <v>24833860</v>
      </c>
    </row>
    <row r="2971" spans="7:8" x14ac:dyDescent="0.25">
      <c r="G2971" s="2" t="str">
        <f ca="1">IFERROR(__xludf.DUMMYFUNCTION("""COMPUTED_VALUE"""),"Hostel: Part II ")</f>
        <v>Hostel: Part II </v>
      </c>
      <c r="H2971" s="2">
        <v>18292061</v>
      </c>
    </row>
    <row r="2972" spans="7:8" x14ac:dyDescent="0.25">
      <c r="G2972" s="2" t="str">
        <f ca="1">IFERROR(__xludf.DUMMYFUNCTION("""COMPUTED_VALUE"""),"An Education ")</f>
        <v>An Education </v>
      </c>
      <c r="H2972" s="2">
        <v>7544812</v>
      </c>
    </row>
    <row r="2973" spans="7:8" x14ac:dyDescent="0.25">
      <c r="G2973" s="2" t="str">
        <f ca="1">IFERROR(__xludf.DUMMYFUNCTION("""COMPUTED_VALUE"""),"The Hotel New Hampshire ")</f>
        <v>The Hotel New Hampshire </v>
      </c>
      <c r="H2973" s="2">
        <v>8074715</v>
      </c>
    </row>
    <row r="2974" spans="7:8" x14ac:dyDescent="0.25">
      <c r="G2974" s="2" t="str">
        <f ca="1">IFERROR(__xludf.DUMMYFUNCTION("""COMPUTED_VALUE"""),"Narc ")</f>
        <v>Narc </v>
      </c>
      <c r="H2974" s="2">
        <v>-2400000</v>
      </c>
    </row>
    <row r="2975" spans="7:8" x14ac:dyDescent="0.25">
      <c r="G2975" s="2" t="str">
        <f ca="1">IFERROR(__xludf.DUMMYFUNCTION("""COMPUTED_VALUE"""),"Men with Brooms ")</f>
        <v>Men with Brooms </v>
      </c>
      <c r="H2975" s="2">
        <v>2960089</v>
      </c>
    </row>
    <row r="2976" spans="7:8" x14ac:dyDescent="0.25">
      <c r="G2976" s="2" t="str">
        <f ca="1">IFERROR(__xludf.DUMMYFUNCTION("""COMPUTED_VALUE"""),"Witless Protection ")</f>
        <v>Witless Protection </v>
      </c>
      <c r="H2976" s="2">
        <v>-3260233</v>
      </c>
    </row>
    <row r="2977" spans="7:8" x14ac:dyDescent="0.25">
      <c r="G2977" s="2" t="str">
        <f ca="1">IFERROR(__xludf.DUMMYFUNCTION("""COMPUTED_VALUE"""),"The Work and the Glory ")</f>
        <v>The Work and the Glory </v>
      </c>
      <c r="H2977" s="2">
        <v>-3368360</v>
      </c>
    </row>
    <row r="2978" spans="7:8" x14ac:dyDescent="0.25">
      <c r="G2978" s="2" t="str">
        <f ca="1">IFERROR(__xludf.DUMMYFUNCTION("""COMPUTED_VALUE"""),"Extract ")</f>
        <v>Extract </v>
      </c>
      <c r="H2978" s="2">
        <v>-4152561</v>
      </c>
    </row>
    <row r="2979" spans="7:8" x14ac:dyDescent="0.25">
      <c r="G2979" s="2" t="str">
        <f ca="1">IFERROR(__xludf.DUMMYFUNCTION("""COMPUTED_VALUE"""),"Alias Betty ")</f>
        <v>Alias Betty </v>
      </c>
      <c r="H2979" s="2">
        <v>2814185</v>
      </c>
    </row>
    <row r="2980" spans="7:8" x14ac:dyDescent="0.25">
      <c r="G2980" s="2" t="str">
        <f ca="1">IFERROR(__xludf.DUMMYFUNCTION("""COMPUTED_VALUE"""),"Code 46 ")</f>
        <v>Code 46 </v>
      </c>
      <c r="H2980" s="2">
        <v>-49793600</v>
      </c>
    </row>
    <row r="2981" spans="7:8" x14ac:dyDescent="0.25">
      <c r="G2981" s="2" t="str">
        <f ca="1">IFERROR(__xludf.DUMMYFUNCTION("""COMPUTED_VALUE"""),"Albert Nobbs ")</f>
        <v>Albert Nobbs </v>
      </c>
      <c r="H2981" s="2">
        <v>-7302852</v>
      </c>
    </row>
    <row r="2982" spans="7:8" x14ac:dyDescent="0.25">
      <c r="G2982" s="2" t="str">
        <f ca="1">IFERROR(__xludf.DUMMYFUNCTION("""COMPUTED_VALUE"""),"Ta Ra Rum Pum ")</f>
        <v>Ta Ra Rum Pum </v>
      </c>
      <c r="H2982" s="2">
        <v>-4985459</v>
      </c>
    </row>
    <row r="2983" spans="7:8" x14ac:dyDescent="0.25">
      <c r="G2983" s="2" t="str">
        <f ca="1">IFERROR(__xludf.DUMMYFUNCTION("""COMPUTED_VALUE"""),"Persepolis ")</f>
        <v>Persepolis </v>
      </c>
      <c r="H2983" s="2">
        <v>-5127357</v>
      </c>
    </row>
    <row r="2984" spans="7:8" x14ac:dyDescent="0.25">
      <c r="G2984" s="2" t="str">
        <f ca="1">IFERROR(__xludf.DUMMYFUNCTION("""COMPUTED_VALUE"""),"The Neon Demon ")</f>
        <v>The Neon Demon </v>
      </c>
      <c r="H2984" s="2">
        <v>-2856597</v>
      </c>
    </row>
    <row r="2985" spans="7:8" x14ac:dyDescent="0.25">
      <c r="G2985" s="2" t="str">
        <f ca="1">IFERROR(__xludf.DUMMYFUNCTION("""COMPUTED_VALUE"""),"Harry Brown ")</f>
        <v>Harry Brown </v>
      </c>
      <c r="H2985" s="2">
        <v>-5669173</v>
      </c>
    </row>
    <row r="2986" spans="7:8" x14ac:dyDescent="0.25">
      <c r="G2986" s="2" t="str">
        <f ca="1">IFERROR(__xludf.DUMMYFUNCTION("""COMPUTED_VALUE"""),"The Omega Code ")</f>
        <v>The Omega Code </v>
      </c>
      <c r="H2986" s="2">
        <v>-5481319</v>
      </c>
    </row>
    <row r="2987" spans="7:8" x14ac:dyDescent="0.25">
      <c r="G2987" s="2" t="str">
        <f ca="1">IFERROR(__xludf.DUMMYFUNCTION("""COMPUTED_VALUE"""),"Juno ")</f>
        <v>Juno </v>
      </c>
      <c r="H2987" s="2">
        <v>5110552</v>
      </c>
    </row>
    <row r="2988" spans="7:8" x14ac:dyDescent="0.25">
      <c r="G2988" s="2" t="str">
        <f ca="1">IFERROR(__xludf.DUMMYFUNCTION("""COMPUTED_VALUE"""),"Diamonds Are Forever ")</f>
        <v>Diamonds Are Forever </v>
      </c>
      <c r="H2988" s="2">
        <v>135992840</v>
      </c>
    </row>
    <row r="2989" spans="7:8" x14ac:dyDescent="0.25">
      <c r="G2989" s="2" t="str">
        <f ca="1">IFERROR(__xludf.DUMMYFUNCTION("""COMPUTED_VALUE"""),"The Godfather ")</f>
        <v>The Godfather </v>
      </c>
      <c r="H2989" s="2">
        <v>36600000</v>
      </c>
    </row>
    <row r="2990" spans="7:8" x14ac:dyDescent="0.25">
      <c r="G2990" s="2" t="str">
        <f ca="1">IFERROR(__xludf.DUMMYFUNCTION("""COMPUTED_VALUE"""),"Flashdance ")</f>
        <v>Flashdance </v>
      </c>
      <c r="H2990" s="2">
        <v>128821952</v>
      </c>
    </row>
    <row r="2991" spans="7:8" x14ac:dyDescent="0.25">
      <c r="G2991" s="2" t="str">
        <f ca="1">IFERROR(__xludf.DUMMYFUNCTION("""COMPUTED_VALUE"""),"500 Days of Summer ")</f>
        <v>500 Days of Summer </v>
      </c>
      <c r="H2991" s="2">
        <v>90900000</v>
      </c>
    </row>
    <row r="2992" spans="7:8" x14ac:dyDescent="0.25">
      <c r="G2992" s="2" t="str">
        <f ca="1">IFERROR(__xludf.DUMMYFUNCTION("""COMPUTED_VALUE"""),"The Piano ")</f>
        <v>The Piano </v>
      </c>
      <c r="H2992" s="2">
        <v>24891374</v>
      </c>
    </row>
    <row r="2993" spans="7:8" x14ac:dyDescent="0.25">
      <c r="G2993" s="2" t="str">
        <f ca="1">IFERROR(__xludf.DUMMYFUNCTION("""COMPUTED_VALUE"""),"Magic Mike ")</f>
        <v>Magic Mike </v>
      </c>
      <c r="H2993" s="2">
        <v>33158000</v>
      </c>
    </row>
    <row r="2994" spans="7:8" x14ac:dyDescent="0.25">
      <c r="G2994" s="2" t="str">
        <f ca="1">IFERROR(__xludf.DUMMYFUNCTION("""COMPUTED_VALUE"""),"Darkness Falls ")</f>
        <v>Darkness Falls </v>
      </c>
      <c r="H2994" s="2">
        <v>106709992</v>
      </c>
    </row>
    <row r="2995" spans="7:8" x14ac:dyDescent="0.25">
      <c r="G2995" s="2" t="str">
        <f ca="1">IFERROR(__xludf.DUMMYFUNCTION("""COMPUTED_VALUE"""),"Live and Let Die ")</f>
        <v>Live and Let Die </v>
      </c>
      <c r="H2995" s="2">
        <v>21131483</v>
      </c>
    </row>
    <row r="2996" spans="7:8" x14ac:dyDescent="0.25">
      <c r="G2996" s="2" t="str">
        <f ca="1">IFERROR(__xludf.DUMMYFUNCTION("""COMPUTED_VALUE"""),"My Dog Skip ")</f>
        <v>My Dog Skip </v>
      </c>
      <c r="H2996" s="2">
        <v>28400000</v>
      </c>
    </row>
    <row r="2997" spans="7:8" x14ac:dyDescent="0.25">
      <c r="G2997" s="2" t="str">
        <f ca="1">IFERROR(__xludf.DUMMYFUNCTION("""COMPUTED_VALUE"""),"Jumping the Broom ")</f>
        <v>Jumping the Broom </v>
      </c>
      <c r="H2997" s="2">
        <v>29099640</v>
      </c>
    </row>
    <row r="2998" spans="7:8" x14ac:dyDescent="0.25">
      <c r="G2998" s="2" t="str">
        <f ca="1">IFERROR(__xludf.DUMMYFUNCTION("""COMPUTED_VALUE"""),"Good Night, and Good Luck. ")</f>
        <v>Good Night, and Good Luck. </v>
      </c>
      <c r="H2998" s="2">
        <v>30695394</v>
      </c>
    </row>
    <row r="2999" spans="7:8" x14ac:dyDescent="0.25">
      <c r="G2999" s="2" t="str">
        <f ca="1">IFERROR(__xludf.DUMMYFUNCTION("""COMPUTED_VALUE"""),"Capote ")</f>
        <v>Capote </v>
      </c>
      <c r="H2999" s="2">
        <v>24001218</v>
      </c>
    </row>
    <row r="3000" spans="7:8" x14ac:dyDescent="0.25">
      <c r="G3000" s="2" t="str">
        <f ca="1">IFERROR(__xludf.DUMMYFUNCTION("""COMPUTED_VALUE"""),"Desperado ")</f>
        <v>Desperado </v>
      </c>
      <c r="H3000" s="2">
        <v>21747570</v>
      </c>
    </row>
    <row r="3001" spans="7:8" x14ac:dyDescent="0.25">
      <c r="G3001" s="2" t="str">
        <f ca="1">IFERROR(__xludf.DUMMYFUNCTION("""COMPUTED_VALUE"""),"Logan's Run ")</f>
        <v>Logan's Run </v>
      </c>
      <c r="H3001" s="2">
        <v>18625110</v>
      </c>
    </row>
    <row r="3002" spans="7:8" x14ac:dyDescent="0.25">
      <c r="G3002" s="2" t="str">
        <f ca="1">IFERROR(__xludf.DUMMYFUNCTION("""COMPUTED_VALUE"""),"The Man with the Golden Gun ")</f>
        <v>The Man with the Golden Gun </v>
      </c>
      <c r="H3002" s="2">
        <v>16000000</v>
      </c>
    </row>
    <row r="3003" spans="7:8" x14ac:dyDescent="0.25">
      <c r="G3003" s="2" t="str">
        <f ca="1">IFERROR(__xludf.DUMMYFUNCTION("""COMPUTED_VALUE"""),"Action Jackson ")</f>
        <v>Action Jackson </v>
      </c>
      <c r="H3003" s="2">
        <v>8000000</v>
      </c>
    </row>
    <row r="3004" spans="7:8" x14ac:dyDescent="0.25">
      <c r="G3004" s="2" t="str">
        <f ca="1">IFERROR(__xludf.DUMMYFUNCTION("""COMPUTED_VALUE"""),"The Descent ")</f>
        <v>The Descent </v>
      </c>
      <c r="H3004" s="2">
        <v>13257000</v>
      </c>
    </row>
    <row r="3005" spans="7:8" x14ac:dyDescent="0.25">
      <c r="G3005" s="2" t="str">
        <f ca="1">IFERROR(__xludf.DUMMYFUNCTION("""COMPUTED_VALUE"""),"Devil's Due ")</f>
        <v>Devil's Due </v>
      </c>
      <c r="H3005" s="2">
        <v>22505908</v>
      </c>
    </row>
    <row r="3006" spans="7:8" x14ac:dyDescent="0.25">
      <c r="G3006" s="2" t="str">
        <f ca="1">IFERROR(__xludf.DUMMYFUNCTION("""COMPUTED_VALUE"""),"Flirting with Disaster ")</f>
        <v>Flirting with Disaster </v>
      </c>
      <c r="H3006" s="2">
        <v>8818967</v>
      </c>
    </row>
    <row r="3007" spans="7:8" x14ac:dyDescent="0.25">
      <c r="G3007" s="2" t="str">
        <f ca="1">IFERROR(__xludf.DUMMYFUNCTION("""COMPUTED_VALUE"""),"The Devil's Rejects ")</f>
        <v>The Devil's Rejects </v>
      </c>
      <c r="H3007" s="2">
        <v>7891000</v>
      </c>
    </row>
    <row r="3008" spans="7:8" x14ac:dyDescent="0.25">
      <c r="G3008" s="2" t="str">
        <f ca="1">IFERROR(__xludf.DUMMYFUNCTION("""COMPUTED_VALUE"""),"Dope ")</f>
        <v>Dope </v>
      </c>
      <c r="H3008" s="2">
        <v>9901126</v>
      </c>
    </row>
    <row r="3009" spans="7:8" x14ac:dyDescent="0.25">
      <c r="G3009" s="2" t="str">
        <f ca="1">IFERROR(__xludf.DUMMYFUNCTION("""COMPUTED_VALUE"""),"In Too Deep ")</f>
        <v>In Too Deep </v>
      </c>
      <c r="H3009" s="2">
        <v>10474107</v>
      </c>
    </row>
    <row r="3010" spans="7:8" x14ac:dyDescent="0.25">
      <c r="G3010" s="2" t="str">
        <f ca="1">IFERROR(__xludf.DUMMYFUNCTION("""COMPUTED_VALUE"""),"House of 1000 Corpses ")</f>
        <v>House of 1000 Corpses </v>
      </c>
      <c r="H3010" s="2">
        <v>7003141</v>
      </c>
    </row>
    <row r="3011" spans="7:8" x14ac:dyDescent="0.25">
      <c r="G3011" s="2" t="str">
        <f ca="1">IFERROR(__xludf.DUMMYFUNCTION("""COMPUTED_VALUE"""),"A Serious Man ")</f>
        <v>A Serious Man </v>
      </c>
      <c r="H3011" s="2">
        <v>5583510</v>
      </c>
    </row>
    <row r="3012" spans="7:8" x14ac:dyDescent="0.25">
      <c r="G3012" s="2" t="str">
        <f ca="1">IFERROR(__xludf.DUMMYFUNCTION("""COMPUTED_VALUE"""),"Get Low ")</f>
        <v>Get Low </v>
      </c>
      <c r="H3012" s="2">
        <v>2190525</v>
      </c>
    </row>
    <row r="3013" spans="7:8" x14ac:dyDescent="0.25">
      <c r="G3013" s="2" t="str">
        <f ca="1">IFERROR(__xludf.DUMMYFUNCTION("""COMPUTED_VALUE"""),"Warlock ")</f>
        <v>Warlock </v>
      </c>
      <c r="H3013" s="2">
        <v>1676553</v>
      </c>
    </row>
    <row r="3014" spans="7:8" x14ac:dyDescent="0.25">
      <c r="G3014" s="2" t="str">
        <f ca="1">IFERROR(__xludf.DUMMYFUNCTION("""COMPUTED_VALUE"""),"Beyond the Lights ")</f>
        <v>Beyond the Lights </v>
      </c>
      <c r="H3014" s="2">
        <v>2094451</v>
      </c>
    </row>
    <row r="3015" spans="7:8" x14ac:dyDescent="0.25">
      <c r="G3015" s="2" t="str">
        <f ca="1">IFERROR(__xludf.DUMMYFUNCTION("""COMPUTED_VALUE"""),"A Single Man ")</f>
        <v>A Single Man </v>
      </c>
      <c r="H3015" s="2">
        <v>7612840</v>
      </c>
    </row>
    <row r="3016" spans="7:8" x14ac:dyDescent="0.25">
      <c r="G3016" s="2" t="str">
        <f ca="1">IFERROR(__xludf.DUMMYFUNCTION("""COMPUTED_VALUE"""),"The Last Temptation of Christ ")</f>
        <v>The Last Temptation of Christ </v>
      </c>
      <c r="H3016" s="2">
        <v>2166863</v>
      </c>
    </row>
    <row r="3017" spans="7:8" x14ac:dyDescent="0.25">
      <c r="G3017" s="2" t="str">
        <f ca="1">IFERROR(__xludf.DUMMYFUNCTION("""COMPUTED_VALUE"""),"Outside Providence ")</f>
        <v>Outside Providence </v>
      </c>
      <c r="H3017" s="2">
        <v>1373585</v>
      </c>
    </row>
    <row r="3018" spans="7:8" x14ac:dyDescent="0.25">
      <c r="G3018" s="2" t="str">
        <f ca="1">IFERROR(__xludf.DUMMYFUNCTION("""COMPUTED_VALUE"""),"Bride &amp; Prejudice ")</f>
        <v>Bride &amp; Prejudice </v>
      </c>
      <c r="H3018" s="2">
        <v>292175</v>
      </c>
    </row>
    <row r="3019" spans="7:8" x14ac:dyDescent="0.25">
      <c r="G3019" s="2" t="str">
        <f ca="1">IFERROR(__xludf.DUMMYFUNCTION("""COMPUTED_VALUE"""),"Rabbit-Proof Fence ")</f>
        <v>Rabbit-Proof Fence </v>
      </c>
      <c r="H3019" s="2">
        <v>-398921</v>
      </c>
    </row>
    <row r="3020" spans="7:8" x14ac:dyDescent="0.25">
      <c r="G3020" s="2" t="str">
        <f ca="1">IFERROR(__xludf.DUMMYFUNCTION("""COMPUTED_VALUE"""),"Who's Your Caddy? ")</f>
        <v>Who's Your Caddy? </v>
      </c>
      <c r="H3020" s="2">
        <v>165429</v>
      </c>
    </row>
    <row r="3021" spans="7:8" x14ac:dyDescent="0.25">
      <c r="G3021" s="2" t="str">
        <f ca="1">IFERROR(__xludf.DUMMYFUNCTION("""COMPUTED_VALUE"""),"Split Second ")</f>
        <v>Split Second </v>
      </c>
      <c r="H3021" s="2">
        <v>-1305692</v>
      </c>
    </row>
    <row r="3022" spans="7:8" x14ac:dyDescent="0.25">
      <c r="G3022" s="2" t="str">
        <f ca="1">IFERROR(__xludf.DUMMYFUNCTION("""COMPUTED_VALUE"""),"The Other Side of Heaven ")</f>
        <v>The Other Side of Heaven </v>
      </c>
      <c r="H3022" s="2">
        <v>-1569178</v>
      </c>
    </row>
    <row r="3023" spans="7:8" x14ac:dyDescent="0.25">
      <c r="G3023" s="2" t="str">
        <f ca="1">IFERROR(__xludf.DUMMYFUNCTION("""COMPUTED_VALUE"""),"Veer-Zaara ")</f>
        <v>Veer-Zaara </v>
      </c>
      <c r="H3023" s="2">
        <v>-2279629</v>
      </c>
    </row>
    <row r="3024" spans="7:8" x14ac:dyDescent="0.25">
      <c r="G3024" s="2" t="str">
        <f ca="1">IFERROR(__xludf.DUMMYFUNCTION("""COMPUTED_VALUE"""),"Redbelt ")</f>
        <v>Redbelt </v>
      </c>
      <c r="H3024" s="2">
        <v>-4078262</v>
      </c>
    </row>
    <row r="3025" spans="7:8" x14ac:dyDescent="0.25">
      <c r="G3025" s="2" t="str">
        <f ca="1">IFERROR(__xludf.DUMMYFUNCTION("""COMPUTED_VALUE"""),"Cyrus ")</f>
        <v>Cyrus </v>
      </c>
      <c r="H3025" s="2">
        <v>-4655153</v>
      </c>
    </row>
    <row r="3026" spans="7:8" x14ac:dyDescent="0.25">
      <c r="G3026" s="2" t="str">
        <f ca="1">IFERROR(__xludf.DUMMYFUNCTION("""COMPUTED_VALUE"""),"A Dog of Flanders ")</f>
        <v>A Dog of Flanders </v>
      </c>
      <c r="H3026" s="2">
        <v>455447</v>
      </c>
    </row>
    <row r="3027" spans="7:8" x14ac:dyDescent="0.25">
      <c r="G3027" s="2" t="str">
        <f ca="1">IFERROR(__xludf.DUMMYFUNCTION("""COMPUTED_VALUE"""),"Auto Focus ")</f>
        <v>Auto Focus </v>
      </c>
      <c r="H3027" s="2">
        <v>-4851788</v>
      </c>
    </row>
    <row r="3028" spans="7:8" x14ac:dyDescent="0.25">
      <c r="G3028" s="2" t="str">
        <f ca="1">IFERROR(__xludf.DUMMYFUNCTION("""COMPUTED_VALUE"""),"Factory Girl ")</f>
        <v>Factory Girl </v>
      </c>
      <c r="H3028" s="2">
        <v>-4937934</v>
      </c>
    </row>
    <row r="3029" spans="7:8" x14ac:dyDescent="0.25">
      <c r="G3029" s="2" t="str">
        <f ca="1">IFERROR(__xludf.DUMMYFUNCTION("""COMPUTED_VALUE"""),"We Need to Talk About Kevin ")</f>
        <v>We Need to Talk About Kevin </v>
      </c>
      <c r="H3029" s="2">
        <v>-5345633</v>
      </c>
    </row>
    <row r="3030" spans="7:8" x14ac:dyDescent="0.25">
      <c r="G3030" s="2" t="str">
        <f ca="1">IFERROR(__xludf.DUMMYFUNCTION("""COMPUTED_VALUE"""),"The Mighty Macs ")</f>
        <v>The Mighty Macs </v>
      </c>
      <c r="H3030" s="2">
        <v>-5261308</v>
      </c>
    </row>
    <row r="3031" spans="7:8" x14ac:dyDescent="0.25">
      <c r="G3031" s="2" t="str">
        <f ca="1">IFERROR(__xludf.DUMMYFUNCTION("""COMPUTED_VALUE"""),"Mother and Child ")</f>
        <v>Mother and Child </v>
      </c>
      <c r="H3031" s="2">
        <v>-5110478</v>
      </c>
    </row>
    <row r="3032" spans="7:8" x14ac:dyDescent="0.25">
      <c r="G3032" s="2" t="str">
        <f ca="1">IFERROR(__xludf.DUMMYFUNCTION("""COMPUTED_VALUE"""),"March or Die ")</f>
        <v>March or Die </v>
      </c>
      <c r="H3032" s="2">
        <v>-3714714</v>
      </c>
    </row>
    <row r="3033" spans="7:8" x14ac:dyDescent="0.25">
      <c r="G3033" s="2" t="str">
        <f ca="1">IFERROR(__xludf.DUMMYFUNCTION("""COMPUTED_VALUE"""),"Les visiteurs ")</f>
        <v>Les visiteurs </v>
      </c>
      <c r="H3033" s="2">
        <v>-8000000</v>
      </c>
    </row>
    <row r="3034" spans="7:8" x14ac:dyDescent="0.25">
      <c r="G3034" s="2" t="str">
        <f ca="1">IFERROR(__xludf.DUMMYFUNCTION("""COMPUTED_VALUE"""),"Somewhere ")</f>
        <v>Somewhere </v>
      </c>
      <c r="H3034" s="2">
        <v>-49300000</v>
      </c>
    </row>
    <row r="3035" spans="7:8" x14ac:dyDescent="0.25">
      <c r="G3035" s="2" t="str">
        <f ca="1">IFERROR(__xludf.DUMMYFUNCTION("""COMPUTED_VALUE"""),"Chairman of the Board ")</f>
        <v>Chairman of the Board </v>
      </c>
      <c r="H3035" s="2">
        <v>-5231584</v>
      </c>
    </row>
    <row r="3036" spans="7:8" x14ac:dyDescent="0.25">
      <c r="G3036" s="2" t="str">
        <f ca="1">IFERROR(__xludf.DUMMYFUNCTION("""COMPUTED_VALUE"""),"Hesher ")</f>
        <v>Hesher </v>
      </c>
      <c r="H3036" s="2">
        <v>-9693285</v>
      </c>
    </row>
    <row r="3037" spans="7:8" x14ac:dyDescent="0.25">
      <c r="G3037" s="2" t="str">
        <f ca="1">IFERROR(__xludf.DUMMYFUNCTION("""COMPUTED_VALUE"""),"Gerry ")</f>
        <v>Gerry </v>
      </c>
      <c r="H3037" s="2">
        <v>-6617054</v>
      </c>
    </row>
    <row r="3038" spans="7:8" x14ac:dyDescent="0.25">
      <c r="G3038" s="2" t="str">
        <f ca="1">IFERROR(__xludf.DUMMYFUNCTION("""COMPUTED_VALUE"""),"The Heart of Me ")</f>
        <v>The Heart of Me </v>
      </c>
      <c r="H3038" s="2">
        <v>-3263734</v>
      </c>
    </row>
    <row r="3039" spans="7:8" x14ac:dyDescent="0.25">
      <c r="G3039" s="2" t="str">
        <f ca="1">IFERROR(__xludf.DUMMYFUNCTION("""COMPUTED_VALUE"""),"Freeheld ")</f>
        <v>Freeheld </v>
      </c>
      <c r="H3039" s="2">
        <v>-6803933</v>
      </c>
    </row>
    <row r="3040" spans="7:8" x14ac:dyDescent="0.25">
      <c r="G3040" s="2" t="str">
        <f ca="1">IFERROR(__xludf.DUMMYFUNCTION("""COMPUTED_VALUE"""),"The Extra Man ")</f>
        <v>The Extra Man </v>
      </c>
      <c r="H3040" s="2">
        <v>-6467012</v>
      </c>
    </row>
    <row r="3041" spans="7:8" x14ac:dyDescent="0.25">
      <c r="G3041" s="2" t="str">
        <f ca="1">IFERROR(__xludf.DUMMYFUNCTION("""COMPUTED_VALUE"""),"Ca$h ")</f>
        <v>Ca$h </v>
      </c>
      <c r="H3041" s="2">
        <v>-6546921</v>
      </c>
    </row>
    <row r="3042" spans="7:8" x14ac:dyDescent="0.25">
      <c r="G3042" s="2" t="str">
        <f ca="1">IFERROR(__xludf.DUMMYFUNCTION("""COMPUTED_VALUE"""),"Wah-Wah ")</f>
        <v>Wah-Wah </v>
      </c>
      <c r="H3042" s="2">
        <v>-6953549</v>
      </c>
    </row>
    <row r="3043" spans="7:8" x14ac:dyDescent="0.25">
      <c r="G3043" s="2" t="str">
        <f ca="1">IFERROR(__xludf.DUMMYFUNCTION("""COMPUTED_VALUE"""),"Pale Rider ")</f>
        <v>Pale Rider </v>
      </c>
      <c r="H3043" s="2">
        <v>-6766897</v>
      </c>
    </row>
    <row r="3044" spans="7:8" x14ac:dyDescent="0.25">
      <c r="G3044" s="2" t="str">
        <f ca="1">IFERROR(__xludf.DUMMYFUNCTION("""COMPUTED_VALUE"""),"Dazed and Confused ")</f>
        <v>Dazed and Confused </v>
      </c>
      <c r="H3044" s="2">
        <v>34500000</v>
      </c>
    </row>
    <row r="3045" spans="7:8" x14ac:dyDescent="0.25">
      <c r="G3045" s="2" t="str">
        <f ca="1">IFERROR(__xludf.DUMMYFUNCTION("""COMPUTED_VALUE"""),"Aimee &amp; Jaguar ")</f>
        <v>Aimee &amp; Jaguar </v>
      </c>
      <c r="H3045" s="2">
        <v>1093039</v>
      </c>
    </row>
    <row r="3046" spans="7:8" x14ac:dyDescent="0.25">
      <c r="G3046" s="2" t="str">
        <f ca="1">IFERROR(__xludf.DUMMYFUNCTION("""COMPUTED_VALUE"""),"The Chumscrubber ")</f>
        <v>The Chumscrubber </v>
      </c>
      <c r="H3046" s="2">
        <v>-14072893</v>
      </c>
    </row>
    <row r="3047" spans="7:8" x14ac:dyDescent="0.25">
      <c r="G3047" s="2" t="str">
        <f ca="1">IFERROR(__xludf.DUMMYFUNCTION("""COMPUTED_VALUE"""),"Shade ")</f>
        <v>Shade </v>
      </c>
      <c r="H3047" s="2">
        <v>-6750474</v>
      </c>
    </row>
    <row r="3048" spans="7:8" x14ac:dyDescent="0.25">
      <c r="G3048" s="2" t="str">
        <f ca="1">IFERROR(__xludf.DUMMYFUNCTION("""COMPUTED_VALUE"""),"House at the End of the Street ")</f>
        <v>House at the End of the Street </v>
      </c>
      <c r="H3048" s="2">
        <v>-6789304</v>
      </c>
    </row>
    <row r="3049" spans="7:8" x14ac:dyDescent="0.25">
      <c r="G3049" s="2" t="str">
        <f ca="1">IFERROR(__xludf.DUMMYFUNCTION("""COMPUTED_VALUE"""),"Incendies ")</f>
        <v>Incendies </v>
      </c>
      <c r="H3049" s="2">
        <v>24707598</v>
      </c>
    </row>
    <row r="3050" spans="7:8" x14ac:dyDescent="0.25">
      <c r="G3050" s="2" t="str">
        <f ca="1">IFERROR(__xludf.DUMMYFUNCTION("""COMPUTED_VALUE"""),"Remember Me, My Love ")</f>
        <v>Remember Me, My Love </v>
      </c>
      <c r="H3050" s="2">
        <v>57096</v>
      </c>
    </row>
    <row r="3051" spans="7:8" x14ac:dyDescent="0.25">
      <c r="G3051" s="2" t="str">
        <f ca="1">IFERROR(__xludf.DUMMYFUNCTION("""COMPUTED_VALUE"""),"Elite Squad ")</f>
        <v>Elite Squad </v>
      </c>
      <c r="H3051" s="2">
        <v>-4776122</v>
      </c>
    </row>
    <row r="3052" spans="7:8" x14ac:dyDescent="0.25">
      <c r="G3052" s="2" t="str">
        <f ca="1">IFERROR(__xludf.DUMMYFUNCTION("""COMPUTED_VALUE"""),"Annabelle ")</f>
        <v>Annabelle </v>
      </c>
      <c r="H3052" s="2">
        <v>-3991940</v>
      </c>
    </row>
    <row r="3053" spans="7:8" x14ac:dyDescent="0.25">
      <c r="G3053" s="2" t="str">
        <f ca="1">IFERROR(__xludf.DUMMYFUNCTION("""COMPUTED_VALUE"""),"Bran Nue Dae ")</f>
        <v>Bran Nue Dae </v>
      </c>
      <c r="H3053" s="2">
        <v>77763837</v>
      </c>
    </row>
    <row r="3054" spans="7:8" x14ac:dyDescent="0.25">
      <c r="G3054" s="2" t="str">
        <f ca="1">IFERROR(__xludf.DUMMYFUNCTION("""COMPUTED_VALUE"""),"Boyz n the Hood ")</f>
        <v>Boyz n the Hood </v>
      </c>
      <c r="H3054" s="2">
        <v>-6389971</v>
      </c>
    </row>
    <row r="3055" spans="7:8" x14ac:dyDescent="0.25">
      <c r="G3055" s="2" t="str">
        <f ca="1">IFERROR(__xludf.DUMMYFUNCTION("""COMPUTED_VALUE"""),"La Bamba ")</f>
        <v>La Bamba </v>
      </c>
      <c r="H3055" s="2">
        <v>51504069</v>
      </c>
    </row>
    <row r="3056" spans="7:8" x14ac:dyDescent="0.25">
      <c r="G3056" s="2" t="str">
        <f ca="1">IFERROR(__xludf.DUMMYFUNCTION("""COMPUTED_VALUE"""),"Dressed to Kill ")</f>
        <v>Dressed to Kill </v>
      </c>
      <c r="H3056" s="2">
        <v>47715416</v>
      </c>
    </row>
    <row r="3057" spans="7:8" x14ac:dyDescent="0.25">
      <c r="G3057" s="2" t="str">
        <f ca="1">IFERROR(__xludf.DUMMYFUNCTION("""COMPUTED_VALUE"""),"The Adventures of Huck Finn ")</f>
        <v>The Adventures of Huck Finn </v>
      </c>
      <c r="H3057" s="2">
        <v>25399000</v>
      </c>
    </row>
    <row r="3058" spans="7:8" x14ac:dyDescent="0.25">
      <c r="G3058" s="2" t="str">
        <f ca="1">IFERROR(__xludf.DUMMYFUNCTION("""COMPUTED_VALUE"""),"Go ")</f>
        <v>Go </v>
      </c>
      <c r="H3058" s="2">
        <v>17603594</v>
      </c>
    </row>
    <row r="3059" spans="7:8" x14ac:dyDescent="0.25">
      <c r="G3059" s="2" t="str">
        <f ca="1">IFERROR(__xludf.DUMMYFUNCTION("""COMPUTED_VALUE"""),"Friends with Money ")</f>
        <v>Friends with Money </v>
      </c>
      <c r="H3059" s="2">
        <v>10342303</v>
      </c>
    </row>
    <row r="3060" spans="7:8" x14ac:dyDescent="0.25">
      <c r="G3060" s="2" t="str">
        <f ca="1">IFERROR(__xludf.DUMMYFUNCTION("""COMPUTED_VALUE"""),"Bats ")</f>
        <v>Bats </v>
      </c>
      <c r="H3060" s="2">
        <v>6867101</v>
      </c>
    </row>
    <row r="3061" spans="7:8" x14ac:dyDescent="0.25">
      <c r="G3061" s="2" t="str">
        <f ca="1">IFERROR(__xludf.DUMMYFUNCTION("""COMPUTED_VALUE"""),"Nowhere in Africa ")</f>
        <v>Nowhere in Africa </v>
      </c>
      <c r="H3061" s="2">
        <v>3649779</v>
      </c>
    </row>
    <row r="3062" spans="7:8" x14ac:dyDescent="0.25">
      <c r="G3062" s="2" t="str">
        <f ca="1">IFERROR(__xludf.DUMMYFUNCTION("""COMPUTED_VALUE"""),"Shame ")</f>
        <v>Shame </v>
      </c>
      <c r="H3062" s="2">
        <v>-826515</v>
      </c>
    </row>
    <row r="3063" spans="7:8" x14ac:dyDescent="0.25">
      <c r="G3063" s="2" t="str">
        <f ca="1">IFERROR(__xludf.DUMMYFUNCTION("""COMPUTED_VALUE"""),"Layer Cake ")</f>
        <v>Layer Cake </v>
      </c>
      <c r="H3063" s="2">
        <v>-2499696</v>
      </c>
    </row>
    <row r="3064" spans="7:8" x14ac:dyDescent="0.25">
      <c r="G3064" s="2" t="str">
        <f ca="1">IFERROR(__xludf.DUMMYFUNCTION("""COMPUTED_VALUE"""),"The Work and the Glory II: American Zion ")</f>
        <v>The Work and the Glory II: American Zion </v>
      </c>
      <c r="H3064" s="2">
        <v>-1661305</v>
      </c>
    </row>
    <row r="3065" spans="7:8" x14ac:dyDescent="0.25">
      <c r="G3065" s="2" t="str">
        <f ca="1">IFERROR(__xludf.DUMMYFUNCTION("""COMPUTED_VALUE"""),"The East ")</f>
        <v>The East </v>
      </c>
      <c r="H3065" s="2">
        <v>-4475146</v>
      </c>
    </row>
    <row r="3066" spans="7:8" x14ac:dyDescent="0.25">
      <c r="G3066" s="2" t="str">
        <f ca="1">IFERROR(__xludf.DUMMYFUNCTION("""COMPUTED_VALUE"""),"A Home at the End of the World ")</f>
        <v>A Home at the End of the World </v>
      </c>
      <c r="H3066" s="2">
        <v>-4231704</v>
      </c>
    </row>
    <row r="3067" spans="7:8" x14ac:dyDescent="0.25">
      <c r="G3067" s="2" t="str">
        <f ca="1">IFERROR(__xludf.DUMMYFUNCTION("""COMPUTED_VALUE"""),"Aberdeen ")</f>
        <v>Aberdeen </v>
      </c>
      <c r="H3067" s="2">
        <v>-5470983</v>
      </c>
    </row>
    <row r="3068" spans="7:8" x14ac:dyDescent="0.25">
      <c r="G3068" s="2" t="str">
        <f ca="1">IFERROR(__xludf.DUMMYFUNCTION("""COMPUTED_VALUE"""),"The Messenger ")</f>
        <v>The Messenger </v>
      </c>
      <c r="H3068" s="2">
        <v>-6435852</v>
      </c>
    </row>
    <row r="3069" spans="7:8" x14ac:dyDescent="0.25">
      <c r="G3069" s="2" t="str">
        <f ca="1">IFERROR(__xludf.DUMMYFUNCTION("""COMPUTED_VALUE"""),"Control ")</f>
        <v>Control </v>
      </c>
      <c r="H3069" s="2">
        <v>-6433363</v>
      </c>
    </row>
    <row r="3070" spans="7:8" x14ac:dyDescent="0.25">
      <c r="G3070" s="2" t="str">
        <f ca="1">IFERROR(__xludf.DUMMYFUNCTION("""COMPUTED_VALUE"""),"The Terminator ")</f>
        <v>The Terminator </v>
      </c>
      <c r="H3070" s="2">
        <v>-3628423</v>
      </c>
    </row>
    <row r="3071" spans="7:8" x14ac:dyDescent="0.25">
      <c r="G3071" s="2" t="str">
        <f ca="1">IFERROR(__xludf.DUMMYFUNCTION("""COMPUTED_VALUE"""),"Good Bye Lenin! ")</f>
        <v>Good Bye Lenin! </v>
      </c>
      <c r="H3071" s="2">
        <v>31900000</v>
      </c>
    </row>
    <row r="3072" spans="7:8" x14ac:dyDescent="0.25">
      <c r="G3072" s="2" t="str">
        <f ca="1">IFERROR(__xludf.DUMMYFUNCTION("""COMPUTED_VALUE"""),"The Damned United ")</f>
        <v>The Damned United </v>
      </c>
      <c r="H3072" s="2">
        <v>-736141</v>
      </c>
    </row>
    <row r="3073" spans="7:8" x14ac:dyDescent="0.25">
      <c r="G3073" s="2" t="str">
        <f ca="1">IFERROR(__xludf.DUMMYFUNCTION("""COMPUTED_VALUE"""),"Mallrats ")</f>
        <v>Mallrats </v>
      </c>
      <c r="H3073" s="2">
        <v>-9550442</v>
      </c>
    </row>
    <row r="3074" spans="7:8" x14ac:dyDescent="0.25">
      <c r="G3074" s="2" t="str">
        <f ca="1">IFERROR(__xludf.DUMMYFUNCTION("""COMPUTED_VALUE"""),"Grease ")</f>
        <v>Grease </v>
      </c>
      <c r="H3074" s="2">
        <v>-3877439</v>
      </c>
    </row>
    <row r="3075" spans="7:8" x14ac:dyDescent="0.25">
      <c r="G3075" s="2" t="str">
        <f ca="1">IFERROR(__xludf.DUMMYFUNCTION("""COMPUTED_VALUE"""),"Platoon ")</f>
        <v>Platoon </v>
      </c>
      <c r="H3075" s="2">
        <v>175360000</v>
      </c>
    </row>
    <row r="3076" spans="7:8" x14ac:dyDescent="0.25">
      <c r="G3076" s="2" t="str">
        <f ca="1">IFERROR(__xludf.DUMMYFUNCTION("""COMPUTED_VALUE"""),"Fahrenheit 9/11 ")</f>
        <v>Fahrenheit 9/11 </v>
      </c>
      <c r="H3076" s="2">
        <v>131963328</v>
      </c>
    </row>
    <row r="3077" spans="7:8" x14ac:dyDescent="0.25">
      <c r="G3077" s="2" t="str">
        <f ca="1">IFERROR(__xludf.DUMMYFUNCTION("""COMPUTED_VALUE"""),"Butch Cassidy and the Sundance Kid ")</f>
        <v>Butch Cassidy and the Sundance Kid </v>
      </c>
      <c r="H3077" s="2">
        <v>113078393</v>
      </c>
    </row>
    <row r="3078" spans="7:8" x14ac:dyDescent="0.25">
      <c r="G3078" s="2" t="str">
        <f ca="1">IFERROR(__xludf.DUMMYFUNCTION("""COMPUTED_VALUE"""),"Mary Poppins ")</f>
        <v>Mary Poppins </v>
      </c>
      <c r="H3078" s="2">
        <v>96308900</v>
      </c>
    </row>
    <row r="3079" spans="7:8" x14ac:dyDescent="0.25">
      <c r="G3079" s="2" t="str">
        <f ca="1">IFERROR(__xludf.DUMMYFUNCTION("""COMPUTED_VALUE"""),"Ordinary People ")</f>
        <v>Ordinary People </v>
      </c>
      <c r="H3079" s="2">
        <v>96300000</v>
      </c>
    </row>
    <row r="3080" spans="7:8" x14ac:dyDescent="0.25">
      <c r="G3080" s="2" t="str">
        <f ca="1">IFERROR(__xludf.DUMMYFUNCTION("""COMPUTED_VALUE"""),"West Side Story ")</f>
        <v>West Side Story </v>
      </c>
      <c r="H3080" s="2">
        <v>48800000</v>
      </c>
    </row>
    <row r="3081" spans="7:8" x14ac:dyDescent="0.25">
      <c r="G3081" s="2" t="str">
        <f ca="1">IFERROR(__xludf.DUMMYFUNCTION("""COMPUTED_VALUE"""),"Caddyshack ")</f>
        <v>Caddyshack </v>
      </c>
      <c r="H3081" s="2">
        <v>37650000</v>
      </c>
    </row>
    <row r="3082" spans="7:8" x14ac:dyDescent="0.25">
      <c r="G3082" s="2" t="str">
        <f ca="1">IFERROR(__xludf.DUMMYFUNCTION("""COMPUTED_VALUE"""),"The Brothers ")</f>
        <v>The Brothers </v>
      </c>
      <c r="H3082" s="2">
        <v>33800000</v>
      </c>
    </row>
    <row r="3083" spans="7:8" x14ac:dyDescent="0.25">
      <c r="G3083" s="2" t="str">
        <f ca="1">IFERROR(__xludf.DUMMYFUNCTION("""COMPUTED_VALUE"""),"The Wood ")</f>
        <v>The Wood </v>
      </c>
      <c r="H3083" s="2">
        <v>21457409</v>
      </c>
    </row>
    <row r="3084" spans="7:8" x14ac:dyDescent="0.25">
      <c r="G3084" s="2" t="str">
        <f ca="1">IFERROR(__xludf.DUMMYFUNCTION("""COMPUTED_VALUE"""),"The Usual Suspects ")</f>
        <v>The Usual Suspects </v>
      </c>
      <c r="H3084" s="2">
        <v>19047631</v>
      </c>
    </row>
    <row r="3085" spans="7:8" x14ac:dyDescent="0.25">
      <c r="G3085" s="2" t="str">
        <f ca="1">IFERROR(__xludf.DUMMYFUNCTION("""COMPUTED_VALUE"""),"A Nightmare on Elm Street 5: The Dream Child ")</f>
        <v>A Nightmare on Elm Street 5: The Dream Child </v>
      </c>
      <c r="H3085" s="2">
        <v>17272306</v>
      </c>
    </row>
    <row r="3086" spans="7:8" x14ac:dyDescent="0.25">
      <c r="G3086" s="2" t="str">
        <f ca="1">IFERROR(__xludf.DUMMYFUNCTION("""COMPUTED_VALUE"""),"Van Wilder: Party Liaison ")</f>
        <v>Van Wilder: Party Liaison </v>
      </c>
      <c r="H3086" s="2">
        <v>14168359</v>
      </c>
    </row>
    <row r="3087" spans="7:8" x14ac:dyDescent="0.25">
      <c r="G3087" s="2" t="str">
        <f ca="1">IFERROR(__xludf.DUMMYFUNCTION("""COMPUTED_VALUE"""),"The Wrestler ")</f>
        <v>The Wrestler </v>
      </c>
      <c r="H3087" s="2">
        <v>15005329</v>
      </c>
    </row>
    <row r="3088" spans="7:8" x14ac:dyDescent="0.25">
      <c r="G3088" s="2" t="str">
        <f ca="1">IFERROR(__xludf.DUMMYFUNCTION("""COMPUTED_VALUE"""),"Duel in the Sun ")</f>
        <v>Duel in the Sun </v>
      </c>
      <c r="H3088" s="2">
        <v>20236603</v>
      </c>
    </row>
    <row r="3089" spans="7:8" x14ac:dyDescent="0.25">
      <c r="G3089" s="2" t="str">
        <f ca="1">IFERROR(__xludf.DUMMYFUNCTION("""COMPUTED_VALUE"""),"Best in Show ")</f>
        <v>Best in Show </v>
      </c>
      <c r="H3089" s="2">
        <v>12400000</v>
      </c>
    </row>
    <row r="3090" spans="7:8" x14ac:dyDescent="0.25">
      <c r="G3090" s="2" t="str">
        <f ca="1">IFERROR(__xludf.DUMMYFUNCTION("""COMPUTED_VALUE"""),"Escape from New York ")</f>
        <v>Escape from New York </v>
      </c>
      <c r="H3090" s="2">
        <v>12621249</v>
      </c>
    </row>
    <row r="3091" spans="7:8" x14ac:dyDescent="0.25">
      <c r="G3091" s="2" t="str">
        <f ca="1">IFERROR(__xludf.DUMMYFUNCTION("""COMPUTED_VALUE"""),"School Daze ")</f>
        <v>School Daze </v>
      </c>
      <c r="H3091" s="2">
        <v>19244700</v>
      </c>
    </row>
    <row r="3092" spans="7:8" x14ac:dyDescent="0.25">
      <c r="G3092" s="2" t="str">
        <f ca="1">IFERROR(__xludf.DUMMYFUNCTION("""COMPUTED_VALUE"""),"Daddy Day Camp ")</f>
        <v>Daddy Day Camp </v>
      </c>
      <c r="H3092" s="2">
        <v>8045844</v>
      </c>
    </row>
    <row r="3093" spans="7:8" x14ac:dyDescent="0.25">
      <c r="G3093" s="2" t="str">
        <f ca="1">IFERROR(__xludf.DUMMYFUNCTION("""COMPUTED_VALUE"""),"Mystic Pizza ")</f>
        <v>Mystic Pizza </v>
      </c>
      <c r="H3093" s="2">
        <v>7235267</v>
      </c>
    </row>
    <row r="3094" spans="7:8" x14ac:dyDescent="0.25">
      <c r="G3094" s="2" t="str">
        <f ca="1">IFERROR(__xludf.DUMMYFUNCTION("""COMPUTED_VALUE"""),"Sliding Doors ")</f>
        <v>Sliding Doors </v>
      </c>
      <c r="H3094" s="2">
        <v>6793213</v>
      </c>
    </row>
    <row r="3095" spans="7:8" x14ac:dyDescent="0.25">
      <c r="G3095" s="2" t="str">
        <f ca="1">IFERROR(__xludf.DUMMYFUNCTION("""COMPUTED_VALUE"""),"Tales from the Hood ")</f>
        <v>Tales from the Hood </v>
      </c>
      <c r="H3095" s="2">
        <v>2883495</v>
      </c>
    </row>
    <row r="3096" spans="7:8" x14ac:dyDescent="0.25">
      <c r="G3096" s="2" t="str">
        <f ca="1">IFERROR(__xludf.DUMMYFUNCTION("""COMPUTED_VALUE"""),"The Last King of Scotland ")</f>
        <v>The Last King of Scotland </v>
      </c>
      <c r="H3096" s="2">
        <v>5797927</v>
      </c>
    </row>
    <row r="3097" spans="7:8" x14ac:dyDescent="0.25">
      <c r="G3097" s="2" t="str">
        <f ca="1">IFERROR(__xludf.DUMMYFUNCTION("""COMPUTED_VALUE"""),"Halloween 5 ")</f>
        <v>Halloween 5 </v>
      </c>
      <c r="H3097" s="2">
        <v>11605861</v>
      </c>
    </row>
    <row r="3098" spans="7:8" x14ac:dyDescent="0.25">
      <c r="G3098" s="2" t="str">
        <f ca="1">IFERROR(__xludf.DUMMYFUNCTION("""COMPUTED_VALUE"""),"Bernie ")</f>
        <v>Bernie </v>
      </c>
      <c r="H3098" s="2">
        <v>8642254</v>
      </c>
    </row>
    <row r="3099" spans="7:8" x14ac:dyDescent="0.25">
      <c r="G3099" s="2" t="str">
        <f ca="1">IFERROR(__xludf.DUMMYFUNCTION("""COMPUTED_VALUE"""),"Dolphins and Whales 3D: Tribes of the Ocean ")</f>
        <v>Dolphins and Whales 3D: Tribes of the Ocean </v>
      </c>
      <c r="H3099" s="2">
        <v>4203192</v>
      </c>
    </row>
    <row r="3100" spans="7:8" x14ac:dyDescent="0.25">
      <c r="G3100" s="2" t="str">
        <f ca="1">IFERROR(__xludf.DUMMYFUNCTION("""COMPUTED_VALUE"""),"Pollock ")</f>
        <v>Pollock </v>
      </c>
      <c r="H3100" s="2">
        <v>1518876</v>
      </c>
    </row>
    <row r="3101" spans="7:8" x14ac:dyDescent="0.25">
      <c r="G3101" s="2" t="str">
        <f ca="1">IFERROR(__xludf.DUMMYFUNCTION("""COMPUTED_VALUE"""),"200 Cigarettes ")</f>
        <v>200 Cigarettes </v>
      </c>
      <c r="H3101" s="2">
        <v>2596914</v>
      </c>
    </row>
    <row r="3102" spans="7:8" x14ac:dyDescent="0.25">
      <c r="G3102" s="2" t="str">
        <f ca="1">IFERROR(__xludf.DUMMYFUNCTION("""COMPUTED_VALUE"""),"The Words ")</f>
        <v>The Words </v>
      </c>
      <c r="H3102" s="2">
        <v>851636</v>
      </c>
    </row>
    <row r="3103" spans="7:8" x14ac:dyDescent="0.25">
      <c r="G3103" s="2" t="str">
        <f ca="1">IFERROR(__xludf.DUMMYFUNCTION("""COMPUTED_VALUE"""),"Casa de mi Padre ")</f>
        <v>Casa de mi Padre </v>
      </c>
      <c r="H3103" s="2">
        <v>5434867</v>
      </c>
    </row>
    <row r="3104" spans="7:8" x14ac:dyDescent="0.25">
      <c r="G3104" s="2" t="str">
        <f ca="1">IFERROR(__xludf.DUMMYFUNCTION("""COMPUTED_VALUE"""),"City Island ")</f>
        <v>City Island </v>
      </c>
      <c r="H3104" s="2">
        <v>-104762</v>
      </c>
    </row>
    <row r="3105" spans="7:8" x14ac:dyDescent="0.25">
      <c r="G3105" s="2" t="str">
        <f ca="1">IFERROR(__xludf.DUMMYFUNCTION("""COMPUTED_VALUE"""),"The Guard ")</f>
        <v>The Guard </v>
      </c>
      <c r="H3105" s="2">
        <v>670712</v>
      </c>
    </row>
    <row r="3106" spans="7:8" x14ac:dyDescent="0.25">
      <c r="G3106" s="2" t="str">
        <f ca="1">IFERROR(__xludf.DUMMYFUNCTION("""COMPUTED_VALUE"""),"College ")</f>
        <v>College </v>
      </c>
      <c r="H3106" s="2">
        <v>-640226</v>
      </c>
    </row>
    <row r="3107" spans="7:8" x14ac:dyDescent="0.25">
      <c r="G3107" s="2" t="str">
        <f ca="1">IFERROR(__xludf.DUMMYFUNCTION("""COMPUTED_VALUE"""),"The Virgin Suicides ")</f>
        <v>The Virgin Suicides </v>
      </c>
      <c r="H3107" s="2">
        <v>-1806081</v>
      </c>
    </row>
    <row r="3108" spans="7:8" x14ac:dyDescent="0.25">
      <c r="G3108" s="2" t="str">
        <f ca="1">IFERROR(__xludf.DUMMYFUNCTION("""COMPUTED_VALUE"""),"Miss March ")</f>
        <v>Miss March </v>
      </c>
      <c r="H3108" s="2">
        <v>-1140525</v>
      </c>
    </row>
    <row r="3109" spans="7:8" x14ac:dyDescent="0.25">
      <c r="G3109" s="2" t="str">
        <f ca="1">IFERROR(__xludf.DUMMYFUNCTION("""COMPUTED_VALUE"""),"Wish I Was Here ")</f>
        <v>Wish I Was Here </v>
      </c>
      <c r="H3109" s="2">
        <v>-1457225</v>
      </c>
    </row>
    <row r="3110" spans="7:8" x14ac:dyDescent="0.25">
      <c r="G3110" s="2" t="str">
        <f ca="1">IFERROR(__xludf.DUMMYFUNCTION("""COMPUTED_VALUE"""),"Simply Irresistible ")</f>
        <v>Simply Irresistible </v>
      </c>
      <c r="H3110" s="2">
        <v>-2411568</v>
      </c>
    </row>
    <row r="3111" spans="7:8" x14ac:dyDescent="0.25">
      <c r="G3111" s="2" t="str">
        <f ca="1">IFERROR(__xludf.DUMMYFUNCTION("""COMPUTED_VALUE"""),"Hedwig and the Angry Inch ")</f>
        <v>Hedwig and the Angry Inch </v>
      </c>
      <c r="H3111" s="2">
        <v>-1605064</v>
      </c>
    </row>
    <row r="3112" spans="7:8" x14ac:dyDescent="0.25">
      <c r="G3112" s="2" t="str">
        <f ca="1">IFERROR(__xludf.DUMMYFUNCTION("""COMPUTED_VALUE"""),"Only the Strong ")</f>
        <v>Only the Strong </v>
      </c>
      <c r="H3112" s="2">
        <v>-2970919</v>
      </c>
    </row>
    <row r="3113" spans="7:8" x14ac:dyDescent="0.25">
      <c r="G3113" s="2" t="str">
        <f ca="1">IFERROR(__xludf.DUMMYFUNCTION("""COMPUTED_VALUE"""),"Shattered Glass ")</f>
        <v>Shattered Glass </v>
      </c>
      <c r="H3113" s="2">
        <v>-2726412</v>
      </c>
    </row>
    <row r="3114" spans="7:8" x14ac:dyDescent="0.25">
      <c r="G3114" s="2" t="str">
        <f ca="1">IFERROR(__xludf.DUMMYFUNCTION("""COMPUTED_VALUE"""),"Novocaine ")</f>
        <v>Novocaine </v>
      </c>
      <c r="H3114" s="2">
        <v>-3792025</v>
      </c>
    </row>
    <row r="3115" spans="7:8" x14ac:dyDescent="0.25">
      <c r="G3115" s="2" t="str">
        <f ca="1">IFERROR(__xludf.DUMMYFUNCTION("""COMPUTED_VALUE"""),"The Wackness ")</f>
        <v>The Wackness </v>
      </c>
      <c r="H3115" s="2">
        <v>-3974762</v>
      </c>
    </row>
    <row r="3116" spans="7:8" x14ac:dyDescent="0.25">
      <c r="G3116" s="2" t="str">
        <f ca="1">IFERROR(__xludf.DUMMYFUNCTION("""COMPUTED_VALUE"""),"Beastmaster 2: Through the Portal of Time ")</f>
        <v>Beastmaster 2: Through the Portal of Time </v>
      </c>
      <c r="H3116" s="2">
        <v>-3922954</v>
      </c>
    </row>
    <row r="3117" spans="7:8" x14ac:dyDescent="0.25">
      <c r="G3117" s="2" t="str">
        <f ca="1">IFERROR(__xludf.DUMMYFUNCTION("""COMPUTED_VALUE"""),"The 5th Quarter ")</f>
        <v>The 5th Quarter </v>
      </c>
      <c r="H3117" s="2">
        <v>-5130675</v>
      </c>
    </row>
    <row r="3118" spans="7:8" x14ac:dyDescent="0.25">
      <c r="G3118" s="2" t="str">
        <f ca="1">IFERROR(__xludf.DUMMYFUNCTION("""COMPUTED_VALUE"""),"The Greatest ")</f>
        <v>The Greatest </v>
      </c>
      <c r="H3118" s="2">
        <v>-5600389</v>
      </c>
    </row>
    <row r="3119" spans="7:8" x14ac:dyDescent="0.25">
      <c r="G3119" s="2" t="str">
        <f ca="1">IFERROR(__xludf.DUMMYFUNCTION("""COMPUTED_VALUE"""),"Snow Flower and the Secret Fan ")</f>
        <v>Snow Flower and the Secret Fan </v>
      </c>
      <c r="H3119" s="2">
        <v>-5884138</v>
      </c>
    </row>
    <row r="3120" spans="7:8" x14ac:dyDescent="0.25">
      <c r="G3120" s="2" t="str">
        <f ca="1">IFERROR(__xludf.DUMMYFUNCTION("""COMPUTED_VALUE"""),"Come Early Morning ")</f>
        <v>Come Early Morning </v>
      </c>
      <c r="H3120" s="2">
        <v>-4653497</v>
      </c>
    </row>
    <row r="3121" spans="7:8" x14ac:dyDescent="0.25">
      <c r="G3121" s="2" t="str">
        <f ca="1">IFERROR(__xludf.DUMMYFUNCTION("""COMPUTED_VALUE"""),"Lucky Break ")</f>
        <v>Lucky Break </v>
      </c>
      <c r="H3121" s="2">
        <v>-5882440</v>
      </c>
    </row>
    <row r="3122" spans="7:8" x14ac:dyDescent="0.25">
      <c r="G3122" s="2" t="str">
        <f ca="1">IFERROR(__xludf.DUMMYFUNCTION("""COMPUTED_VALUE"""),"Surfer, Dude ")</f>
        <v>Surfer, Dude </v>
      </c>
      <c r="H3122" s="2">
        <v>-5945394</v>
      </c>
    </row>
    <row r="3123" spans="7:8" x14ac:dyDescent="0.25">
      <c r="G3123" s="2" t="str">
        <f ca="1">IFERROR(__xludf.DUMMYFUNCTION("""COMPUTED_VALUE"""),"Deadfall ")</f>
        <v>Deadfall </v>
      </c>
      <c r="H3123" s="2">
        <v>-5963503</v>
      </c>
    </row>
    <row r="3124" spans="7:8" x14ac:dyDescent="0.25">
      <c r="G3124" s="2" t="str">
        <f ca="1">IFERROR(__xludf.DUMMYFUNCTION("""COMPUTED_VALUE"""),"L'auberge espagnole ")</f>
        <v>L'auberge espagnole </v>
      </c>
      <c r="H3124" s="2">
        <v>-11934196</v>
      </c>
    </row>
    <row r="3125" spans="7:8" x14ac:dyDescent="0.25">
      <c r="G3125" s="2" t="str">
        <f ca="1">IFERROR(__xludf.DUMMYFUNCTION("""COMPUTED_VALUE"""),"Song One ")</f>
        <v>Song One </v>
      </c>
      <c r="H3125" s="2">
        <v>-1404336</v>
      </c>
    </row>
    <row r="3126" spans="7:8" x14ac:dyDescent="0.25">
      <c r="G3126" s="2" t="str">
        <f ca="1">IFERROR(__xludf.DUMMYFUNCTION("""COMPUTED_VALUE"""),"Winter in Wartime ")</f>
        <v>Winter in Wartime </v>
      </c>
      <c r="H3126" s="2">
        <v>-5979800</v>
      </c>
    </row>
    <row r="3127" spans="7:8" x14ac:dyDescent="0.25">
      <c r="G3127" s="2" t="str">
        <f ca="1">IFERROR(__xludf.DUMMYFUNCTION("""COMPUTED_VALUE"""),"The Protector ")</f>
        <v>The Protector </v>
      </c>
      <c r="H3127" s="2">
        <v>-3457140</v>
      </c>
    </row>
    <row r="3128" spans="7:8" x14ac:dyDescent="0.25">
      <c r="G3128" s="2" t="str">
        <f ca="1">IFERROR(__xludf.DUMMYFUNCTION("""COMPUTED_VALUE"""),"Bend It Like Beckham ")</f>
        <v>Bend It Like Beckham </v>
      </c>
      <c r="H3128" s="2">
        <v>-188094481</v>
      </c>
    </row>
    <row r="3129" spans="7:8" x14ac:dyDescent="0.25">
      <c r="G3129" s="2" t="str">
        <f ca="1">IFERROR(__xludf.DUMMYFUNCTION("""COMPUTED_VALUE"""),"Sunshine State ")</f>
        <v>Sunshine State </v>
      </c>
      <c r="H3129" s="2">
        <v>29041560</v>
      </c>
    </row>
    <row r="3130" spans="7:8" x14ac:dyDescent="0.25">
      <c r="G3130" s="2" t="str">
        <f ca="1">IFERROR(__xludf.DUMMYFUNCTION("""COMPUTED_VALUE"""),"Crossover ")</f>
        <v>Crossover </v>
      </c>
      <c r="H3130" s="2">
        <v>-2535644</v>
      </c>
    </row>
    <row r="3131" spans="7:8" x14ac:dyDescent="0.25">
      <c r="G3131" s="2" t="str">
        <f ca="1">IFERROR(__xludf.DUMMYFUNCTION("""COMPUTED_VALUE"""),"[Rec] 2 ")</f>
        <v>[Rec] 2 </v>
      </c>
      <c r="H3131" s="2">
        <v>1409668</v>
      </c>
    </row>
    <row r="3132" spans="7:8" x14ac:dyDescent="0.25">
      <c r="G3132" s="2" t="str">
        <f ca="1">IFERROR(__xludf.DUMMYFUNCTION("""COMPUTED_VALUE"""),"The Sting ")</f>
        <v>The Sting </v>
      </c>
      <c r="H3132" s="2">
        <v>-5572976</v>
      </c>
    </row>
    <row r="3133" spans="7:8" x14ac:dyDescent="0.25">
      <c r="G3133" s="2" t="str">
        <f ca="1">IFERROR(__xludf.DUMMYFUNCTION("""COMPUTED_VALUE"""),"Chariots of Fire ")</f>
        <v>Chariots of Fire </v>
      </c>
      <c r="H3133" s="2">
        <v>154100000</v>
      </c>
    </row>
    <row r="3134" spans="7:8" x14ac:dyDescent="0.25">
      <c r="G3134" s="2" t="str">
        <f ca="1">IFERROR(__xludf.DUMMYFUNCTION("""COMPUTED_VALUE"""),"Diary of a Mad Black Woman ")</f>
        <v>Diary of a Mad Black Woman </v>
      </c>
      <c r="H3134" s="2">
        <v>53300000</v>
      </c>
    </row>
    <row r="3135" spans="7:8" x14ac:dyDescent="0.25">
      <c r="G3135" s="2" t="str">
        <f ca="1">IFERROR(__xludf.DUMMYFUNCTION("""COMPUTED_VALUE"""),"Shine ")</f>
        <v>Shine </v>
      </c>
      <c r="H3135" s="2">
        <v>44882128</v>
      </c>
    </row>
    <row r="3136" spans="7:8" x14ac:dyDescent="0.25">
      <c r="G3136" s="2" t="str">
        <f ca="1">IFERROR(__xludf.DUMMYFUNCTION("""COMPUTED_VALUE"""),"Don Jon ")</f>
        <v>Don Jon </v>
      </c>
      <c r="H3136" s="2">
        <v>30311509</v>
      </c>
    </row>
    <row r="3137" spans="7:8" x14ac:dyDescent="0.25">
      <c r="G3137" s="2" t="str">
        <f ca="1">IFERROR(__xludf.DUMMYFUNCTION("""COMPUTED_VALUE"""),"Ghost World ")</f>
        <v>Ghost World </v>
      </c>
      <c r="H3137" s="2">
        <v>21475193</v>
      </c>
    </row>
    <row r="3138" spans="7:8" x14ac:dyDescent="0.25">
      <c r="G3138" s="2" t="str">
        <f ca="1">IFERROR(__xludf.DUMMYFUNCTION("""COMPUTED_VALUE"""),"Iris ")</f>
        <v>Iris </v>
      </c>
      <c r="H3138" s="2">
        <v>-799244</v>
      </c>
    </row>
    <row r="3139" spans="7:8" x14ac:dyDescent="0.25">
      <c r="G3139" s="2" t="str">
        <f ca="1">IFERROR(__xludf.DUMMYFUNCTION("""COMPUTED_VALUE"""),"The Chorus ")</f>
        <v>The Chorus </v>
      </c>
      <c r="H3139" s="2">
        <v>-4207881</v>
      </c>
    </row>
    <row r="3140" spans="7:8" x14ac:dyDescent="0.25">
      <c r="G3140" s="2" t="str">
        <f ca="1">IFERROR(__xludf.DUMMYFUNCTION("""COMPUTED_VALUE"""),"Mambo Italiano ")</f>
        <v>Mambo Italiano </v>
      </c>
      <c r="H3140" s="2">
        <v>-1870242</v>
      </c>
    </row>
    <row r="3141" spans="7:8" x14ac:dyDescent="0.25">
      <c r="G3141" s="2" t="str">
        <f ca="1">IFERROR(__xludf.DUMMYFUNCTION("""COMPUTED_VALUE"""),"Wonderland ")</f>
        <v>Wonderland </v>
      </c>
      <c r="H3141" s="2">
        <v>1239558</v>
      </c>
    </row>
    <row r="3142" spans="7:8" x14ac:dyDescent="0.25">
      <c r="G3142" s="2" t="str">
        <f ca="1">IFERROR(__xludf.DUMMYFUNCTION("""COMPUTED_VALUE"""),"Do the Right Thing ")</f>
        <v>Do the Right Thing </v>
      </c>
      <c r="H3142" s="2">
        <v>-3943898</v>
      </c>
    </row>
    <row r="3143" spans="7:8" x14ac:dyDescent="0.25">
      <c r="G3143" s="2" t="str">
        <f ca="1">IFERROR(__xludf.DUMMYFUNCTION("""COMPUTED_VALUE"""),"Harvard Man ")</f>
        <v>Harvard Man </v>
      </c>
      <c r="H3143" s="2">
        <v>21045445</v>
      </c>
    </row>
    <row r="3144" spans="7:8" x14ac:dyDescent="0.25">
      <c r="G3144" s="2" t="str">
        <f ca="1">IFERROR(__xludf.DUMMYFUNCTION("""COMPUTED_VALUE"""),"Le Havre ")</f>
        <v>Le Havre </v>
      </c>
      <c r="H3144" s="2">
        <v>-5443993</v>
      </c>
    </row>
    <row r="3145" spans="7:8" x14ac:dyDescent="0.25">
      <c r="G3145" s="2" t="str">
        <f ca="1">IFERROR(__xludf.DUMMYFUNCTION("""COMPUTED_VALUE"""),"R100 ")</f>
        <v>R100 </v>
      </c>
      <c r="H3145" s="2">
        <v>-3238291</v>
      </c>
    </row>
    <row r="3146" spans="7:8" x14ac:dyDescent="0.25">
      <c r="G3146" s="2" t="str">
        <f ca="1">IFERROR(__xludf.DUMMYFUNCTION("""COMPUTED_VALUE"""),"Salvation Boulevard ")</f>
        <v>Salvation Boulevard </v>
      </c>
      <c r="H3146" s="2">
        <v>-5477230</v>
      </c>
    </row>
    <row r="3147" spans="7:8" x14ac:dyDescent="0.25">
      <c r="G3147" s="2" t="str">
        <f ca="1">IFERROR(__xludf.DUMMYFUNCTION("""COMPUTED_VALUE"""),"The Ten ")</f>
        <v>The Ten </v>
      </c>
      <c r="H3147" s="2">
        <v>-8972555</v>
      </c>
    </row>
    <row r="3148" spans="7:8" x14ac:dyDescent="0.25">
      <c r="G3148" s="2" t="str">
        <f ca="1">IFERROR(__xludf.DUMMYFUNCTION("""COMPUTED_VALUE"""),"Headhunters ")</f>
        <v>Headhunters </v>
      </c>
      <c r="H3148" s="2">
        <v>-4483513</v>
      </c>
    </row>
    <row r="3149" spans="7:8" x14ac:dyDescent="0.25">
      <c r="G3149" s="2" t="str">
        <f ca="1">IFERROR(__xludf.DUMMYFUNCTION("""COMPUTED_VALUE"""),"Saint Ralph ")</f>
        <v>Saint Ralph </v>
      </c>
      <c r="H3149" s="2">
        <v>-29103248</v>
      </c>
    </row>
    <row r="3150" spans="7:8" x14ac:dyDescent="0.25">
      <c r="G3150" s="2" t="str">
        <f ca="1">IFERROR(__xludf.DUMMYFUNCTION("""COMPUTED_VALUE"""),"Insidious: Chapter 2 ")</f>
        <v>Insidious: Chapter 2 </v>
      </c>
      <c r="H3150" s="2">
        <v>-5204874</v>
      </c>
    </row>
    <row r="3151" spans="7:8" x14ac:dyDescent="0.25">
      <c r="G3151" s="2" t="str">
        <f ca="1">IFERROR(__xludf.DUMMYFUNCTION("""COMPUTED_VALUE"""),"Saw II ")</f>
        <v>Saw II </v>
      </c>
      <c r="H3151" s="2">
        <v>78574831</v>
      </c>
    </row>
    <row r="3152" spans="7:8" x14ac:dyDescent="0.25">
      <c r="G3152" s="2" t="str">
        <f ca="1">IFERROR(__xludf.DUMMYFUNCTION("""COMPUTED_VALUE"""),"10 Cloverfield Lane ")</f>
        <v>10 Cloverfield Lane </v>
      </c>
      <c r="H3152" s="2">
        <v>83025093</v>
      </c>
    </row>
    <row r="3153" spans="7:8" x14ac:dyDescent="0.25">
      <c r="G3153" s="2" t="str">
        <f ca="1">IFERROR(__xludf.DUMMYFUNCTION("""COMPUTED_VALUE"""),"Jackass: The Movie ")</f>
        <v>Jackass: The Movie </v>
      </c>
      <c r="H3153" s="2">
        <v>56897215</v>
      </c>
    </row>
    <row r="3154" spans="7:8" x14ac:dyDescent="0.25">
      <c r="G3154" s="2" t="str">
        <f ca="1">IFERROR(__xludf.DUMMYFUNCTION("""COMPUTED_VALUE"""),"Lights Out ")</f>
        <v>Lights Out </v>
      </c>
      <c r="H3154" s="2">
        <v>59267897</v>
      </c>
    </row>
    <row r="3155" spans="7:8" x14ac:dyDescent="0.25">
      <c r="G3155" s="2" t="str">
        <f ca="1">IFERROR(__xludf.DUMMYFUNCTION("""COMPUTED_VALUE"""),"Paranormal Activity 3 ")</f>
        <v>Paranormal Activity 3 </v>
      </c>
      <c r="H3155" s="2">
        <v>51636016</v>
      </c>
    </row>
    <row r="3156" spans="7:8" x14ac:dyDescent="0.25">
      <c r="G3156" s="2" t="str">
        <f ca="1">IFERROR(__xludf.DUMMYFUNCTION("""COMPUTED_VALUE"""),"Ouija ")</f>
        <v>Ouija </v>
      </c>
      <c r="H3156" s="2">
        <v>99007828</v>
      </c>
    </row>
    <row r="3157" spans="7:8" x14ac:dyDescent="0.25">
      <c r="G3157" s="2" t="str">
        <f ca="1">IFERROR(__xludf.DUMMYFUNCTION("""COMPUTED_VALUE"""),"A Nightmare on Elm Street 3: Dream Warriors ")</f>
        <v>A Nightmare on Elm Street 3: Dream Warriors </v>
      </c>
      <c r="H3157" s="2">
        <v>45820940</v>
      </c>
    </row>
    <row r="3158" spans="7:8" x14ac:dyDescent="0.25">
      <c r="G3158" s="2" t="str">
        <f ca="1">IFERROR(__xludf.DUMMYFUNCTION("""COMPUTED_VALUE"""),"Instructions Not Included ")</f>
        <v>Instructions Not Included </v>
      </c>
      <c r="H3158" s="2">
        <v>40293200</v>
      </c>
    </row>
    <row r="3159" spans="7:8" x14ac:dyDescent="0.25">
      <c r="G3159" s="2" t="str">
        <f ca="1">IFERROR(__xludf.DUMMYFUNCTION("""COMPUTED_VALUE"""),"Paranormal Activity 4 ")</f>
        <v>Paranormal Activity 4 </v>
      </c>
      <c r="H3159" s="2">
        <v>39456509</v>
      </c>
    </row>
    <row r="3160" spans="7:8" x14ac:dyDescent="0.25">
      <c r="G3160" s="2" t="str">
        <f ca="1">IFERROR(__xludf.DUMMYFUNCTION("""COMPUTED_VALUE"""),"The Robe ")</f>
        <v>The Robe </v>
      </c>
      <c r="H3160" s="2">
        <v>48884821</v>
      </c>
    </row>
    <row r="3161" spans="7:8" x14ac:dyDescent="0.25">
      <c r="G3161" s="2" t="str">
        <f ca="1">IFERROR(__xludf.DUMMYFUNCTION("""COMPUTED_VALUE"""),"Freddy's Dead: The Final Nightmare ")</f>
        <v>Freddy's Dead: The Final Nightmare </v>
      </c>
      <c r="H3161" s="2">
        <v>31000000</v>
      </c>
    </row>
    <row r="3162" spans="7:8" x14ac:dyDescent="0.25">
      <c r="G3162" s="2" t="str">
        <f ca="1">IFERROR(__xludf.DUMMYFUNCTION("""COMPUTED_VALUE"""),"Monster ")</f>
        <v>Monster </v>
      </c>
      <c r="H3162" s="2">
        <v>26372293</v>
      </c>
    </row>
    <row r="3163" spans="7:8" x14ac:dyDescent="0.25">
      <c r="G3163" s="2" t="str">
        <f ca="1">IFERROR(__xludf.DUMMYFUNCTION("""COMPUTED_VALUE"""),"Paranormal Activity: The Marked Ones ")</f>
        <v>Paranormal Activity: The Marked Ones </v>
      </c>
      <c r="H3163" s="2">
        <v>29968224</v>
      </c>
    </row>
    <row r="3164" spans="7:8" x14ac:dyDescent="0.25">
      <c r="G3164" s="2" t="str">
        <f ca="1">IFERROR(__xludf.DUMMYFUNCTION("""COMPUTED_VALUE"""),"Dallas Buyers Club ")</f>
        <v>Dallas Buyers Club </v>
      </c>
      <c r="H3164" s="2">
        <v>27453345</v>
      </c>
    </row>
    <row r="3165" spans="7:8" x14ac:dyDescent="0.25">
      <c r="G3165" s="2" t="str">
        <f ca="1">IFERROR(__xludf.DUMMYFUNCTION("""COMPUTED_VALUE"""),"The Lazarus Effect ")</f>
        <v>The Lazarus Effect </v>
      </c>
      <c r="H3165" s="2">
        <v>22296514</v>
      </c>
    </row>
    <row r="3166" spans="7:8" x14ac:dyDescent="0.25">
      <c r="G3166" s="2" t="str">
        <f ca="1">IFERROR(__xludf.DUMMYFUNCTION("""COMPUTED_VALUE"""),"Memento ")</f>
        <v>Memento </v>
      </c>
      <c r="H3166" s="2">
        <v>22499043</v>
      </c>
    </row>
    <row r="3167" spans="7:8" x14ac:dyDescent="0.25">
      <c r="G3167" s="2" t="str">
        <f ca="1">IFERROR(__xludf.DUMMYFUNCTION("""COMPUTED_VALUE"""),"Oculus ")</f>
        <v>Oculus </v>
      </c>
      <c r="H3167" s="2">
        <v>16530884</v>
      </c>
    </row>
    <row r="3168" spans="7:8" x14ac:dyDescent="0.25">
      <c r="G3168" s="2" t="str">
        <f ca="1">IFERROR(__xludf.DUMMYFUNCTION("""COMPUTED_VALUE"""),"Clerks II ")</f>
        <v>Clerks II </v>
      </c>
      <c r="H3168" s="2">
        <v>22689474</v>
      </c>
    </row>
    <row r="3169" spans="7:8" x14ac:dyDescent="0.25">
      <c r="G3169" s="2" t="str">
        <f ca="1">IFERROR(__xludf.DUMMYFUNCTION("""COMPUTED_VALUE"""),"Billy Elliot ")</f>
        <v>Billy Elliot </v>
      </c>
      <c r="H3169" s="2">
        <v>19138847</v>
      </c>
    </row>
    <row r="3170" spans="7:8" x14ac:dyDescent="0.25">
      <c r="G3170" s="2" t="str">
        <f ca="1">IFERROR(__xludf.DUMMYFUNCTION("""COMPUTED_VALUE"""),"The Way Way Back ")</f>
        <v>The Way Way Back </v>
      </c>
      <c r="H3170" s="2">
        <v>16994911</v>
      </c>
    </row>
    <row r="3171" spans="7:8" x14ac:dyDescent="0.25">
      <c r="G3171" s="2" t="str">
        <f ca="1">IFERROR(__xludf.DUMMYFUNCTION("""COMPUTED_VALUE"""),"House Party 2 ")</f>
        <v>House Party 2 </v>
      </c>
      <c r="H3171" s="2">
        <v>16501098</v>
      </c>
    </row>
    <row r="3172" spans="7:8" x14ac:dyDescent="0.25">
      <c r="G3172" s="2" t="str">
        <f ca="1">IFERROR(__xludf.DUMMYFUNCTION("""COMPUTED_VALUE"""),"Doug's 1st Movie ")</f>
        <v>Doug's 1st Movie </v>
      </c>
      <c r="H3172" s="2">
        <v>14281235</v>
      </c>
    </row>
    <row r="3173" spans="7:8" x14ac:dyDescent="0.25">
      <c r="G3173" s="2" t="str">
        <f ca="1">IFERROR(__xludf.DUMMYFUNCTION("""COMPUTED_VALUE"""),"The Apostle ")</f>
        <v>The Apostle </v>
      </c>
      <c r="H3173" s="2">
        <v>14421271</v>
      </c>
    </row>
    <row r="3174" spans="7:8" x14ac:dyDescent="0.25">
      <c r="G3174" s="2" t="str">
        <f ca="1">IFERROR(__xludf.DUMMYFUNCTION("""COMPUTED_VALUE"""),"Our Idiot Brother ")</f>
        <v>Our Idiot Brother </v>
      </c>
      <c r="H3174" s="2">
        <v>15733485</v>
      </c>
    </row>
    <row r="3175" spans="7:8" x14ac:dyDescent="0.25">
      <c r="G3175" s="2" t="str">
        <f ca="1">IFERROR(__xludf.DUMMYFUNCTION("""COMPUTED_VALUE"""),"The Players Club ")</f>
        <v>The Players Club </v>
      </c>
      <c r="H3175" s="2">
        <v>19809547</v>
      </c>
    </row>
    <row r="3176" spans="7:8" x14ac:dyDescent="0.25">
      <c r="G3176" s="2" t="str">
        <f ca="1">IFERROR(__xludf.DUMMYFUNCTION("""COMPUTED_VALUE"""),"As Above, So Below ")</f>
        <v>As Above, So Below </v>
      </c>
      <c r="H3176" s="2">
        <v>18531390</v>
      </c>
    </row>
    <row r="3177" spans="7:8" x14ac:dyDescent="0.25">
      <c r="G3177" s="2" t="str">
        <f ca="1">IFERROR(__xludf.DUMMYFUNCTION("""COMPUTED_VALUE"""),"Addicted ")</f>
        <v>Addicted </v>
      </c>
      <c r="H3177" s="2">
        <v>16197315</v>
      </c>
    </row>
    <row r="3178" spans="7:8" x14ac:dyDescent="0.25">
      <c r="G3178" s="2" t="str">
        <f ca="1">IFERROR(__xludf.DUMMYFUNCTION("""COMPUTED_VALUE"""),"Eve's Bayou ")</f>
        <v>Eve's Bayou </v>
      </c>
      <c r="H3178" s="2">
        <v>12382982</v>
      </c>
    </row>
    <row r="3179" spans="7:8" x14ac:dyDescent="0.25">
      <c r="G3179" s="2" t="str">
        <f ca="1">IFERROR(__xludf.DUMMYFUNCTION("""COMPUTED_VALUE"""),"Still Alice ")</f>
        <v>Still Alice </v>
      </c>
      <c r="H3179" s="2">
        <v>8821531</v>
      </c>
    </row>
    <row r="3180" spans="7:8" x14ac:dyDescent="0.25">
      <c r="G3180" s="2" t="str">
        <f ca="1">IFERROR(__xludf.DUMMYFUNCTION("""COMPUTED_VALUE"""),"Friday the 13th Part VIII: Jason Takes Manhattan ")</f>
        <v>Friday the 13th Part VIII: Jason Takes Manhattan </v>
      </c>
      <c r="H3180" s="2">
        <v>13656400</v>
      </c>
    </row>
    <row r="3181" spans="7:8" x14ac:dyDescent="0.25">
      <c r="G3181" s="2" t="str">
        <f ca="1">IFERROR(__xludf.DUMMYFUNCTION("""COMPUTED_VALUE"""),"My Big Fat Greek Wedding ")</f>
        <v>My Big Fat Greek Wedding </v>
      </c>
      <c r="H3181" s="2">
        <v>9343976</v>
      </c>
    </row>
    <row r="3182" spans="7:8" x14ac:dyDescent="0.25">
      <c r="G3182" s="2" t="str">
        <f ca="1">IFERROR(__xludf.DUMMYFUNCTION("""COMPUTED_VALUE"""),"Spring Breakers ")</f>
        <v>Spring Breakers </v>
      </c>
      <c r="H3182" s="2">
        <v>236437427</v>
      </c>
    </row>
    <row r="3183" spans="7:8" x14ac:dyDescent="0.25">
      <c r="G3183" s="2" t="str">
        <f ca="1">IFERROR(__xludf.DUMMYFUNCTION("""COMPUTED_VALUE"""),"Halloween: The Curse of Michael Myers ")</f>
        <v>Halloween: The Curse of Michael Myers </v>
      </c>
      <c r="H3183" s="2">
        <v>9123773</v>
      </c>
    </row>
    <row r="3184" spans="7:8" x14ac:dyDescent="0.25">
      <c r="G3184" s="2" t="str">
        <f ca="1">IFERROR(__xludf.DUMMYFUNCTION("""COMPUTED_VALUE"""),"Y Tu Mamá También ")</f>
        <v>Y Tu Mamá También </v>
      </c>
      <c r="H3184" s="2">
        <v>10126948</v>
      </c>
    </row>
    <row r="3185" spans="7:8" x14ac:dyDescent="0.25">
      <c r="G3185" s="2" t="str">
        <f ca="1">IFERROR(__xludf.DUMMYFUNCTION("""COMPUTED_VALUE"""),"Shaun of the Dead ")</f>
        <v>Shaun of the Dead </v>
      </c>
      <c r="H3185" s="2">
        <v>11622333</v>
      </c>
    </row>
    <row r="3186" spans="7:8" x14ac:dyDescent="0.25">
      <c r="G3186" s="2" t="str">
        <f ca="1">IFERROR(__xludf.DUMMYFUNCTION("""COMPUTED_VALUE"""),"The Haunting of Molly Hartley ")</f>
        <v>The Haunting of Molly Hartley </v>
      </c>
      <c r="H3186" s="2">
        <v>9464388</v>
      </c>
    </row>
    <row r="3187" spans="7:8" x14ac:dyDescent="0.25">
      <c r="G3187" s="2" t="str">
        <f ca="1">IFERROR(__xludf.DUMMYFUNCTION("""COMPUTED_VALUE"""),"Lone Star ")</f>
        <v>Lone Star </v>
      </c>
      <c r="H3187" s="2">
        <v>8350177</v>
      </c>
    </row>
    <row r="3188" spans="7:8" x14ac:dyDescent="0.25">
      <c r="G3188" s="2" t="str">
        <f ca="1">IFERROR(__xludf.DUMMYFUNCTION("""COMPUTED_VALUE"""),"Halloween 4: The Return of Michael Myers ")</f>
        <v>Halloween 4: The Return of Michael Myers </v>
      </c>
      <c r="H3188" s="2">
        <v>8269963</v>
      </c>
    </row>
    <row r="3189" spans="7:8" x14ac:dyDescent="0.25">
      <c r="G3189" s="2" t="str">
        <f ca="1">IFERROR(__xludf.DUMMYFUNCTION("""COMPUTED_VALUE"""),"April Fool's Day ")</f>
        <v>April Fool's Day </v>
      </c>
      <c r="H3189" s="2">
        <v>12768000</v>
      </c>
    </row>
    <row r="3190" spans="7:8" x14ac:dyDescent="0.25">
      <c r="G3190" s="2" t="str">
        <f ca="1">IFERROR(__xludf.DUMMYFUNCTION("""COMPUTED_VALUE"""),"Diner ")</f>
        <v>Diner </v>
      </c>
      <c r="H3190" s="2">
        <v>7947763</v>
      </c>
    </row>
    <row r="3191" spans="7:8" x14ac:dyDescent="0.25">
      <c r="G3191" s="2" t="str">
        <f ca="1">IFERROR(__xludf.DUMMYFUNCTION("""COMPUTED_VALUE"""),"Lone Wolf McQuade ")</f>
        <v>Lone Wolf McQuade </v>
      </c>
      <c r="H3191" s="2">
        <v>9100000</v>
      </c>
    </row>
    <row r="3192" spans="7:8" x14ac:dyDescent="0.25">
      <c r="G3192" s="2" t="str">
        <f ca="1">IFERROR(__xludf.DUMMYFUNCTION("""COMPUTED_VALUE"""),"Apollo 18 ")</f>
        <v>Apollo 18 </v>
      </c>
      <c r="H3192" s="2">
        <v>7200000</v>
      </c>
    </row>
    <row r="3193" spans="7:8" x14ac:dyDescent="0.25">
      <c r="G3193" s="2" t="str">
        <f ca="1">IFERROR(__xludf.DUMMYFUNCTION("""COMPUTED_VALUE"""),"Sunshine Cleaning ")</f>
        <v>Sunshine Cleaning </v>
      </c>
      <c r="H3193" s="2">
        <v>12683670</v>
      </c>
    </row>
    <row r="3194" spans="7:8" x14ac:dyDescent="0.25">
      <c r="G3194" s="2" t="str">
        <f ca="1">IFERROR(__xludf.DUMMYFUNCTION("""COMPUTED_VALUE"""),"No Escape ")</f>
        <v>No Escape </v>
      </c>
      <c r="H3194" s="2">
        <v>4055108</v>
      </c>
    </row>
    <row r="3195" spans="7:8" x14ac:dyDescent="0.25">
      <c r="G3195" s="2" t="str">
        <f ca="1">IFERROR(__xludf.DUMMYFUNCTION("""COMPUTED_VALUE"""),"Fifty Shades of Black ")</f>
        <v>Fifty Shades of Black </v>
      </c>
      <c r="H3195" s="2">
        <v>22285953</v>
      </c>
    </row>
    <row r="3196" spans="7:8" x14ac:dyDescent="0.25">
      <c r="G3196" s="2" t="str">
        <f ca="1">IFERROR(__xludf.DUMMYFUNCTION("""COMPUTED_VALUE"""),"Not Easily Broken ")</f>
        <v>Not Easily Broken </v>
      </c>
      <c r="H3196" s="2">
        <v>6675178</v>
      </c>
    </row>
    <row r="3197" spans="7:8" x14ac:dyDescent="0.25">
      <c r="G3197" s="2" t="str">
        <f ca="1">IFERROR(__xludf.DUMMYFUNCTION("""COMPUTED_VALUE"""),"The Perfect Match ")</f>
        <v>The Perfect Match </v>
      </c>
      <c r="H3197" s="2">
        <v>2572742</v>
      </c>
    </row>
    <row r="3198" spans="7:8" x14ac:dyDescent="0.25">
      <c r="G3198" s="2" t="str">
        <f ca="1">IFERROR(__xludf.DUMMYFUNCTION("""COMPUTED_VALUE"""),"Digimon: The Movie ")</f>
        <v>Digimon: The Movie </v>
      </c>
      <c r="H3198" s="2">
        <v>4658370</v>
      </c>
    </row>
    <row r="3199" spans="7:8" x14ac:dyDescent="0.25">
      <c r="G3199" s="2" t="str">
        <f ca="1">IFERROR(__xludf.DUMMYFUNCTION("""COMPUTED_VALUE"""),"Saved! ")</f>
        <v>Saved! </v>
      </c>
      <c r="H3199" s="2">
        <v>4628751</v>
      </c>
    </row>
    <row r="3200" spans="7:8" x14ac:dyDescent="0.25">
      <c r="G3200" s="2" t="str">
        <f ca="1">IFERROR(__xludf.DUMMYFUNCTION("""COMPUTED_VALUE"""),"The Barbarian Invasions ")</f>
        <v>The Barbarian Invasions </v>
      </c>
      <c r="H3200" s="2">
        <v>3786715</v>
      </c>
    </row>
    <row r="3201" spans="7:8" x14ac:dyDescent="0.25">
      <c r="G3201" s="2" t="str">
        <f ca="1">IFERROR(__xludf.DUMMYFUNCTION("""COMPUTED_VALUE"""),"The Forsaken ")</f>
        <v>The Forsaken </v>
      </c>
      <c r="H3201" s="2">
        <v>-2567658</v>
      </c>
    </row>
    <row r="3202" spans="7:8" x14ac:dyDescent="0.25">
      <c r="G3202" s="2" t="str">
        <f ca="1">IFERROR(__xludf.DUMMYFUNCTION("""COMPUTED_VALUE"""),"UHF ")</f>
        <v>UHF </v>
      </c>
      <c r="H3202" s="2">
        <v>1755271</v>
      </c>
    </row>
    <row r="3203" spans="7:8" x14ac:dyDescent="0.25">
      <c r="G3203" s="2" t="str">
        <f ca="1">IFERROR(__xludf.DUMMYFUNCTION("""COMPUTED_VALUE"""),"Slums of Beverly Hills ")</f>
        <v>Slums of Beverly Hills </v>
      </c>
      <c r="H3203" s="2">
        <v>1157157</v>
      </c>
    </row>
    <row r="3204" spans="7:8" x14ac:dyDescent="0.25">
      <c r="G3204" s="2" t="str">
        <f ca="1">IFERROR(__xludf.DUMMYFUNCTION("""COMPUTED_VALUE"""),"Made ")</f>
        <v>Made </v>
      </c>
      <c r="H3204" s="2">
        <v>480318</v>
      </c>
    </row>
    <row r="3205" spans="7:8" x14ac:dyDescent="0.25">
      <c r="G3205" s="2" t="str">
        <f ca="1">IFERROR(__xludf.DUMMYFUNCTION("""COMPUTED_VALUE"""),"Moon ")</f>
        <v>Moon </v>
      </c>
      <c r="H3205" s="2">
        <v>308707</v>
      </c>
    </row>
    <row r="3206" spans="7:8" x14ac:dyDescent="0.25">
      <c r="G3206" s="2" t="str">
        <f ca="1">IFERROR(__xludf.DUMMYFUNCTION("""COMPUTED_VALUE"""),"Sea Rex 3D: Journey to a Prehistoric World ")</f>
        <v>Sea Rex 3D: Journey to a Prehistoric World </v>
      </c>
      <c r="H3206" s="2">
        <v>9677</v>
      </c>
    </row>
    <row r="3207" spans="7:8" x14ac:dyDescent="0.25">
      <c r="G3207" s="2" t="str">
        <f ca="1">IFERROR(__xludf.DUMMYFUNCTION("""COMPUTED_VALUE"""),"The Sweet Hereafter ")</f>
        <v>The Sweet Hereafter </v>
      </c>
      <c r="H3207" s="2">
        <v>-925977</v>
      </c>
    </row>
    <row r="3208" spans="7:8" x14ac:dyDescent="0.25">
      <c r="G3208" s="2" t="str">
        <f ca="1">IFERROR(__xludf.DUMMYFUNCTION("""COMPUTED_VALUE"""),"Of Gods and Men ")</f>
        <v>Of Gods and Men </v>
      </c>
      <c r="H3208" s="2">
        <v>-693303</v>
      </c>
    </row>
    <row r="3209" spans="7:8" x14ac:dyDescent="0.25">
      <c r="G3209" s="2" t="str">
        <f ca="1">IFERROR(__xludf.DUMMYFUNCTION("""COMPUTED_VALUE"""),"Bottle Shock ")</f>
        <v>Bottle Shock </v>
      </c>
      <c r="H3209" s="2">
        <v>-49971</v>
      </c>
    </row>
    <row r="3210" spans="7:8" x14ac:dyDescent="0.25">
      <c r="G3210" s="2" t="str">
        <f ca="1">IFERROR(__xludf.DUMMYFUNCTION("""COMPUTED_VALUE"""),"Heavenly Creatures ")</f>
        <v>Heavenly Creatures </v>
      </c>
      <c r="H3210" s="2">
        <v>-959412</v>
      </c>
    </row>
    <row r="3211" spans="7:8" x14ac:dyDescent="0.25">
      <c r="G3211" s="2" t="str">
        <f ca="1">IFERROR(__xludf.DUMMYFUNCTION("""COMPUTED_VALUE"""),"90 Minutes in Heaven ")</f>
        <v>90 Minutes in Heaven </v>
      </c>
      <c r="H3211" s="2">
        <v>-1950865</v>
      </c>
    </row>
    <row r="3212" spans="7:8" x14ac:dyDescent="0.25">
      <c r="G3212" s="2" t="str">
        <f ca="1">IFERROR(__xludf.DUMMYFUNCTION("""COMPUTED_VALUE"""),"Everything Must Go ")</f>
        <v>Everything Must Go </v>
      </c>
      <c r="H3212" s="2">
        <v>-299639</v>
      </c>
    </row>
    <row r="3213" spans="7:8" x14ac:dyDescent="0.25">
      <c r="G3213" s="2" t="str">
        <f ca="1">IFERROR(__xludf.DUMMYFUNCTION("""COMPUTED_VALUE"""),"Zero Effect ")</f>
        <v>Zero Effect </v>
      </c>
      <c r="H3213" s="2">
        <v>-2288790</v>
      </c>
    </row>
    <row r="3214" spans="7:8" x14ac:dyDescent="0.25">
      <c r="G3214" s="2" t="str">
        <f ca="1">IFERROR(__xludf.DUMMYFUNCTION("""COMPUTED_VALUE"""),"The Machinist ")</f>
        <v>The Machinist </v>
      </c>
      <c r="H3214" s="2">
        <v>-3019662</v>
      </c>
    </row>
    <row r="3215" spans="7:8" x14ac:dyDescent="0.25">
      <c r="G3215" s="2" t="str">
        <f ca="1">IFERROR(__xludf.DUMMYFUNCTION("""COMPUTED_VALUE"""),"Light Sleeper ")</f>
        <v>Light Sleeper </v>
      </c>
      <c r="H3215" s="2">
        <v>-3917956</v>
      </c>
    </row>
    <row r="3216" spans="7:8" x14ac:dyDescent="0.25">
      <c r="G3216" s="2" t="str">
        <f ca="1">IFERROR(__xludf.DUMMYFUNCTION("""COMPUTED_VALUE"""),"Kill the Messenger ")</f>
        <v>Kill the Messenger </v>
      </c>
      <c r="H3216" s="2">
        <v>-3900000</v>
      </c>
    </row>
    <row r="3217" spans="7:8" x14ac:dyDescent="0.25">
      <c r="G3217" s="2" t="str">
        <f ca="1">IFERROR(__xludf.DUMMYFUNCTION("""COMPUTED_VALUE"""),"Rabbit Hole ")</f>
        <v>Rabbit Hole </v>
      </c>
      <c r="H3217" s="2">
        <v>-2554354</v>
      </c>
    </row>
    <row r="3218" spans="7:8" x14ac:dyDescent="0.25">
      <c r="G3218" s="2" t="str">
        <f ca="1">IFERROR(__xludf.DUMMYFUNCTION("""COMPUTED_VALUE"""),"Party Monster ")</f>
        <v>Party Monster </v>
      </c>
      <c r="H3218" s="2">
        <v>-2778191</v>
      </c>
    </row>
    <row r="3219" spans="7:8" x14ac:dyDescent="0.25">
      <c r="G3219" s="2" t="str">
        <f ca="1">IFERROR(__xludf.DUMMYFUNCTION("""COMPUTED_VALUE"""),"Green Room ")</f>
        <v>Green Room </v>
      </c>
      <c r="H3219" s="2">
        <v>-4703335</v>
      </c>
    </row>
    <row r="3220" spans="7:8" x14ac:dyDescent="0.25">
      <c r="G3220" s="2" t="str">
        <f ca="1">IFERROR(__xludf.DUMMYFUNCTION("""COMPUTED_VALUE"""),"Atlas Shrugged: Who Is John Galt? ")</f>
        <v>Atlas Shrugged: Who Is John Galt? </v>
      </c>
      <c r="H3220" s="2">
        <v>-1780971</v>
      </c>
    </row>
    <row r="3221" spans="7:8" x14ac:dyDescent="0.25">
      <c r="G3221" s="2" t="str">
        <f ca="1">IFERROR(__xludf.DUMMYFUNCTION("""COMPUTED_VALUE"""),"Bottle Rocket ")</f>
        <v>Bottle Rocket </v>
      </c>
      <c r="H3221" s="2">
        <v>-4169790</v>
      </c>
    </row>
    <row r="3222" spans="7:8" x14ac:dyDescent="0.25">
      <c r="G3222" s="2" t="str">
        <f ca="1">IFERROR(__xludf.DUMMYFUNCTION("""COMPUTED_VALUE"""),"Albino Alligator ")</f>
        <v>Albino Alligator </v>
      </c>
      <c r="H3222" s="2">
        <v>-5959121</v>
      </c>
    </row>
    <row r="3223" spans="7:8" x14ac:dyDescent="0.25">
      <c r="G3223" s="2" t="str">
        <f ca="1">IFERROR(__xludf.DUMMYFUNCTION("""COMPUTED_VALUE"""),"Lovely, Still ")</f>
        <v>Lovely, Still </v>
      </c>
      <c r="H3223" s="2">
        <v>-4673692</v>
      </c>
    </row>
    <row r="3224" spans="7:8" x14ac:dyDescent="0.25">
      <c r="G3224" s="2" t="str">
        <f ca="1">IFERROR(__xludf.DUMMYFUNCTION("""COMPUTED_VALUE"""),"Desert Blue ")</f>
        <v>Desert Blue </v>
      </c>
      <c r="H3224" s="2">
        <v>-4875280</v>
      </c>
    </row>
    <row r="3225" spans="7:8" x14ac:dyDescent="0.25">
      <c r="G3225" s="2" t="str">
        <f ca="1">IFERROR(__xludf.DUMMYFUNCTION("""COMPUTED_VALUE"""),"The Visit ")</f>
        <v>The Visit </v>
      </c>
      <c r="H3225" s="2">
        <v>-1900853</v>
      </c>
    </row>
    <row r="3226" spans="7:8" x14ac:dyDescent="0.25">
      <c r="G3226" s="2" t="str">
        <f ca="1">IFERROR(__xludf.DUMMYFUNCTION("""COMPUTED_VALUE"""),"Redacted ")</f>
        <v>Redacted </v>
      </c>
      <c r="H3226" s="2">
        <v>60069140</v>
      </c>
    </row>
    <row r="3227" spans="7:8" x14ac:dyDescent="0.25">
      <c r="G3227" s="2" t="str">
        <f ca="1">IFERROR(__xludf.DUMMYFUNCTION("""COMPUTED_VALUE"""),"Fascination ")</f>
        <v>Fascination </v>
      </c>
      <c r="H3227" s="2">
        <v>-4934913</v>
      </c>
    </row>
    <row r="3228" spans="7:8" x14ac:dyDescent="0.25">
      <c r="G3228" s="2" t="str">
        <f ca="1">IFERROR(__xludf.DUMMYFUNCTION("""COMPUTED_VALUE"""),"Rudderless ")</f>
        <v>Rudderless </v>
      </c>
      <c r="H3228" s="2">
        <v>-4983934</v>
      </c>
    </row>
    <row r="3229" spans="7:8" x14ac:dyDescent="0.25">
      <c r="G3229" s="2" t="str">
        <f ca="1">IFERROR(__xludf.DUMMYFUNCTION("""COMPUTED_VALUE"""),"I Served the King of England ")</f>
        <v>I Served the King of England </v>
      </c>
      <c r="H3229" s="2">
        <v>-4962560</v>
      </c>
    </row>
    <row r="3230" spans="7:8" x14ac:dyDescent="0.25">
      <c r="G3230" s="2" t="str">
        <f ca="1">IFERROR(__xludf.DUMMYFUNCTION("""COMPUTED_VALUE"""),"Soul Kitchen ")</f>
        <v>Soul Kitchen </v>
      </c>
      <c r="H3230" s="2">
        <v>-83832772</v>
      </c>
    </row>
    <row r="3231" spans="7:8" x14ac:dyDescent="0.25">
      <c r="G3231" s="2" t="str">
        <f ca="1">IFERROR(__xludf.DUMMYFUNCTION("""COMPUTED_VALUE"""),"Sling Blade ")</f>
        <v>Sling Blade </v>
      </c>
      <c r="H3231" s="2">
        <v>-3725615</v>
      </c>
    </row>
    <row r="3232" spans="7:8" x14ac:dyDescent="0.25">
      <c r="G3232" s="2" t="str">
        <f ca="1">IFERROR(__xludf.DUMMYFUNCTION("""COMPUTED_VALUE"""),"Hostel ")</f>
        <v>Hostel </v>
      </c>
      <c r="H3232" s="2">
        <v>23585416</v>
      </c>
    </row>
    <row r="3233" spans="7:8" x14ac:dyDescent="0.25">
      <c r="G3233" s="2" t="str">
        <f ca="1">IFERROR(__xludf.DUMMYFUNCTION("""COMPUTED_VALUE"""),"Tristram Shandy: A Cock and Bull Story ")</f>
        <v>Tristram Shandy: A Cock and Bull Story </v>
      </c>
      <c r="H3233" s="2">
        <v>42477326</v>
      </c>
    </row>
    <row r="3234" spans="7:8" x14ac:dyDescent="0.25">
      <c r="G3234" s="2" t="str">
        <f ca="1">IFERROR(__xludf.DUMMYFUNCTION("""COMPUTED_VALUE"""),"Take Shelter ")</f>
        <v>Take Shelter </v>
      </c>
      <c r="H3234" s="2">
        <v>-1552547</v>
      </c>
    </row>
    <row r="3235" spans="7:8" x14ac:dyDescent="0.25">
      <c r="G3235" s="2" t="str">
        <f ca="1">IFERROR(__xludf.DUMMYFUNCTION("""COMPUTED_VALUE"""),"Lady in White ")</f>
        <v>Lady in White </v>
      </c>
      <c r="H3235" s="2">
        <v>-3270031</v>
      </c>
    </row>
    <row r="3236" spans="7:8" x14ac:dyDescent="0.25">
      <c r="G3236" s="2" t="str">
        <f ca="1">IFERROR(__xludf.DUMMYFUNCTION("""COMPUTED_VALUE"""),"The Texas Chainsaw Massacre 2 ")</f>
        <v>The Texas Chainsaw Massacre 2 </v>
      </c>
      <c r="H3236" s="2">
        <v>-2994861</v>
      </c>
    </row>
    <row r="3237" spans="7:8" x14ac:dyDescent="0.25">
      <c r="G3237" s="2" t="str">
        <f ca="1">IFERROR(__xludf.DUMMYFUNCTION("""COMPUTED_VALUE"""),"Only God Forgives ")</f>
        <v>Only God Forgives </v>
      </c>
      <c r="H3237" s="2">
        <v>3325872</v>
      </c>
    </row>
    <row r="3238" spans="7:8" x14ac:dyDescent="0.25">
      <c r="G3238" s="2" t="str">
        <f ca="1">IFERROR(__xludf.DUMMYFUNCTION("""COMPUTED_VALUE"""),"The Names of Love ")</f>
        <v>The Names of Love </v>
      </c>
      <c r="H3238" s="2">
        <v>-4021435</v>
      </c>
    </row>
    <row r="3239" spans="7:8" x14ac:dyDescent="0.25">
      <c r="G3239" s="2" t="str">
        <f ca="1">IFERROR(__xludf.DUMMYFUNCTION("""COMPUTED_VALUE"""),"Savage Grace ")</f>
        <v>Savage Grace </v>
      </c>
      <c r="H3239" s="2">
        <v>-4086164</v>
      </c>
    </row>
    <row r="3240" spans="7:8" x14ac:dyDescent="0.25">
      <c r="G3240" s="2" t="str">
        <f ca="1">IFERROR(__xludf.DUMMYFUNCTION("""COMPUTED_VALUE"""),"Police Academy ")</f>
        <v>Police Academy </v>
      </c>
      <c r="H3240" s="2">
        <v>-4165583</v>
      </c>
    </row>
    <row r="3241" spans="7:8" x14ac:dyDescent="0.25">
      <c r="G3241" s="2" t="str">
        <f ca="1">IFERROR(__xludf.DUMMYFUNCTION("""COMPUTED_VALUE"""),"Four Weddings and a Funeral ")</f>
        <v>Four Weddings and a Funeral </v>
      </c>
      <c r="H3241" s="2">
        <v>76700000</v>
      </c>
    </row>
    <row r="3242" spans="7:8" x14ac:dyDescent="0.25">
      <c r="G3242" s="2" t="str">
        <f ca="1">IFERROR(__xludf.DUMMYFUNCTION("""COMPUTED_VALUE"""),"25th Hour ")</f>
        <v>25th Hour </v>
      </c>
      <c r="H3242" s="2">
        <v>48200832</v>
      </c>
    </row>
    <row r="3243" spans="7:8" x14ac:dyDescent="0.25">
      <c r="G3243" s="2" t="str">
        <f ca="1">IFERROR(__xludf.DUMMYFUNCTION("""COMPUTED_VALUE"""),"Bound ")</f>
        <v>Bound </v>
      </c>
      <c r="H3243" s="2">
        <v>-1939157</v>
      </c>
    </row>
    <row r="3244" spans="7:8" x14ac:dyDescent="0.25">
      <c r="G3244" s="2" t="str">
        <f ca="1">IFERROR(__xludf.DUMMYFUNCTION("""COMPUTED_VALUE"""),"Requiem for a Dream ")</f>
        <v>Requiem for a Dream </v>
      </c>
      <c r="H3244" s="2">
        <v>-701468</v>
      </c>
    </row>
    <row r="3245" spans="7:8" x14ac:dyDescent="0.25">
      <c r="G3245" s="2" t="str">
        <f ca="1">IFERROR(__xludf.DUMMYFUNCTION("""COMPUTED_VALUE"""),"Tango ")</f>
        <v>Tango </v>
      </c>
      <c r="H3245" s="2">
        <v>-890722</v>
      </c>
    </row>
    <row r="3246" spans="7:8" x14ac:dyDescent="0.25">
      <c r="G3246" s="2" t="str">
        <f ca="1">IFERROR(__xludf.DUMMYFUNCTION("""COMPUTED_VALUE"""),"Moms' Night Out ")</f>
        <v>Moms' Night Out </v>
      </c>
      <c r="H3246" s="2">
        <v>-698312689</v>
      </c>
    </row>
    <row r="3247" spans="7:8" x14ac:dyDescent="0.25">
      <c r="G3247" s="2" t="str">
        <f ca="1">IFERROR(__xludf.DUMMYFUNCTION("""COMPUTED_VALUE"""),"Donnie Darko ")</f>
        <v>Donnie Darko </v>
      </c>
      <c r="H3247" s="2">
        <v>5429707</v>
      </c>
    </row>
    <row r="3248" spans="7:8" x14ac:dyDescent="0.25">
      <c r="G3248" s="2" t="str">
        <f ca="1">IFERROR(__xludf.DUMMYFUNCTION("""COMPUTED_VALUE"""),"Character ")</f>
        <v>Character </v>
      </c>
      <c r="H3248" s="2">
        <v>-3772117</v>
      </c>
    </row>
    <row r="3249" spans="7:8" x14ac:dyDescent="0.25">
      <c r="G3249" s="2" t="str">
        <f ca="1">IFERROR(__xludf.DUMMYFUNCTION("""COMPUTED_VALUE"""),"Spun ")</f>
        <v>Spun </v>
      </c>
      <c r="H3249" s="2">
        <v>-3786587</v>
      </c>
    </row>
    <row r="3250" spans="7:8" x14ac:dyDescent="0.25">
      <c r="G3250" s="2" t="str">
        <f ca="1">IFERROR(__xludf.DUMMYFUNCTION("""COMPUTED_VALUE"""),"Lady Vengeance ")</f>
        <v>Lady Vengeance </v>
      </c>
      <c r="H3250" s="2">
        <v>-1589759</v>
      </c>
    </row>
    <row r="3251" spans="7:8" x14ac:dyDescent="0.25">
      <c r="G3251" s="2" t="str">
        <f ca="1">IFERROR(__xludf.DUMMYFUNCTION("""COMPUTED_VALUE"""),"Mean Machine ")</f>
        <v>Mean Machine </v>
      </c>
      <c r="H3251" s="2">
        <v>-4199788333</v>
      </c>
    </row>
    <row r="3252" spans="7:8" x14ac:dyDescent="0.25">
      <c r="G3252" s="2" t="str">
        <f ca="1">IFERROR(__xludf.DUMMYFUNCTION("""COMPUTED_VALUE"""),"Exiled ")</f>
        <v>Exiled </v>
      </c>
      <c r="H3252" s="2">
        <v>-2407809</v>
      </c>
    </row>
    <row r="3253" spans="7:8" x14ac:dyDescent="0.25">
      <c r="G3253" s="2" t="str">
        <f ca="1">IFERROR(__xludf.DUMMYFUNCTION("""COMPUTED_VALUE"""),"After.Life ")</f>
        <v>After.Life </v>
      </c>
      <c r="H3253" s="2">
        <v>-34950587</v>
      </c>
    </row>
    <row r="3254" spans="7:8" x14ac:dyDescent="0.25">
      <c r="G3254" s="2" t="str">
        <f ca="1">IFERROR(__xludf.DUMMYFUNCTION("""COMPUTED_VALUE"""),"One Flew Over the Cuckoo's Nest ")</f>
        <v>One Flew Over the Cuckoo's Nest </v>
      </c>
      <c r="H3254" s="2">
        <v>-4391771</v>
      </c>
    </row>
    <row r="3255" spans="7:8" x14ac:dyDescent="0.25">
      <c r="G3255" s="2" t="str">
        <f ca="1">IFERROR(__xludf.DUMMYFUNCTION("""COMPUTED_VALUE"""),"Falcon Rising ")</f>
        <v>Falcon Rising </v>
      </c>
      <c r="H3255" s="2">
        <v>107600000</v>
      </c>
    </row>
    <row r="3256" spans="7:8" x14ac:dyDescent="0.25">
      <c r="G3256" s="2" t="str">
        <f ca="1">IFERROR(__xludf.DUMMYFUNCTION("""COMPUTED_VALUE"""),"The Sweeney ")</f>
        <v>The Sweeney </v>
      </c>
      <c r="H3256" s="2">
        <v>-4491309</v>
      </c>
    </row>
    <row r="3257" spans="7:8" x14ac:dyDescent="0.25">
      <c r="G3257" s="2" t="str">
        <f ca="1">IFERROR(__xludf.DUMMYFUNCTION("""COMPUTED_VALUE"""),"Whale Rider ")</f>
        <v>Whale Rider </v>
      </c>
      <c r="H3257" s="2">
        <v>-2973655</v>
      </c>
    </row>
    <row r="3258" spans="7:8" x14ac:dyDescent="0.25">
      <c r="G3258" s="2" t="str">
        <f ca="1">IFERROR(__xludf.DUMMYFUNCTION("""COMPUTED_VALUE"""),"Paa ")</f>
        <v>Paa </v>
      </c>
      <c r="H3258" s="2">
        <v>14772796</v>
      </c>
    </row>
    <row r="3259" spans="7:8" x14ac:dyDescent="0.25">
      <c r="G3259" s="2" t="str">
        <f ca="1">IFERROR(__xludf.DUMMYFUNCTION("""COMPUTED_VALUE"""),"Night Watch ")</f>
        <v>Night Watch </v>
      </c>
      <c r="H3259" s="2">
        <v>-149800772</v>
      </c>
    </row>
    <row r="3260" spans="7:8" x14ac:dyDescent="0.25">
      <c r="G3260" s="2" t="str">
        <f ca="1">IFERROR(__xludf.DUMMYFUNCTION("""COMPUTED_VALUE"""),"The Crying Game ")</f>
        <v>The Crying Game </v>
      </c>
      <c r="H3260" s="2">
        <v>-2712523</v>
      </c>
    </row>
    <row r="3261" spans="7:8" x14ac:dyDescent="0.25">
      <c r="G3261" s="2" t="str">
        <f ca="1">IFERROR(__xludf.DUMMYFUNCTION("""COMPUTED_VALUE"""),"Porky's ")</f>
        <v>Porky's </v>
      </c>
      <c r="H3261" s="2">
        <v>60249000</v>
      </c>
    </row>
    <row r="3262" spans="7:8" x14ac:dyDescent="0.25">
      <c r="G3262" s="2" t="str">
        <f ca="1">IFERROR(__xludf.DUMMYFUNCTION("""COMPUTED_VALUE"""),"Survival of the Dead ")</f>
        <v>Survival of the Dead </v>
      </c>
      <c r="H3262" s="2">
        <v>101500000</v>
      </c>
    </row>
    <row r="3263" spans="7:8" x14ac:dyDescent="0.25">
      <c r="G3263" s="2" t="str">
        <f ca="1">IFERROR(__xludf.DUMMYFUNCTION("""COMPUTED_VALUE"""),"Lost in Translation ")</f>
        <v>Lost in Translation </v>
      </c>
      <c r="H3263" s="2">
        <v>-3898945</v>
      </c>
    </row>
    <row r="3264" spans="7:8" x14ac:dyDescent="0.25">
      <c r="G3264" s="2" t="str">
        <f ca="1">IFERROR(__xludf.DUMMYFUNCTION("""COMPUTED_VALUE"""),"Annie Hall ")</f>
        <v>Annie Hall </v>
      </c>
      <c r="H3264" s="2">
        <v>40566004</v>
      </c>
    </row>
    <row r="3265" spans="7:8" x14ac:dyDescent="0.25">
      <c r="G3265" s="2" t="str">
        <f ca="1">IFERROR(__xludf.DUMMYFUNCTION("""COMPUTED_VALUE"""),"The Greatest Show on Earth ")</f>
        <v>The Greatest Show on Earth </v>
      </c>
      <c r="H3265" s="2">
        <v>35200000</v>
      </c>
    </row>
    <row r="3266" spans="7:8" x14ac:dyDescent="0.25">
      <c r="G3266" s="2" t="str">
        <f ca="1">IFERROR(__xludf.DUMMYFUNCTION("""COMPUTED_VALUE"""),"Monster's Ball ")</f>
        <v>Monster's Ball </v>
      </c>
      <c r="H3266" s="2">
        <v>32000000</v>
      </c>
    </row>
    <row r="3267" spans="7:8" x14ac:dyDescent="0.25">
      <c r="G3267" s="2" t="str">
        <f ca="1">IFERROR(__xludf.DUMMYFUNCTION("""COMPUTED_VALUE"""),"Maggie ")</f>
        <v>Maggie </v>
      </c>
      <c r="H3267" s="2">
        <v>27252964</v>
      </c>
    </row>
    <row r="3268" spans="7:8" x14ac:dyDescent="0.25">
      <c r="G3268" s="2" t="str">
        <f ca="1">IFERROR(__xludf.DUMMYFUNCTION("""COMPUTED_VALUE"""),"Leaving Las Vegas ")</f>
        <v>Leaving Las Vegas </v>
      </c>
      <c r="H3268" s="2">
        <v>-8368825</v>
      </c>
    </row>
    <row r="3269" spans="7:8" x14ac:dyDescent="0.25">
      <c r="G3269" s="2" t="str">
        <f ca="1">IFERROR(__xludf.DUMMYFUNCTION("""COMPUTED_VALUE"""),"The Boy Next Door ")</f>
        <v>The Boy Next Door </v>
      </c>
      <c r="H3269" s="2">
        <v>28368347</v>
      </c>
    </row>
    <row r="3270" spans="7:8" x14ac:dyDescent="0.25">
      <c r="G3270" s="2" t="str">
        <f ca="1">IFERROR(__xludf.DUMMYFUNCTION("""COMPUTED_VALUE"""),"The Kids Are All Right ")</f>
        <v>The Kids Are All Right </v>
      </c>
      <c r="H3270" s="2">
        <v>31385560</v>
      </c>
    </row>
    <row r="3271" spans="7:8" x14ac:dyDescent="0.25">
      <c r="G3271" s="2" t="str">
        <f ca="1">IFERROR(__xludf.DUMMYFUNCTION("""COMPUTED_VALUE"""),"They Live ")</f>
        <v>They Live </v>
      </c>
      <c r="H3271" s="2">
        <v>17303237</v>
      </c>
    </row>
    <row r="3272" spans="7:8" x14ac:dyDescent="0.25">
      <c r="G3272" s="2" t="str">
        <f ca="1">IFERROR(__xludf.DUMMYFUNCTION("""COMPUTED_VALUE"""),"The Last Exorcism Part II ")</f>
        <v>The Last Exorcism Part II </v>
      </c>
      <c r="H3272" s="2">
        <v>9008928</v>
      </c>
    </row>
    <row r="3273" spans="7:8" x14ac:dyDescent="0.25">
      <c r="G3273" s="2" t="str">
        <f ca="1">IFERROR(__xludf.DUMMYFUNCTION("""COMPUTED_VALUE"""),"Boyhood ")</f>
        <v>Boyhood </v>
      </c>
      <c r="H3273" s="2">
        <v>10152879</v>
      </c>
    </row>
    <row r="3274" spans="7:8" x14ac:dyDescent="0.25">
      <c r="G3274" s="2" t="str">
        <f ca="1">IFERROR(__xludf.DUMMYFUNCTION("""COMPUTED_VALUE"""),"Scoop ")</f>
        <v>Scoop </v>
      </c>
      <c r="H3274" s="2">
        <v>21359200</v>
      </c>
    </row>
    <row r="3275" spans="7:8" x14ac:dyDescent="0.25">
      <c r="G3275" s="2" t="str">
        <f ca="1">IFERROR(__xludf.DUMMYFUNCTION("""COMPUTED_VALUE"""),"The Wash ")</f>
        <v>The Wash </v>
      </c>
      <c r="H3275" s="2">
        <v>6515579</v>
      </c>
    </row>
    <row r="3276" spans="7:8" x14ac:dyDescent="0.25">
      <c r="G3276" s="2" t="str">
        <f ca="1">IFERROR(__xludf.DUMMYFUNCTION("""COMPUTED_VALUE"""),"3 Strikes ")</f>
        <v>3 Strikes </v>
      </c>
      <c r="H3276" s="2">
        <v>6097096</v>
      </c>
    </row>
    <row r="3277" spans="7:8" x14ac:dyDescent="0.25">
      <c r="G3277" s="2" t="str">
        <f ca="1">IFERROR(__xludf.DUMMYFUNCTION("""COMPUTED_VALUE"""),"The Cooler ")</f>
        <v>The Cooler </v>
      </c>
      <c r="H3277" s="2">
        <v>3821335</v>
      </c>
    </row>
    <row r="3278" spans="7:8" x14ac:dyDescent="0.25">
      <c r="G3278" s="2" t="str">
        <f ca="1">IFERROR(__xludf.DUMMYFUNCTION("""COMPUTED_VALUE"""),"The Night Listener ")</f>
        <v>The Night Listener </v>
      </c>
      <c r="H3278" s="2">
        <v>5043880</v>
      </c>
    </row>
    <row r="3279" spans="7:8" x14ac:dyDescent="0.25">
      <c r="G3279" s="2" t="str">
        <f ca="1">IFERROR(__xludf.DUMMYFUNCTION("""COMPUTED_VALUE"""),"The Orphanage ")</f>
        <v>The Orphanage </v>
      </c>
      <c r="H3279" s="2">
        <v>3825820</v>
      </c>
    </row>
    <row r="3280" spans="7:8" x14ac:dyDescent="0.25">
      <c r="G3280" s="2" t="str">
        <f ca="1">IFERROR(__xludf.DUMMYFUNCTION("""COMPUTED_VALUE"""),"A Haunted House 2 ")</f>
        <v>A Haunted House 2 </v>
      </c>
      <c r="H3280" s="2">
        <v>3759147</v>
      </c>
    </row>
    <row r="3281" spans="7:8" x14ac:dyDescent="0.25">
      <c r="G3281" s="2" t="str">
        <f ca="1">IFERROR(__xludf.DUMMYFUNCTION("""COMPUTED_VALUE"""),"The Rules of Attraction ")</f>
        <v>The Rules of Attraction </v>
      </c>
      <c r="H3281" s="2">
        <v>13314483</v>
      </c>
    </row>
    <row r="3282" spans="7:8" x14ac:dyDescent="0.25">
      <c r="G3282" s="2" t="str">
        <f ca="1">IFERROR(__xludf.DUMMYFUNCTION("""COMPUTED_VALUE"""),"Four Rooms ")</f>
        <v>Four Rooms </v>
      </c>
      <c r="H3282" s="2">
        <v>2525762</v>
      </c>
    </row>
    <row r="3283" spans="7:8" x14ac:dyDescent="0.25">
      <c r="G3283" s="2" t="str">
        <f ca="1">IFERROR(__xludf.DUMMYFUNCTION("""COMPUTED_VALUE"""),"Secretary ")</f>
        <v>Secretary </v>
      </c>
      <c r="H3283" s="2">
        <v>301331</v>
      </c>
    </row>
    <row r="3284" spans="7:8" x14ac:dyDescent="0.25">
      <c r="G3284" s="2" t="str">
        <f ca="1">IFERROR(__xludf.DUMMYFUNCTION("""COMPUTED_VALUE"""),"The Real Cancun ")</f>
        <v>The Real Cancun </v>
      </c>
      <c r="H3284" s="2">
        <v>46737</v>
      </c>
    </row>
    <row r="3285" spans="7:8" x14ac:dyDescent="0.25">
      <c r="G3285" s="2" t="str">
        <f ca="1">IFERROR(__xludf.DUMMYFUNCTION("""COMPUTED_VALUE"""),"Talk Radio ")</f>
        <v>Talk Radio </v>
      </c>
      <c r="H3285" s="2">
        <v>-4286998</v>
      </c>
    </row>
    <row r="3286" spans="7:8" x14ac:dyDescent="0.25">
      <c r="G3286" s="2" t="str">
        <f ca="1">IFERROR(__xludf.DUMMYFUNCTION("""COMPUTED_VALUE"""),"Waiting for Guffman ")</f>
        <v>Waiting for Guffman </v>
      </c>
      <c r="H3286" s="2">
        <v>-531428</v>
      </c>
    </row>
    <row r="3287" spans="7:8" x14ac:dyDescent="0.25">
      <c r="G3287" s="2" t="str">
        <f ca="1">IFERROR(__xludf.DUMMYFUNCTION("""COMPUTED_VALUE"""),"Love Stinks ")</f>
        <v>Love Stinks </v>
      </c>
      <c r="H3287" s="2">
        <v>-1107418</v>
      </c>
    </row>
    <row r="3288" spans="7:8" x14ac:dyDescent="0.25">
      <c r="G3288" s="2" t="str">
        <f ca="1">IFERROR(__xludf.DUMMYFUNCTION("""COMPUTED_VALUE"""),"You Kill Me ")</f>
        <v>You Kill Me </v>
      </c>
      <c r="H3288" s="2">
        <v>-1200000</v>
      </c>
    </row>
    <row r="3289" spans="7:8" x14ac:dyDescent="0.25">
      <c r="G3289" s="2" t="str">
        <f ca="1">IFERROR(__xludf.DUMMYFUNCTION("""COMPUTED_VALUE"""),"Thumbsucker ")</f>
        <v>Thumbsucker </v>
      </c>
      <c r="H3289" s="2">
        <v>-1573149</v>
      </c>
    </row>
    <row r="3290" spans="7:8" x14ac:dyDescent="0.25">
      <c r="G3290" s="2" t="str">
        <f ca="1">IFERROR(__xludf.DUMMYFUNCTION("""COMPUTED_VALUE"""),"Mirrormask ")</f>
        <v>Mirrormask </v>
      </c>
      <c r="H3290" s="2">
        <v>-2674927</v>
      </c>
    </row>
    <row r="3291" spans="7:8" x14ac:dyDescent="0.25">
      <c r="G3291" s="2" t="str">
        <f ca="1">IFERROR(__xludf.DUMMYFUNCTION("""COMPUTED_VALUE"""),"Samsara ")</f>
        <v>Samsara </v>
      </c>
      <c r="H3291" s="2">
        <v>-3135041</v>
      </c>
    </row>
    <row r="3292" spans="7:8" x14ac:dyDescent="0.25">
      <c r="G3292" s="2" t="str">
        <f ca="1">IFERROR(__xludf.DUMMYFUNCTION("""COMPUTED_VALUE"""),"The Barbarians ")</f>
        <v>The Barbarians </v>
      </c>
      <c r="H3292" s="2">
        <v>-1398153</v>
      </c>
    </row>
    <row r="3293" spans="7:8" x14ac:dyDescent="0.25">
      <c r="G3293" s="2" t="str">
        <f ca="1">IFERROR(__xludf.DUMMYFUNCTION("""COMPUTED_VALUE"""),"Poolhall Junkies ")</f>
        <v>Poolhall Junkies </v>
      </c>
      <c r="H3293" s="2">
        <v>-3200000</v>
      </c>
    </row>
    <row r="3294" spans="7:8" x14ac:dyDescent="0.25">
      <c r="G3294" s="2" t="str">
        <f ca="1">IFERROR(__xludf.DUMMYFUNCTION("""COMPUTED_VALUE"""),"The Loss of Sexual Innocence ")</f>
        <v>The Loss of Sexual Innocence </v>
      </c>
      <c r="H3294" s="2">
        <v>-3437941</v>
      </c>
    </row>
    <row r="3295" spans="7:8" x14ac:dyDescent="0.25">
      <c r="G3295" s="2" t="str">
        <f ca="1">IFERROR(__xludf.DUMMYFUNCTION("""COMPUTED_VALUE"""),"Joe ")</f>
        <v>Joe </v>
      </c>
      <c r="H3295" s="2">
        <v>-3600207</v>
      </c>
    </row>
    <row r="3296" spans="7:8" x14ac:dyDescent="0.25">
      <c r="G3296" s="2" t="str">
        <f ca="1">IFERROR(__xludf.DUMMYFUNCTION("""COMPUTED_VALUE"""),"Shooting Fish ")</f>
        <v>Shooting Fish </v>
      </c>
      <c r="H3296" s="2">
        <v>-3628103</v>
      </c>
    </row>
    <row r="3297" spans="7:8" x14ac:dyDescent="0.25">
      <c r="G3297" s="2" t="str">
        <f ca="1">IFERROR(__xludf.DUMMYFUNCTION("""COMPUTED_VALUE"""),"Prison ")</f>
        <v>Prison </v>
      </c>
      <c r="H3297" s="2">
        <v>-2697796</v>
      </c>
    </row>
    <row r="3298" spans="7:8" x14ac:dyDescent="0.25">
      <c r="G3298" s="2" t="str">
        <f ca="1">IFERROR(__xludf.DUMMYFUNCTION("""COMPUTED_VALUE"""),"Psycho Beach Party ")</f>
        <v>Psycho Beach Party </v>
      </c>
      <c r="H3298" s="2">
        <v>-945296</v>
      </c>
    </row>
    <row r="3299" spans="7:8" x14ac:dyDescent="0.25">
      <c r="G3299" s="2" t="str">
        <f ca="1">IFERROR(__xludf.DUMMYFUNCTION("""COMPUTED_VALUE"""),"The Big Tease ")</f>
        <v>The Big Tease </v>
      </c>
      <c r="H3299" s="2">
        <v>-1234893</v>
      </c>
    </row>
    <row r="3300" spans="7:8" x14ac:dyDescent="0.25">
      <c r="G3300" s="2" t="str">
        <f ca="1">IFERROR(__xludf.DUMMYFUNCTION("""COMPUTED_VALUE"""),"Buen Día, Ramón ")</f>
        <v>Buen Día, Ramón </v>
      </c>
      <c r="H3300" s="2">
        <v>-3814423</v>
      </c>
    </row>
    <row r="3301" spans="7:8" x14ac:dyDescent="0.25">
      <c r="G3301" s="2" t="str">
        <f ca="1">IFERROR(__xludf.DUMMYFUNCTION("""COMPUTED_VALUE"""),"Trust ")</f>
        <v>Trust </v>
      </c>
      <c r="H3301" s="2">
        <v>-3899588</v>
      </c>
    </row>
    <row r="3302" spans="7:8" x14ac:dyDescent="0.25">
      <c r="G3302" s="2" t="str">
        <f ca="1">IFERROR(__xludf.DUMMYFUNCTION("""COMPUTED_VALUE"""),"An Everlasting Piece ")</f>
        <v>An Everlasting Piece </v>
      </c>
      <c r="H3302" s="2">
        <v>-9441786</v>
      </c>
    </row>
    <row r="3303" spans="7:8" x14ac:dyDescent="0.25">
      <c r="G3303" s="2" t="str">
        <f ca="1">IFERROR(__xludf.DUMMYFUNCTION("""COMPUTED_VALUE"""),"Among Giants ")</f>
        <v>Among Giants </v>
      </c>
      <c r="H3303" s="2">
        <v>-13924922</v>
      </c>
    </row>
    <row r="3304" spans="7:8" x14ac:dyDescent="0.25">
      <c r="G3304" s="2" t="str">
        <f ca="1">IFERROR(__xludf.DUMMYFUNCTION("""COMPUTED_VALUE"""),"Adore ")</f>
        <v>Adore </v>
      </c>
      <c r="H3304" s="2">
        <v>-2435641</v>
      </c>
    </row>
    <row r="3305" spans="7:8" x14ac:dyDescent="0.25">
      <c r="G3305" s="2" t="str">
        <f ca="1">IFERROR(__xludf.DUMMYFUNCTION("""COMPUTED_VALUE"""),"Mondays in the Sun ")</f>
        <v>Mondays in the Sun </v>
      </c>
      <c r="H3305" s="2">
        <v>-15682875</v>
      </c>
    </row>
    <row r="3306" spans="7:8" x14ac:dyDescent="0.25">
      <c r="G3306" s="2" t="str">
        <f ca="1">IFERROR(__xludf.DUMMYFUNCTION("""COMPUTED_VALUE"""),"Stake Land ")</f>
        <v>Stake Land </v>
      </c>
      <c r="H3306" s="2">
        <v>-3853598</v>
      </c>
    </row>
    <row r="3307" spans="7:8" x14ac:dyDescent="0.25">
      <c r="G3307" s="2" t="str">
        <f ca="1">IFERROR(__xludf.DUMMYFUNCTION("""COMPUTED_VALUE"""),"The Last Time I Committed Suicide ")</f>
        <v>The Last Time I Committed Suicide </v>
      </c>
      <c r="H3307" s="2">
        <v>-631531</v>
      </c>
    </row>
    <row r="3308" spans="7:8" x14ac:dyDescent="0.25">
      <c r="G3308" s="2" t="str">
        <f ca="1">IFERROR(__xludf.DUMMYFUNCTION("""COMPUTED_VALUE"""),"Futuro Beach ")</f>
        <v>Futuro Beach </v>
      </c>
      <c r="H3308" s="2">
        <v>-3987164</v>
      </c>
    </row>
    <row r="3309" spans="7:8" x14ac:dyDescent="0.25">
      <c r="G3309" s="2" t="str">
        <f ca="1">IFERROR(__xludf.DUMMYFUNCTION("""COMPUTED_VALUE"""),"Inescapable ")</f>
        <v>Inescapable </v>
      </c>
      <c r="H3309" s="2">
        <v>-3979738</v>
      </c>
    </row>
    <row r="3310" spans="7:8" x14ac:dyDescent="0.25">
      <c r="G3310" s="2" t="str">
        <f ca="1">IFERROR(__xludf.DUMMYFUNCTION("""COMPUTED_VALUE"""),"Gone with the Wind ")</f>
        <v>Gone with the Wind </v>
      </c>
      <c r="H3310" s="2">
        <v>-3995937</v>
      </c>
    </row>
    <row r="3311" spans="7:8" x14ac:dyDescent="0.25">
      <c r="G3311" s="2" t="str">
        <f ca="1">IFERROR(__xludf.DUMMYFUNCTION("""COMPUTED_VALUE"""),"Desert Dancer ")</f>
        <v>Desert Dancer </v>
      </c>
      <c r="H3311" s="2">
        <v>194678278</v>
      </c>
    </row>
    <row r="3312" spans="7:8" x14ac:dyDescent="0.25">
      <c r="G3312" s="2" t="str">
        <f ca="1">IFERROR(__xludf.DUMMYFUNCTION("""COMPUTED_VALUE"""),"Major Dundee ")</f>
        <v>Major Dundee </v>
      </c>
      <c r="H3312" s="2">
        <v>-3856347</v>
      </c>
    </row>
    <row r="3313" spans="7:8" x14ac:dyDescent="0.25">
      <c r="G3313" s="2" t="str">
        <f ca="1">IFERROR(__xludf.DUMMYFUNCTION("""COMPUTED_VALUE"""),"Annie Get Your Gun ")</f>
        <v>Annie Get Your Gun </v>
      </c>
      <c r="H3313" s="2">
        <v>-3785127</v>
      </c>
    </row>
    <row r="3314" spans="7:8" x14ac:dyDescent="0.25">
      <c r="G3314" s="2" t="str">
        <f ca="1">IFERROR(__xludf.DUMMYFUNCTION("""COMPUTED_VALUE"""),"Defendor ")</f>
        <v>Defendor </v>
      </c>
      <c r="H3314" s="2">
        <v>4231215</v>
      </c>
    </row>
    <row r="3315" spans="7:8" x14ac:dyDescent="0.25">
      <c r="G3315" s="2" t="str">
        <f ca="1">IFERROR(__xludf.DUMMYFUNCTION("""COMPUTED_VALUE"""),"The Pirate ")</f>
        <v>The Pirate </v>
      </c>
      <c r="H3315" s="2">
        <v>-3462394</v>
      </c>
    </row>
    <row r="3316" spans="7:8" x14ac:dyDescent="0.25">
      <c r="G3316" s="2" t="str">
        <f ca="1">IFERROR(__xludf.DUMMYFUNCTION("""COMPUTED_VALUE"""),"The Good Heart ")</f>
        <v>The Good Heart </v>
      </c>
      <c r="H3316" s="2">
        <v>-744000</v>
      </c>
    </row>
    <row r="3317" spans="7:8" x14ac:dyDescent="0.25">
      <c r="G3317" s="2" t="str">
        <f ca="1">IFERROR(__xludf.DUMMYFUNCTION("""COMPUTED_VALUE"""),"The History Boys ")</f>
        <v>The History Boys </v>
      </c>
      <c r="H3317" s="2">
        <v>-3780041</v>
      </c>
    </row>
    <row r="3318" spans="7:8" x14ac:dyDescent="0.25">
      <c r="G3318" s="2" t="str">
        <f ca="1">IFERROR(__xludf.DUMMYFUNCTION("""COMPUTED_VALUE"""),"The Full Monty ")</f>
        <v>The Full Monty </v>
      </c>
      <c r="H3318" s="2">
        <v>706659</v>
      </c>
    </row>
    <row r="3319" spans="7:8" x14ac:dyDescent="0.25">
      <c r="G3319" s="2" t="str">
        <f ca="1">IFERROR(__xludf.DUMMYFUNCTION("""COMPUTED_VALUE"""),"Airplane! ")</f>
        <v>Airplane! </v>
      </c>
      <c r="H3319" s="2">
        <v>42357453</v>
      </c>
    </row>
    <row r="3320" spans="7:8" x14ac:dyDescent="0.25">
      <c r="G3320" s="2" t="str">
        <f ca="1">IFERROR(__xludf.DUMMYFUNCTION("""COMPUTED_VALUE"""),"Friday ")</f>
        <v>Friday </v>
      </c>
      <c r="H3320" s="2">
        <v>79900000</v>
      </c>
    </row>
    <row r="3321" spans="7:8" x14ac:dyDescent="0.25">
      <c r="G3321" s="2" t="str">
        <f ca="1">IFERROR(__xludf.DUMMYFUNCTION("""COMPUTED_VALUE"""),"Menace II Society ")</f>
        <v>Menace II Society </v>
      </c>
      <c r="H3321" s="2">
        <v>24400000</v>
      </c>
    </row>
    <row r="3322" spans="7:8" x14ac:dyDescent="0.25">
      <c r="G3322" s="2" t="str">
        <f ca="1">IFERROR(__xludf.DUMMYFUNCTION("""COMPUTED_VALUE"""),"Creepshow 2 ")</f>
        <v>Creepshow 2 </v>
      </c>
      <c r="H3322" s="2">
        <v>24400000</v>
      </c>
    </row>
    <row r="3323" spans="7:8" x14ac:dyDescent="0.25">
      <c r="G3323" s="2" t="str">
        <f ca="1">IFERROR(__xludf.DUMMYFUNCTION("""COMPUTED_VALUE"""),"The Witch ")</f>
        <v>The Witch </v>
      </c>
      <c r="H3323" s="2">
        <v>10500000</v>
      </c>
    </row>
    <row r="3324" spans="7:8" x14ac:dyDescent="0.25">
      <c r="G3324" s="2" t="str">
        <f ca="1">IFERROR(__xludf.DUMMYFUNCTION("""COMPUTED_VALUE"""),"I Got the Hook Up ")</f>
        <v>I Got the Hook Up </v>
      </c>
      <c r="H3324" s="2">
        <v>21638292</v>
      </c>
    </row>
    <row r="3325" spans="7:8" x14ac:dyDescent="0.25">
      <c r="G3325" s="2" t="str">
        <f ca="1">IFERROR(__xludf.DUMMYFUNCTION("""COMPUTED_VALUE"""),"She's the One ")</f>
        <v>She's the One </v>
      </c>
      <c r="H3325" s="2">
        <v>6805534</v>
      </c>
    </row>
    <row r="3326" spans="7:8" x14ac:dyDescent="0.25">
      <c r="G3326" s="2" t="str">
        <f ca="1">IFERROR(__xludf.DUMMYFUNCTION("""COMPUTED_VALUE"""),"Gods and Monsters ")</f>
        <v>Gods and Monsters </v>
      </c>
      <c r="H3326" s="2">
        <v>5949219</v>
      </c>
    </row>
    <row r="3327" spans="7:8" x14ac:dyDescent="0.25">
      <c r="G3327" s="2" t="str">
        <f ca="1">IFERROR(__xludf.DUMMYFUNCTION("""COMPUTED_VALUE"""),"The Secret in Their Eyes ")</f>
        <v>The Secret in Their Eyes </v>
      </c>
      <c r="H3327" s="2">
        <v>2890032</v>
      </c>
    </row>
    <row r="3328" spans="7:8" x14ac:dyDescent="0.25">
      <c r="G3328" s="2" t="str">
        <f ca="1">IFERROR(__xludf.DUMMYFUNCTION("""COMPUTED_VALUE"""),"Evil Dead II ")</f>
        <v>Evil Dead II </v>
      </c>
      <c r="H3328" s="2">
        <v>18167424</v>
      </c>
    </row>
    <row r="3329" spans="7:8" x14ac:dyDescent="0.25">
      <c r="G3329" s="2" t="str">
        <f ca="1">IFERROR(__xludf.DUMMYFUNCTION("""COMPUTED_VALUE"""),"Pootie Tang ")</f>
        <v>Pootie Tang </v>
      </c>
      <c r="H3329" s="2">
        <v>2323044</v>
      </c>
    </row>
    <row r="3330" spans="7:8" x14ac:dyDescent="0.25">
      <c r="G3330" s="2" t="str">
        <f ca="1">IFERROR(__xludf.DUMMYFUNCTION("""COMPUTED_VALUE"""),"La otra conquista ")</f>
        <v>La otra conquista </v>
      </c>
      <c r="H3330" s="2">
        <v>293258</v>
      </c>
    </row>
    <row r="3331" spans="7:8" x14ac:dyDescent="0.25">
      <c r="G3331" s="2" t="str">
        <f ca="1">IFERROR(__xludf.DUMMYFUNCTION("""COMPUTED_VALUE"""),"Trollhunter ")</f>
        <v>Trollhunter </v>
      </c>
      <c r="H3331" s="2">
        <v>-2613590</v>
      </c>
    </row>
    <row r="3332" spans="7:8" x14ac:dyDescent="0.25">
      <c r="G3332" s="2" t="str">
        <f ca="1">IFERROR(__xludf.DUMMYFUNCTION("""COMPUTED_VALUE"""),"Ira &amp; Abby ")</f>
        <v>Ira &amp; Abby </v>
      </c>
      <c r="H3332" s="2">
        <v>-19647348</v>
      </c>
    </row>
    <row r="3333" spans="7:8" x14ac:dyDescent="0.25">
      <c r="G3333" s="2" t="str">
        <f ca="1">IFERROR(__xludf.DUMMYFUNCTION("""COMPUTED_VALUE"""),"Winter Passing ")</f>
        <v>Winter Passing </v>
      </c>
      <c r="H3333" s="2">
        <v>-3279766</v>
      </c>
    </row>
    <row r="3334" spans="7:8" x14ac:dyDescent="0.25">
      <c r="G3334" s="2" t="str">
        <f ca="1">IFERROR(__xludf.DUMMYFUNCTION("""COMPUTED_VALUE"""),"D.E.B.S. ")</f>
        <v>D.E.B.S. </v>
      </c>
      <c r="H3334" s="2">
        <v>-3398772</v>
      </c>
    </row>
    <row r="3335" spans="7:8" x14ac:dyDescent="0.25">
      <c r="G3335" s="2" t="str">
        <f ca="1">IFERROR(__xludf.DUMMYFUNCTION("""COMPUTED_VALUE"""),"The Masked Saint ")</f>
        <v>The Masked Saint </v>
      </c>
      <c r="H3335" s="2">
        <v>-3403207</v>
      </c>
    </row>
    <row r="3336" spans="7:8" x14ac:dyDescent="0.25">
      <c r="G3336" s="2" t="str">
        <f ca="1">IFERROR(__xludf.DUMMYFUNCTION("""COMPUTED_VALUE"""),"Time to Choose ")</f>
        <v>Time to Choose </v>
      </c>
      <c r="H3336" s="2">
        <v>-3376223</v>
      </c>
    </row>
    <row r="3337" spans="7:8" x14ac:dyDescent="0.25">
      <c r="G3337" s="2" t="str">
        <f ca="1">IFERROR(__xludf.DUMMYFUNCTION("""COMPUTED_VALUE"""),"March of the Penguins ")</f>
        <v>March of the Penguins </v>
      </c>
      <c r="H3337" s="2">
        <v>-3470767</v>
      </c>
    </row>
    <row r="3338" spans="7:8" x14ac:dyDescent="0.25">
      <c r="G3338" s="2" t="str">
        <f ca="1">IFERROR(__xludf.DUMMYFUNCTION("""COMPUTED_VALUE"""),"Margin Call ")</f>
        <v>Margin Call </v>
      </c>
      <c r="H3338" s="2">
        <v>69413017</v>
      </c>
    </row>
    <row r="3339" spans="7:8" x14ac:dyDescent="0.25">
      <c r="G3339" s="2" t="str">
        <f ca="1">IFERROR(__xludf.DUMMYFUNCTION("""COMPUTED_VALUE"""),"Choke ")</f>
        <v>Choke </v>
      </c>
      <c r="H3339" s="2">
        <v>1854039</v>
      </c>
    </row>
    <row r="3340" spans="7:8" x14ac:dyDescent="0.25">
      <c r="G3340" s="2" t="str">
        <f ca="1">IFERROR(__xludf.DUMMYFUNCTION("""COMPUTED_VALUE"""),"Whiplash ")</f>
        <v>Whiplash </v>
      </c>
      <c r="H3340" s="2">
        <v>-73435</v>
      </c>
    </row>
    <row r="3341" spans="7:8" x14ac:dyDescent="0.25">
      <c r="G3341" s="2" t="str">
        <f ca="1">IFERROR(__xludf.DUMMYFUNCTION("""COMPUTED_VALUE"""),"City of God ")</f>
        <v>City of God </v>
      </c>
      <c r="H3341" s="2">
        <v>9792000</v>
      </c>
    </row>
    <row r="3342" spans="7:8" x14ac:dyDescent="0.25">
      <c r="G3342" s="2" t="str">
        <f ca="1">IFERROR(__xludf.DUMMYFUNCTION("""COMPUTED_VALUE"""),"Human Traffic ")</f>
        <v>Human Traffic </v>
      </c>
      <c r="H3342" s="2">
        <v>4263397</v>
      </c>
    </row>
    <row r="3343" spans="7:8" x14ac:dyDescent="0.25">
      <c r="G3343" s="2" t="str">
        <f ca="1">IFERROR(__xludf.DUMMYFUNCTION("""COMPUTED_VALUE"""),"The Hunt ")</f>
        <v>The Hunt </v>
      </c>
      <c r="H3343" s="2">
        <v>-2095743</v>
      </c>
    </row>
    <row r="3344" spans="7:8" x14ac:dyDescent="0.25">
      <c r="G3344" s="2" t="str">
        <f ca="1">IFERROR(__xludf.DUMMYFUNCTION("""COMPUTED_VALUE"""),"Bella ")</f>
        <v>Bella </v>
      </c>
      <c r="H3344" s="2">
        <v>-3189032</v>
      </c>
    </row>
    <row r="3345" spans="7:8" x14ac:dyDescent="0.25">
      <c r="G3345" s="2" t="str">
        <f ca="1">IFERROR(__xludf.DUMMYFUNCTION("""COMPUTED_VALUE"""),"Dreaming of Joseph Lees ")</f>
        <v>Dreaming of Joseph Lees </v>
      </c>
      <c r="H3345" s="2">
        <v>4808247</v>
      </c>
    </row>
    <row r="3346" spans="7:8" x14ac:dyDescent="0.25">
      <c r="G3346" s="2" t="str">
        <f ca="1">IFERROR(__xludf.DUMMYFUNCTION("""COMPUTED_VALUE"""),"Maria Full of Grace ")</f>
        <v>Maria Full of Grace </v>
      </c>
      <c r="H3346" s="2">
        <v>-1992320</v>
      </c>
    </row>
    <row r="3347" spans="7:8" x14ac:dyDescent="0.25">
      <c r="G3347" s="2" t="str">
        <f ca="1">IFERROR(__xludf.DUMMYFUNCTION("""COMPUTED_VALUE"""),"Beginners ")</f>
        <v>Beginners </v>
      </c>
      <c r="H3347" s="2">
        <v>3517198</v>
      </c>
    </row>
    <row r="3348" spans="7:8" x14ac:dyDescent="0.25">
      <c r="G3348" s="2" t="str">
        <f ca="1">IFERROR(__xludf.DUMMYFUNCTION("""COMPUTED_VALUE"""),"Animal House ")</f>
        <v>Animal House </v>
      </c>
      <c r="H3348" s="2">
        <v>2576314</v>
      </c>
    </row>
    <row r="3349" spans="7:8" x14ac:dyDescent="0.25">
      <c r="G3349" s="2" t="str">
        <f ca="1">IFERROR(__xludf.DUMMYFUNCTION("""COMPUTED_VALUE"""),"Goldfinger ")</f>
        <v>Goldfinger </v>
      </c>
      <c r="H3349" s="2">
        <v>138600000</v>
      </c>
    </row>
    <row r="3350" spans="7:8" x14ac:dyDescent="0.25">
      <c r="G3350" s="2" t="str">
        <f ca="1">IFERROR(__xludf.DUMMYFUNCTION("""COMPUTED_VALUE"""),"Trainspotting ")</f>
        <v>Trainspotting </v>
      </c>
      <c r="H3350" s="2">
        <v>48100000</v>
      </c>
    </row>
    <row r="3351" spans="7:8" x14ac:dyDescent="0.25">
      <c r="G3351" s="2" t="str">
        <f ca="1">IFERROR(__xludf.DUMMYFUNCTION("""COMPUTED_VALUE"""),"The Original Kings of Comedy ")</f>
        <v>The Original Kings of Comedy </v>
      </c>
      <c r="H3351" s="2">
        <v>13001785</v>
      </c>
    </row>
    <row r="3352" spans="7:8" x14ac:dyDescent="0.25">
      <c r="G3352" s="2" t="str">
        <f ca="1">IFERROR(__xludf.DUMMYFUNCTION("""COMPUTED_VALUE"""),"Paranormal Activity 2 ")</f>
        <v>Paranormal Activity 2 </v>
      </c>
      <c r="H3352" s="2">
        <v>35168022</v>
      </c>
    </row>
    <row r="3353" spans="7:8" x14ac:dyDescent="0.25">
      <c r="G3353" s="2" t="str">
        <f ca="1">IFERROR(__xludf.DUMMYFUNCTION("""COMPUTED_VALUE"""),"Waking Ned Devine ")</f>
        <v>Waking Ned Devine </v>
      </c>
      <c r="H3353" s="2">
        <v>81749884</v>
      </c>
    </row>
    <row r="3354" spans="7:8" x14ac:dyDescent="0.25">
      <c r="G3354" s="2" t="str">
        <f ca="1">IFERROR(__xludf.DUMMYFUNCTION("""COMPUTED_VALUE"""),"Bowling for Columbine ")</f>
        <v>Bowling for Columbine </v>
      </c>
      <c r="H3354" s="2">
        <v>21788807</v>
      </c>
    </row>
    <row r="3355" spans="7:8" x14ac:dyDescent="0.25">
      <c r="G3355" s="2" t="str">
        <f ca="1">IFERROR(__xludf.DUMMYFUNCTION("""COMPUTED_VALUE"""),"A Nightmare on Elm Street 2: Freddy's Revenge ")</f>
        <v>A Nightmare on Elm Street 2: Freddy's Revenge </v>
      </c>
      <c r="H3355" s="2">
        <v>17244913</v>
      </c>
    </row>
    <row r="3356" spans="7:8" x14ac:dyDescent="0.25">
      <c r="G3356" s="2" t="str">
        <f ca="1">IFERROR(__xludf.DUMMYFUNCTION("""COMPUTED_VALUE"""),"A Room with a View ")</f>
        <v>A Room with a View </v>
      </c>
      <c r="H3356" s="2">
        <v>27800000</v>
      </c>
    </row>
    <row r="3357" spans="7:8" x14ac:dyDescent="0.25">
      <c r="G3357" s="2" t="str">
        <f ca="1">IFERROR(__xludf.DUMMYFUNCTION("""COMPUTED_VALUE"""),"The Purge ")</f>
        <v>The Purge </v>
      </c>
      <c r="H3357" s="2">
        <v>17966644</v>
      </c>
    </row>
    <row r="3358" spans="7:8" x14ac:dyDescent="0.25">
      <c r="G3358" s="2" t="str">
        <f ca="1">IFERROR(__xludf.DUMMYFUNCTION("""COMPUTED_VALUE"""),"Sinister ")</f>
        <v>Sinister </v>
      </c>
      <c r="H3358" s="2">
        <v>61423650</v>
      </c>
    </row>
    <row r="3359" spans="7:8" x14ac:dyDescent="0.25">
      <c r="G3359" s="2" t="str">
        <f ca="1">IFERROR(__xludf.DUMMYFUNCTION("""COMPUTED_VALUE"""),"Martin Lawrence Live: Runteldat ")</f>
        <v>Martin Lawrence Live: Runteldat </v>
      </c>
      <c r="H3359" s="2">
        <v>45056940</v>
      </c>
    </row>
    <row r="3360" spans="7:8" x14ac:dyDescent="0.25">
      <c r="G3360" s="2" t="str">
        <f ca="1">IFERROR(__xludf.DUMMYFUNCTION("""COMPUTED_VALUE"""),"Air Bud ")</f>
        <v>Air Bud </v>
      </c>
      <c r="H3360" s="2">
        <v>16184015</v>
      </c>
    </row>
    <row r="3361" spans="7:8" x14ac:dyDescent="0.25">
      <c r="G3361" s="2" t="str">
        <f ca="1">IFERROR(__xludf.DUMMYFUNCTION("""COMPUTED_VALUE"""),"Jason Lives: Friday the 13th Part VI ")</f>
        <v>Jason Lives: Friday the 13th Part VI </v>
      </c>
      <c r="H3361" s="2">
        <v>21629916</v>
      </c>
    </row>
    <row r="3362" spans="7:8" x14ac:dyDescent="0.25">
      <c r="G3362" s="2" t="str">
        <f ca="1">IFERROR(__xludf.DUMMYFUNCTION("""COMPUTED_VALUE"""),"The Bridge on the River Kwai ")</f>
        <v>The Bridge on the River Kwai </v>
      </c>
      <c r="H3362" s="2">
        <v>16472057</v>
      </c>
    </row>
    <row r="3363" spans="7:8" x14ac:dyDescent="0.25">
      <c r="G3363" s="2" t="str">
        <f ca="1">IFERROR(__xludf.DUMMYFUNCTION("""COMPUTED_VALUE"""),"Spaced Invaders ")</f>
        <v>Spaced Invaders </v>
      </c>
      <c r="H3363" s="2">
        <v>24200000</v>
      </c>
    </row>
    <row r="3364" spans="7:8" x14ac:dyDescent="0.25">
      <c r="G3364" s="2" t="str">
        <f ca="1">IFERROR(__xludf.DUMMYFUNCTION("""COMPUTED_VALUE"""),"Jason Goes to Hell: The Final Friday ")</f>
        <v>Jason Goes to Hell: The Final Friday </v>
      </c>
      <c r="H3364" s="2">
        <v>12369573</v>
      </c>
    </row>
    <row r="3365" spans="7:8" x14ac:dyDescent="0.25">
      <c r="G3365" s="2" t="str">
        <f ca="1">IFERROR(__xludf.DUMMYFUNCTION("""COMPUTED_VALUE"""),"Dave Chappelle's Block Party ")</f>
        <v>Dave Chappelle's Block Party </v>
      </c>
      <c r="H3365" s="2">
        <v>13435068</v>
      </c>
    </row>
    <row r="3366" spans="7:8" x14ac:dyDescent="0.25">
      <c r="G3366" s="2" t="str">
        <f ca="1">IFERROR(__xludf.DUMMYFUNCTION("""COMPUTED_VALUE"""),"Next Day Air ")</f>
        <v>Next Day Air </v>
      </c>
      <c r="H3366" s="2">
        <v>8694528</v>
      </c>
    </row>
    <row r="3367" spans="7:8" x14ac:dyDescent="0.25">
      <c r="G3367" s="2" t="str">
        <f ca="1">IFERROR(__xludf.DUMMYFUNCTION("""COMPUTED_VALUE"""),"Phat Girlz ")</f>
        <v>Phat Girlz </v>
      </c>
      <c r="H3367" s="2">
        <v>7017041</v>
      </c>
    </row>
    <row r="3368" spans="7:8" x14ac:dyDescent="0.25">
      <c r="G3368" s="2" t="str">
        <f ca="1">IFERROR(__xludf.DUMMYFUNCTION("""COMPUTED_VALUE"""),"Before Midnight ")</f>
        <v>Before Midnight </v>
      </c>
      <c r="H3368" s="2">
        <v>4059537</v>
      </c>
    </row>
    <row r="3369" spans="7:8" x14ac:dyDescent="0.25">
      <c r="G3369" s="2" t="str">
        <f ca="1">IFERROR(__xludf.DUMMYFUNCTION("""COMPUTED_VALUE"""),"Teen Wolf Too ")</f>
        <v>Teen Wolf Too </v>
      </c>
      <c r="H3369" s="2">
        <v>5114507</v>
      </c>
    </row>
    <row r="3370" spans="7:8" x14ac:dyDescent="0.25">
      <c r="G3370" s="2" t="str">
        <f ca="1">IFERROR(__xludf.DUMMYFUNCTION("""COMPUTED_VALUE"""),"Phantasm II ")</f>
        <v>Phantasm II </v>
      </c>
      <c r="H3370" s="2">
        <v>4888703</v>
      </c>
    </row>
    <row r="3371" spans="7:8" x14ac:dyDescent="0.25">
      <c r="G3371" s="2" t="str">
        <f ca="1">IFERROR(__xludf.DUMMYFUNCTION("""COMPUTED_VALUE"""),"Real Women Have Curves ")</f>
        <v>Real Women Have Curves </v>
      </c>
      <c r="H3371" s="2">
        <v>4282851</v>
      </c>
    </row>
    <row r="3372" spans="7:8" x14ac:dyDescent="0.25">
      <c r="G3372" s="2" t="str">
        <f ca="1">IFERROR(__xludf.DUMMYFUNCTION("""COMPUTED_VALUE"""),"East Is East ")</f>
        <v>East Is East </v>
      </c>
      <c r="H3372" s="2">
        <v>2844929</v>
      </c>
    </row>
    <row r="3373" spans="7:8" x14ac:dyDescent="0.25">
      <c r="G3373" s="2" t="str">
        <f ca="1">IFERROR(__xludf.DUMMYFUNCTION("""COMPUTED_VALUE"""),"Whipped ")</f>
        <v>Whipped </v>
      </c>
      <c r="H3373" s="2">
        <v>2270647</v>
      </c>
    </row>
    <row r="3374" spans="7:8" x14ac:dyDescent="0.25">
      <c r="G3374" s="2" t="str">
        <f ca="1">IFERROR(__xludf.DUMMYFUNCTION("""COMPUTED_VALUE"""),"Kama Sutra: A Tale of Love ")</f>
        <v>Kama Sutra: A Tale of Love </v>
      </c>
      <c r="H3374" s="2">
        <v>1142507</v>
      </c>
    </row>
    <row r="3375" spans="7:8" x14ac:dyDescent="0.25">
      <c r="G3375" s="2" t="str">
        <f ca="1">IFERROR(__xludf.DUMMYFUNCTION("""COMPUTED_VALUE"""),"Warlock: The Armageddon ")</f>
        <v>Warlock: The Armageddon </v>
      </c>
      <c r="H3375" s="2">
        <v>1109095</v>
      </c>
    </row>
    <row r="3376" spans="7:8" x14ac:dyDescent="0.25">
      <c r="G3376" s="2" t="str">
        <f ca="1">IFERROR(__xludf.DUMMYFUNCTION("""COMPUTED_VALUE"""),"8 Heads in a Duffel Bag ")</f>
        <v>8 Heads in a Duffel Bag </v>
      </c>
      <c r="H3376" s="2">
        <v>902679</v>
      </c>
    </row>
    <row r="3377" spans="7:8" x14ac:dyDescent="0.25">
      <c r="G3377" s="2" t="str">
        <f ca="1">IFERROR(__xludf.DUMMYFUNCTION("""COMPUTED_VALUE"""),"Thirteen Conversations About One Thing ")</f>
        <v>Thirteen Conversations About One Thing </v>
      </c>
      <c r="H3377" s="2">
        <v>559990</v>
      </c>
    </row>
    <row r="3378" spans="7:8" x14ac:dyDescent="0.25">
      <c r="G3378" s="2" t="str">
        <f ca="1">IFERROR(__xludf.DUMMYFUNCTION("""COMPUTED_VALUE"""),"Jawbreaker ")</f>
        <v>Jawbreaker </v>
      </c>
      <c r="H3378" s="2">
        <v>-1212565</v>
      </c>
    </row>
    <row r="3379" spans="7:8" x14ac:dyDescent="0.25">
      <c r="G3379" s="2" t="str">
        <f ca="1">IFERROR(__xludf.DUMMYFUNCTION("""COMPUTED_VALUE"""),"Basquiat ")</f>
        <v>Basquiat </v>
      </c>
      <c r="H3379" s="2">
        <v>-428053</v>
      </c>
    </row>
    <row r="3380" spans="7:8" x14ac:dyDescent="0.25">
      <c r="G3380" s="2" t="str">
        <f ca="1">IFERROR(__xludf.DUMMYFUNCTION("""COMPUTED_VALUE"""),"Tsotsi ")</f>
        <v>Tsotsi </v>
      </c>
      <c r="H3380" s="2">
        <v>-338009</v>
      </c>
    </row>
    <row r="3381" spans="7:8" x14ac:dyDescent="0.25">
      <c r="G3381" s="2" t="str">
        <f ca="1">IFERROR(__xludf.DUMMYFUNCTION("""COMPUTED_VALUE"""),"Happiness ")</f>
        <v>Happiness </v>
      </c>
      <c r="H3381" s="2">
        <v>-87637</v>
      </c>
    </row>
    <row r="3382" spans="7:8" x14ac:dyDescent="0.25">
      <c r="G3382" s="2" t="str">
        <f ca="1">IFERROR(__xludf.DUMMYFUNCTION("""COMPUTED_VALUE"""),"DysFunktional Family ")</f>
        <v>DysFunktional Family </v>
      </c>
      <c r="H3382" s="2">
        <v>0</v>
      </c>
    </row>
    <row r="3383" spans="7:8" x14ac:dyDescent="0.25">
      <c r="G3383" s="2" t="str">
        <f ca="1">IFERROR(__xludf.DUMMYFUNCTION("""COMPUTED_VALUE"""),"Tusk ")</f>
        <v>Tusk </v>
      </c>
      <c r="H3383" s="2">
        <v>-776010</v>
      </c>
    </row>
    <row r="3384" spans="7:8" x14ac:dyDescent="0.25">
      <c r="G3384" s="2" t="str">
        <f ca="1">IFERROR(__xludf.DUMMYFUNCTION("""COMPUTED_VALUE"""),"Oldboy ")</f>
        <v>Oldboy </v>
      </c>
      <c r="H3384" s="2">
        <v>-1178017</v>
      </c>
    </row>
    <row r="3385" spans="7:8" x14ac:dyDescent="0.25">
      <c r="G3385" s="2" t="str">
        <f ca="1">IFERROR(__xludf.DUMMYFUNCTION("""COMPUTED_VALUE"""),"Letters to God ")</f>
        <v>Letters to God </v>
      </c>
      <c r="H3385" s="2">
        <v>-818710</v>
      </c>
    </row>
    <row r="3386" spans="7:8" x14ac:dyDescent="0.25">
      <c r="G3386" s="2" t="str">
        <f ca="1">IFERROR(__xludf.DUMMYFUNCTION("""COMPUTED_VALUE"""),"Hobo with a Shotgun ")</f>
        <v>Hobo with a Shotgun </v>
      </c>
      <c r="H3386" s="2">
        <v>-651422</v>
      </c>
    </row>
    <row r="3387" spans="7:8" x14ac:dyDescent="0.25">
      <c r="G3387" s="2" t="str">
        <f ca="1">IFERROR(__xludf.DUMMYFUNCTION("""COMPUTED_VALUE"""),"Compadres ")</f>
        <v>Compadres </v>
      </c>
      <c r="H3387" s="2">
        <v>-2296998</v>
      </c>
    </row>
    <row r="3388" spans="7:8" x14ac:dyDescent="0.25">
      <c r="G3388" s="2" t="str">
        <f ca="1">IFERROR(__xludf.DUMMYFUNCTION("""COMPUTED_VALUE"""),"Bachelorette ")</f>
        <v>Bachelorette </v>
      </c>
      <c r="H3388" s="2">
        <v>105269</v>
      </c>
    </row>
    <row r="3389" spans="7:8" x14ac:dyDescent="0.25">
      <c r="G3389" s="2" t="str">
        <f ca="1">IFERROR(__xludf.DUMMYFUNCTION("""COMPUTED_VALUE"""),"Tim and Eric's Billion Dollar Movie ")</f>
        <v>Tim and Eric's Billion Dollar Movie </v>
      </c>
      <c r="H3389" s="2">
        <v>-2581732</v>
      </c>
    </row>
    <row r="3390" spans="7:8" x14ac:dyDescent="0.25">
      <c r="G3390" s="2" t="str">
        <f ca="1">IFERROR(__xludf.DUMMYFUNCTION("""COMPUTED_VALUE"""),"Summer Storm ")</f>
        <v>Summer Storm </v>
      </c>
      <c r="H3390" s="2">
        <v>-2799197</v>
      </c>
    </row>
    <row r="3391" spans="7:8" x14ac:dyDescent="0.25">
      <c r="G3391" s="2" t="str">
        <f ca="1">IFERROR(__xludf.DUMMYFUNCTION("""COMPUTED_VALUE"""),"Fort McCoy ")</f>
        <v>Fort McCoy </v>
      </c>
      <c r="H3391" s="2">
        <v>-2604984</v>
      </c>
    </row>
    <row r="3392" spans="7:8" x14ac:dyDescent="0.25">
      <c r="G3392" s="2" t="str">
        <f ca="1">IFERROR(__xludf.DUMMYFUNCTION("""COMPUTED_VALUE"""),"Chain Letter ")</f>
        <v>Chain Letter </v>
      </c>
      <c r="H3392" s="2">
        <v>-2926322</v>
      </c>
    </row>
    <row r="3393" spans="7:8" x14ac:dyDescent="0.25">
      <c r="G3393" s="2" t="str">
        <f ca="1">IFERROR(__xludf.DUMMYFUNCTION("""COMPUTED_VALUE"""),"Just Looking ")</f>
        <v>Just Looking </v>
      </c>
      <c r="H3393" s="2">
        <v>-4857000</v>
      </c>
    </row>
    <row r="3394" spans="7:8" x14ac:dyDescent="0.25">
      <c r="G3394" s="2" t="str">
        <f ca="1">IFERROR(__xludf.DUMMYFUNCTION("""COMPUTED_VALUE"""),"The Divide ")</f>
        <v>The Divide </v>
      </c>
      <c r="H3394" s="2">
        <v>-2960148</v>
      </c>
    </row>
    <row r="3395" spans="7:8" x14ac:dyDescent="0.25">
      <c r="G3395" s="2" t="str">
        <f ca="1">IFERROR(__xludf.DUMMYFUNCTION("""COMPUTED_VALUE"""),"Tanner Hall ")</f>
        <v>Tanner Hall </v>
      </c>
      <c r="H3395" s="2">
        <v>-2978000</v>
      </c>
    </row>
    <row r="3396" spans="7:8" x14ac:dyDescent="0.25">
      <c r="G3396" s="2" t="str">
        <f ca="1">IFERROR(__xludf.DUMMYFUNCTION("""COMPUTED_VALUE"""),"Central Station ")</f>
        <v>Central Station </v>
      </c>
      <c r="H3396" s="2">
        <v>-2994995</v>
      </c>
    </row>
    <row r="3397" spans="7:8" x14ac:dyDescent="0.25">
      <c r="G3397" s="2" t="str">
        <f ca="1">IFERROR(__xludf.DUMMYFUNCTION("""COMPUTED_VALUE"""),"Boynton Beach Club ")</f>
        <v>Boynton Beach Club </v>
      </c>
      <c r="H3397" s="2">
        <v>2695428</v>
      </c>
    </row>
    <row r="3398" spans="7:8" x14ac:dyDescent="0.25">
      <c r="G3398" s="2" t="str">
        <f ca="1">IFERROR(__xludf.DUMMYFUNCTION("""COMPUTED_VALUE"""),"Freakonomics ")</f>
        <v>Freakonomics </v>
      </c>
      <c r="H3398" s="2">
        <v>1623749</v>
      </c>
    </row>
    <row r="3399" spans="7:8" x14ac:dyDescent="0.25">
      <c r="G3399" s="2" t="str">
        <f ca="1">IFERROR(__xludf.DUMMYFUNCTION("""COMPUTED_VALUE"""),"High Tension ")</f>
        <v>High Tension </v>
      </c>
      <c r="H3399" s="2">
        <v>-2899325</v>
      </c>
    </row>
    <row r="3400" spans="7:8" x14ac:dyDescent="0.25">
      <c r="G3400" s="2" t="str">
        <f ca="1">IFERROR(__xludf.DUMMYFUNCTION("""COMPUTED_VALUE"""),"Hustle &amp; Flow ")</f>
        <v>Hustle &amp; Flow </v>
      </c>
      <c r="H3400" s="2">
        <v>1445438</v>
      </c>
    </row>
    <row r="3401" spans="7:8" x14ac:dyDescent="0.25">
      <c r="G3401" s="2" t="str">
        <f ca="1">IFERROR(__xludf.DUMMYFUNCTION("""COMPUTED_VALUE"""),"Some Like It Hot ")</f>
        <v>Some Like It Hot </v>
      </c>
      <c r="H3401" s="2">
        <v>14201636</v>
      </c>
    </row>
    <row r="3402" spans="7:8" x14ac:dyDescent="0.25">
      <c r="G3402" s="2" t="str">
        <f ca="1">IFERROR(__xludf.DUMMYFUNCTION("""COMPUTED_VALUE"""),"Friday the 13th Part VII: The New Blood ")</f>
        <v>Friday the 13th Part VII: The New Blood </v>
      </c>
      <c r="H3402" s="2">
        <v>22116152</v>
      </c>
    </row>
    <row r="3403" spans="7:8" x14ac:dyDescent="0.25">
      <c r="G3403" s="2" t="str">
        <f ca="1">IFERROR(__xludf.DUMMYFUNCTION("""COMPUTED_VALUE"""),"The Wizard of Oz ")</f>
        <v>The Wizard of Oz </v>
      </c>
      <c r="H3403" s="2">
        <v>16370001</v>
      </c>
    </row>
    <row r="3404" spans="7:8" x14ac:dyDescent="0.25">
      <c r="G3404" s="2" t="str">
        <f ca="1">IFERROR(__xludf.DUMMYFUNCTION("""COMPUTED_VALUE"""),"Young Frankenstein ")</f>
        <v>Young Frankenstein </v>
      </c>
      <c r="H3404" s="2">
        <v>19402612</v>
      </c>
    </row>
    <row r="3405" spans="7:8" x14ac:dyDescent="0.25">
      <c r="G3405" s="2" t="str">
        <f ca="1">IFERROR(__xludf.DUMMYFUNCTION("""COMPUTED_VALUE"""),"Diary of the Dead ")</f>
        <v>Diary of the Dead </v>
      </c>
      <c r="H3405" s="2">
        <v>83500000</v>
      </c>
    </row>
    <row r="3406" spans="7:8" x14ac:dyDescent="0.25">
      <c r="G3406" s="2" t="str">
        <f ca="1">IFERROR(__xludf.DUMMYFUNCTION("""COMPUTED_VALUE"""),"Ulee's Gold ")</f>
        <v>Ulee's Gold </v>
      </c>
      <c r="H3406" s="2">
        <v>-1047380</v>
      </c>
    </row>
    <row r="3407" spans="7:8" x14ac:dyDescent="0.25">
      <c r="G3407" s="2" t="str">
        <f ca="1">IFERROR(__xludf.DUMMYFUNCTION("""COMPUTED_VALUE"""),"Blazing Saddles ")</f>
        <v>Blazing Saddles </v>
      </c>
      <c r="H3407" s="2">
        <v>6354736</v>
      </c>
    </row>
    <row r="3408" spans="7:8" x14ac:dyDescent="0.25">
      <c r="G3408" s="2" t="str">
        <f ca="1">IFERROR(__xludf.DUMMYFUNCTION("""COMPUTED_VALUE"""),"Friday the 13th: The Final Chapter ")</f>
        <v>Friday the 13th: The Final Chapter </v>
      </c>
      <c r="H3408" s="2">
        <v>116900000</v>
      </c>
    </row>
    <row r="3409" spans="7:8" x14ac:dyDescent="0.25">
      <c r="G3409" s="2" t="str">
        <f ca="1">IFERROR(__xludf.DUMMYFUNCTION("""COMPUTED_VALUE"""),"Maurice ")</f>
        <v>Maurice </v>
      </c>
      <c r="H3409" s="2">
        <v>30800000</v>
      </c>
    </row>
    <row r="3410" spans="7:8" x14ac:dyDescent="0.25">
      <c r="G3410" s="2" t="str">
        <f ca="1">IFERROR(__xludf.DUMMYFUNCTION("""COMPUTED_VALUE"""),"Beer League ")</f>
        <v>Beer League </v>
      </c>
      <c r="H3410" s="2">
        <v>530592</v>
      </c>
    </row>
    <row r="3411" spans="7:8" x14ac:dyDescent="0.25">
      <c r="G3411" s="2" t="str">
        <f ca="1">IFERROR(__xludf.DUMMYFUNCTION("""COMPUTED_VALUE"""),"Timecrimes ")</f>
        <v>Timecrimes </v>
      </c>
      <c r="H3411" s="2">
        <v>-2325000</v>
      </c>
    </row>
    <row r="3412" spans="7:8" x14ac:dyDescent="0.25">
      <c r="G3412" s="2" t="str">
        <f ca="1">IFERROR(__xludf.DUMMYFUNCTION("""COMPUTED_VALUE"""),"A Haunted House ")</f>
        <v>A Haunted House </v>
      </c>
      <c r="H3412" s="2">
        <v>-2561892</v>
      </c>
    </row>
    <row r="3413" spans="7:8" x14ac:dyDescent="0.25">
      <c r="G3413" s="2" t="str">
        <f ca="1">IFERROR(__xludf.DUMMYFUNCTION("""COMPUTED_VALUE"""),"2016: Obama's America ")</f>
        <v>2016: Obama's America </v>
      </c>
      <c r="H3413" s="2">
        <v>37541683</v>
      </c>
    </row>
    <row r="3414" spans="7:8" x14ac:dyDescent="0.25">
      <c r="G3414" s="2" t="str">
        <f ca="1">IFERROR(__xludf.DUMMYFUNCTION("""COMPUTED_VALUE"""),"That Thing You Do! ")</f>
        <v>That Thing You Do! </v>
      </c>
      <c r="H3414" s="2">
        <v>30849949</v>
      </c>
    </row>
    <row r="3415" spans="7:8" x14ac:dyDescent="0.25">
      <c r="G3415" s="2" t="str">
        <f ca="1">IFERROR(__xludf.DUMMYFUNCTION("""COMPUTED_VALUE"""),"Halloween III: Season of the Witch ")</f>
        <v>Halloween III: Season of the Witch </v>
      </c>
      <c r="H3415" s="2">
        <v>-190187</v>
      </c>
    </row>
    <row r="3416" spans="7:8" x14ac:dyDescent="0.25">
      <c r="G3416" s="2" t="str">
        <f ca="1">IFERROR(__xludf.DUMMYFUNCTION("""COMPUTED_VALUE"""),"Kevin Hart: Let Me Explain ")</f>
        <v>Kevin Hart: Let Me Explain </v>
      </c>
      <c r="H3416" s="2">
        <v>11900000</v>
      </c>
    </row>
    <row r="3417" spans="7:8" x14ac:dyDescent="0.25">
      <c r="G3417" s="2" t="str">
        <f ca="1">IFERROR(__xludf.DUMMYFUNCTION("""COMPUTED_VALUE"""),"My Own Private Idaho ")</f>
        <v>My Own Private Idaho </v>
      </c>
      <c r="H3417" s="2">
        <v>29730907</v>
      </c>
    </row>
    <row r="3418" spans="7:8" x14ac:dyDescent="0.25">
      <c r="G3418" s="2" t="str">
        <f ca="1">IFERROR(__xludf.DUMMYFUNCTION("""COMPUTED_VALUE"""),"Garden State ")</f>
        <v>Garden State </v>
      </c>
      <c r="H3418" s="2">
        <v>3901336</v>
      </c>
    </row>
    <row r="3419" spans="7:8" x14ac:dyDescent="0.25">
      <c r="G3419" s="2" t="str">
        <f ca="1">IFERROR(__xludf.DUMMYFUNCTION("""COMPUTED_VALUE"""),"Before Sunrise ")</f>
        <v>Before Sunrise </v>
      </c>
      <c r="H3419" s="2">
        <v>24281723</v>
      </c>
    </row>
    <row r="3420" spans="7:8" x14ac:dyDescent="0.25">
      <c r="G3420" s="2" t="str">
        <f ca="1">IFERROR(__xludf.DUMMYFUNCTION("""COMPUTED_VALUE"""),"Jesus' Son ")</f>
        <v>Jesus' Son </v>
      </c>
      <c r="H3420" s="2">
        <v>2900000</v>
      </c>
    </row>
    <row r="3421" spans="7:8" x14ac:dyDescent="0.25">
      <c r="G3421" s="2" t="str">
        <f ca="1">IFERROR(__xludf.DUMMYFUNCTION("""COMPUTED_VALUE"""),"Robot &amp; Frank ")</f>
        <v>Robot &amp; Frank </v>
      </c>
      <c r="H3421" s="2">
        <v>-1217916</v>
      </c>
    </row>
    <row r="3422" spans="7:8" x14ac:dyDescent="0.25">
      <c r="G3422" s="2" t="str">
        <f ca="1">IFERROR(__xludf.DUMMYFUNCTION("""COMPUTED_VALUE"""),"My Life Without Me ")</f>
        <v>My Life Without Me </v>
      </c>
      <c r="H3422" s="2">
        <v>825638</v>
      </c>
    </row>
    <row r="3423" spans="7:8" x14ac:dyDescent="0.25">
      <c r="G3423" s="2" t="str">
        <f ca="1">IFERROR(__xludf.DUMMYFUNCTION("""COMPUTED_VALUE"""),"The Spectacular Now ")</f>
        <v>The Spectacular Now </v>
      </c>
      <c r="H3423" s="2">
        <v>-1604408</v>
      </c>
    </row>
    <row r="3424" spans="7:8" x14ac:dyDescent="0.25">
      <c r="G3424" s="2" t="str">
        <f ca="1">IFERROR(__xludf.DUMMYFUNCTION("""COMPUTED_VALUE"""),"Marilyn Hotchkiss' Ballroom Dancing and Charm School ")</f>
        <v>Marilyn Hotchkiss' Ballroom Dancing and Charm School </v>
      </c>
      <c r="H3424" s="2">
        <v>4351969</v>
      </c>
    </row>
    <row r="3425" spans="7:8" x14ac:dyDescent="0.25">
      <c r="G3425" s="2" t="str">
        <f ca="1">IFERROR(__xludf.DUMMYFUNCTION("""COMPUTED_VALUE"""),"Religulous ")</f>
        <v>Religulous </v>
      </c>
      <c r="H3425" s="2">
        <v>299658</v>
      </c>
    </row>
    <row r="3426" spans="7:8" x14ac:dyDescent="0.25">
      <c r="G3426" s="2" t="str">
        <f ca="1">IFERROR(__xludf.DUMMYFUNCTION("""COMPUTED_VALUE"""),"Fuel ")</f>
        <v>Fuel </v>
      </c>
      <c r="H3426" s="2">
        <v>10495673</v>
      </c>
    </row>
    <row r="3427" spans="7:8" x14ac:dyDescent="0.25">
      <c r="G3427" s="2" t="str">
        <f ca="1">IFERROR(__xludf.DUMMYFUNCTION("""COMPUTED_VALUE"""),"Valley of the Heart's Delight ")</f>
        <v>Valley of the Heart's Delight </v>
      </c>
      <c r="H3427" s="2">
        <v>-2326217</v>
      </c>
    </row>
    <row r="3428" spans="7:8" x14ac:dyDescent="0.25">
      <c r="G3428" s="2" t="str">
        <f ca="1">IFERROR(__xludf.DUMMYFUNCTION("""COMPUTED_VALUE"""),"Eye of the Dolphin ")</f>
        <v>Eye of the Dolphin </v>
      </c>
      <c r="H3428" s="2">
        <v>-2381334</v>
      </c>
    </row>
    <row r="3429" spans="7:8" x14ac:dyDescent="0.25">
      <c r="G3429" s="2" t="str">
        <f ca="1">IFERROR(__xludf.DUMMYFUNCTION("""COMPUTED_VALUE"""),"8: The Mormon Proposition ")</f>
        <v>8: The Mormon Proposition </v>
      </c>
      <c r="H3429" s="2">
        <v>-2428096</v>
      </c>
    </row>
    <row r="3430" spans="7:8" x14ac:dyDescent="0.25">
      <c r="G3430" s="2" t="str">
        <f ca="1">IFERROR(__xludf.DUMMYFUNCTION("""COMPUTED_VALUE"""),"The Other End of the Line ")</f>
        <v>The Other End of the Line </v>
      </c>
      <c r="H3430" s="2">
        <v>-2400149</v>
      </c>
    </row>
    <row r="3431" spans="7:8" x14ac:dyDescent="0.25">
      <c r="G3431" s="2" t="str">
        <f ca="1">IFERROR(__xludf.DUMMYFUNCTION("""COMPUTED_VALUE"""),"Anatomy ")</f>
        <v>Anatomy </v>
      </c>
      <c r="H3431" s="2">
        <v>-13884496</v>
      </c>
    </row>
    <row r="3432" spans="7:8" x14ac:dyDescent="0.25">
      <c r="G3432" s="2" t="str">
        <f ca="1">IFERROR(__xludf.DUMMYFUNCTION("""COMPUTED_VALUE"""),"Sleep Dealer ")</f>
        <v>Sleep Dealer </v>
      </c>
      <c r="H3432" s="2">
        <v>-8394275</v>
      </c>
    </row>
    <row r="3433" spans="7:8" x14ac:dyDescent="0.25">
      <c r="G3433" s="2" t="str">
        <f ca="1">IFERROR(__xludf.DUMMYFUNCTION("""COMPUTED_VALUE"""),"Super ")</f>
        <v>Super </v>
      </c>
      <c r="H3433" s="2">
        <v>-2424273</v>
      </c>
    </row>
    <row r="3434" spans="7:8" x14ac:dyDescent="0.25">
      <c r="G3434" s="2" t="str">
        <f ca="1">IFERROR(__xludf.DUMMYFUNCTION("""COMPUTED_VALUE"""),"Get on the Bus ")</f>
        <v>Get on the Bus </v>
      </c>
      <c r="H3434" s="2">
        <v>-2177843</v>
      </c>
    </row>
    <row r="3435" spans="7:8" x14ac:dyDescent="0.25">
      <c r="G3435" s="2" t="str">
        <f ca="1">IFERROR(__xludf.DUMMYFUNCTION("""COMPUTED_VALUE"""),"Thr3e ")</f>
        <v>Thr3e </v>
      </c>
      <c r="H3435" s="2">
        <v>3331103</v>
      </c>
    </row>
    <row r="3436" spans="7:8" x14ac:dyDescent="0.25">
      <c r="G3436" s="2" t="str">
        <f ca="1">IFERROR(__xludf.DUMMYFUNCTION("""COMPUTED_VALUE"""),"This Is England ")</f>
        <v>This Is England </v>
      </c>
      <c r="H3436" s="2">
        <v>-1421092</v>
      </c>
    </row>
    <row r="3437" spans="7:8" x14ac:dyDescent="0.25">
      <c r="G3437" s="2" t="str">
        <f ca="1">IFERROR(__xludf.DUMMYFUNCTION("""COMPUTED_VALUE"""),"Go for It! ")</f>
        <v>Go for It! </v>
      </c>
      <c r="H3437" s="2">
        <v>-1172081</v>
      </c>
    </row>
    <row r="3438" spans="7:8" x14ac:dyDescent="0.25">
      <c r="G3438" s="2" t="str">
        <f ca="1">IFERROR(__xludf.DUMMYFUNCTION("""COMPUTED_VALUE"""),"Fantasia ")</f>
        <v>Fantasia </v>
      </c>
      <c r="H3438" s="2">
        <v>-2271261</v>
      </c>
    </row>
    <row r="3439" spans="7:8" x14ac:dyDescent="0.25">
      <c r="G3439" s="2" t="str">
        <f ca="1">IFERROR(__xludf.DUMMYFUNCTION("""COMPUTED_VALUE"""),"Friday the 13th Part III ")</f>
        <v>Friday the 13th Part III </v>
      </c>
      <c r="H3439" s="2">
        <v>74120000</v>
      </c>
    </row>
    <row r="3440" spans="7:8" x14ac:dyDescent="0.25">
      <c r="G3440" s="2" t="str">
        <f ca="1">IFERROR(__xludf.DUMMYFUNCTION("""COMPUTED_VALUE"""),"Friday the 13th: A New Beginning ")</f>
        <v>Friday the 13th: A New Beginning </v>
      </c>
      <c r="H3440" s="2">
        <v>32200000</v>
      </c>
    </row>
    <row r="3441" spans="7:8" x14ac:dyDescent="0.25">
      <c r="G3441" s="2" t="str">
        <f ca="1">IFERROR(__xludf.DUMMYFUNCTION("""COMPUTED_VALUE"""),"The Last Sin Eater ")</f>
        <v>The Last Sin Eater </v>
      </c>
      <c r="H3441" s="2">
        <v>19100000</v>
      </c>
    </row>
    <row r="3442" spans="7:8" x14ac:dyDescent="0.25">
      <c r="G3442" s="2" t="str">
        <f ca="1">IFERROR(__xludf.DUMMYFUNCTION("""COMPUTED_VALUE"""),"Do You Believe? ")</f>
        <v>Do You Believe? </v>
      </c>
      <c r="H3442" s="2">
        <v>-1820357</v>
      </c>
    </row>
    <row r="3443" spans="7:8" x14ac:dyDescent="0.25">
      <c r="G3443" s="2" t="str">
        <f ca="1">IFERROR(__xludf.DUMMYFUNCTION("""COMPUTED_VALUE"""),"The Best Years of Our Lives ")</f>
        <v>The Best Years of Our Lives </v>
      </c>
      <c r="H3443" s="2">
        <v>10685267</v>
      </c>
    </row>
    <row r="3444" spans="7:8" x14ac:dyDescent="0.25">
      <c r="G3444" s="2" t="str">
        <f ca="1">IFERROR(__xludf.DUMMYFUNCTION("""COMPUTED_VALUE"""),"Elling ")</f>
        <v>Elling </v>
      </c>
      <c r="H3444" s="2">
        <v>21550000</v>
      </c>
    </row>
    <row r="3445" spans="7:8" x14ac:dyDescent="0.25">
      <c r="G3445" s="2" t="str">
        <f ca="1">IFERROR(__xludf.DUMMYFUNCTION("""COMPUTED_VALUE"""),"Mi America ")</f>
        <v>Mi America </v>
      </c>
      <c r="H3445" s="2">
        <v>-15186564</v>
      </c>
    </row>
    <row r="3446" spans="7:8" x14ac:dyDescent="0.25">
      <c r="G3446" s="2" t="str">
        <f ca="1">IFERROR(__xludf.DUMMYFUNCTION("""COMPUTED_VALUE"""),"From Russia with Love ")</f>
        <v>From Russia with Love </v>
      </c>
      <c r="H3446" s="2">
        <v>-2096670</v>
      </c>
    </row>
    <row r="3447" spans="7:8" x14ac:dyDescent="0.25">
      <c r="G3447" s="2" t="str">
        <f ca="1">IFERROR(__xludf.DUMMYFUNCTION("""COMPUTED_VALUE"""),"The Toxic Avenger Part II ")</f>
        <v>The Toxic Avenger Part II </v>
      </c>
      <c r="H3447" s="2">
        <v>22800000</v>
      </c>
    </row>
    <row r="3448" spans="7:8" x14ac:dyDescent="0.25">
      <c r="G3448" s="2" t="str">
        <f ca="1">IFERROR(__xludf.DUMMYFUNCTION("""COMPUTED_VALUE"""),"It Follows ")</f>
        <v>It Follows </v>
      </c>
      <c r="H3448" s="2">
        <v>-1507034</v>
      </c>
    </row>
    <row r="3449" spans="7:8" x14ac:dyDescent="0.25">
      <c r="G3449" s="2" t="str">
        <f ca="1">IFERROR(__xludf.DUMMYFUNCTION("""COMPUTED_VALUE"""),"Mad Max 2: The Road Warrior ")</f>
        <v>Mad Max 2: The Road Warrior </v>
      </c>
      <c r="H3449" s="2">
        <v>12673301</v>
      </c>
    </row>
    <row r="3450" spans="7:8" x14ac:dyDescent="0.25">
      <c r="G3450" s="2" t="str">
        <f ca="1">IFERROR(__xludf.DUMMYFUNCTION("""COMPUTED_VALUE"""),"The Legend of Drunken Master ")</f>
        <v>The Legend of Drunken Master </v>
      </c>
      <c r="H3450" s="2">
        <v>7003011</v>
      </c>
    </row>
    <row r="3451" spans="7:8" x14ac:dyDescent="0.25">
      <c r="G3451" s="2" t="str">
        <f ca="1">IFERROR(__xludf.DUMMYFUNCTION("""COMPUTED_VALUE"""),"Boys Don't Cry ")</f>
        <v>Boys Don't Cry </v>
      </c>
      <c r="H3451" s="2">
        <v>9546543</v>
      </c>
    </row>
    <row r="3452" spans="7:8" x14ac:dyDescent="0.25">
      <c r="G3452" s="2" t="str">
        <f ca="1">IFERROR(__xludf.DUMMYFUNCTION("""COMPUTED_VALUE"""),"Silent House ")</f>
        <v>Silent House </v>
      </c>
      <c r="H3452" s="2">
        <v>9533945</v>
      </c>
    </row>
    <row r="3453" spans="7:8" x14ac:dyDescent="0.25">
      <c r="G3453" s="2" t="str">
        <f ca="1">IFERROR(__xludf.DUMMYFUNCTION("""COMPUTED_VALUE"""),"The Lives of Others ")</f>
        <v>The Lives of Others </v>
      </c>
      <c r="H3453" s="2">
        <v>10555230</v>
      </c>
    </row>
    <row r="3454" spans="7:8" x14ac:dyDescent="0.25">
      <c r="G3454" s="2" t="str">
        <f ca="1">IFERROR(__xludf.DUMMYFUNCTION("""COMPUTED_VALUE"""),"Courageous ")</f>
        <v>Courageous </v>
      </c>
      <c r="H3454" s="2">
        <v>9284657</v>
      </c>
    </row>
    <row r="3455" spans="7:8" x14ac:dyDescent="0.25">
      <c r="G3455" s="2" t="str">
        <f ca="1">IFERROR(__xludf.DUMMYFUNCTION("""COMPUTED_VALUE"""),"The Triplets of Belleville ")</f>
        <v>The Triplets of Belleville </v>
      </c>
      <c r="H3455" s="2">
        <v>32522221</v>
      </c>
    </row>
    <row r="3456" spans="7:8" x14ac:dyDescent="0.25">
      <c r="G3456" s="2" t="str">
        <f ca="1">IFERROR(__xludf.DUMMYFUNCTION("""COMPUTED_VALUE"""),"Smoke Signals ")</f>
        <v>Smoke Signals </v>
      </c>
      <c r="H3456" s="2">
        <v>-2497745</v>
      </c>
    </row>
    <row r="3457" spans="7:8" x14ac:dyDescent="0.25">
      <c r="G3457" s="2" t="str">
        <f ca="1">IFERROR(__xludf.DUMMYFUNCTION("""COMPUTED_VALUE"""),"Before Sunset ")</f>
        <v>Before Sunset </v>
      </c>
      <c r="H3457" s="2">
        <v>4719300</v>
      </c>
    </row>
    <row r="3458" spans="7:8" x14ac:dyDescent="0.25">
      <c r="G3458" s="2" t="str">
        <f ca="1">IFERROR(__xludf.DUMMYFUNCTION("""COMPUTED_VALUE"""),"Amores Perros ")</f>
        <v>Amores Perros </v>
      </c>
      <c r="H3458" s="2">
        <v>3092822</v>
      </c>
    </row>
    <row r="3459" spans="7:8" x14ac:dyDescent="0.25">
      <c r="G3459" s="2" t="str">
        <f ca="1">IFERROR(__xludf.DUMMYFUNCTION("""COMPUTED_VALUE"""),"Thirteen ")</f>
        <v>Thirteen </v>
      </c>
      <c r="H3459" s="2">
        <v>3383834</v>
      </c>
    </row>
    <row r="3460" spans="7:8" x14ac:dyDescent="0.25">
      <c r="G3460" s="2" t="str">
        <f ca="1">IFERROR(__xludf.DUMMYFUNCTION("""COMPUTED_VALUE"""),"Winter's Bone ")</f>
        <v>Winter's Bone </v>
      </c>
      <c r="H3460" s="2">
        <v>3099680</v>
      </c>
    </row>
    <row r="3461" spans="7:8" x14ac:dyDescent="0.25">
      <c r="G3461" s="2" t="str">
        <f ca="1">IFERROR(__xludf.DUMMYFUNCTION("""COMPUTED_VALUE"""),"Me and You and Everyone We Know ")</f>
        <v>Me and You and Everyone We Know </v>
      </c>
      <c r="H3461" s="2">
        <v>4531491</v>
      </c>
    </row>
    <row r="3462" spans="7:8" x14ac:dyDescent="0.25">
      <c r="G3462" s="2" t="str">
        <f ca="1">IFERROR(__xludf.DUMMYFUNCTION("""COMPUTED_VALUE"""),"We Are Your Friends ")</f>
        <v>We Are Your Friends </v>
      </c>
      <c r="H3462" s="2">
        <v>1885134</v>
      </c>
    </row>
    <row r="3463" spans="7:8" x14ac:dyDescent="0.25">
      <c r="G3463" s="2" t="str">
        <f ca="1">IFERROR(__xludf.DUMMYFUNCTION("""COMPUTED_VALUE"""),"Harsh Times ")</f>
        <v>Harsh Times </v>
      </c>
      <c r="H3463" s="2">
        <v>1590010</v>
      </c>
    </row>
    <row r="3464" spans="7:8" x14ac:dyDescent="0.25">
      <c r="G3464" s="2" t="str">
        <f ca="1">IFERROR(__xludf.DUMMYFUNCTION("""COMPUTED_VALUE"""),"Captive ")</f>
        <v>Captive </v>
      </c>
      <c r="H3464" s="2">
        <v>1335839</v>
      </c>
    </row>
    <row r="3465" spans="7:8" x14ac:dyDescent="0.25">
      <c r="G3465" s="2" t="str">
        <f ca="1">IFERROR(__xludf.DUMMYFUNCTION("""COMPUTED_VALUE"""),"Full Frontal ")</f>
        <v>Full Frontal </v>
      </c>
      <c r="H3465" s="2">
        <v>557668</v>
      </c>
    </row>
    <row r="3466" spans="7:8" x14ac:dyDescent="0.25">
      <c r="G3466" s="2" t="str">
        <f ca="1">IFERROR(__xludf.DUMMYFUNCTION("""COMPUTED_VALUE"""),"Witchboard ")</f>
        <v>Witchboard </v>
      </c>
      <c r="H3466" s="2">
        <v>506446</v>
      </c>
    </row>
    <row r="3467" spans="7:8" x14ac:dyDescent="0.25">
      <c r="G3467" s="2" t="str">
        <f ca="1">IFERROR(__xludf.DUMMYFUNCTION("""COMPUTED_VALUE"""),"Shortbus ")</f>
        <v>Shortbus </v>
      </c>
      <c r="H3467" s="2">
        <v>5369373</v>
      </c>
    </row>
    <row r="3468" spans="7:8" x14ac:dyDescent="0.25">
      <c r="G3468" s="2" t="str">
        <f ca="1">IFERROR(__xludf.DUMMYFUNCTION("""COMPUTED_VALUE"""),"Waltz with Bashir ")</f>
        <v>Waltz with Bashir </v>
      </c>
      <c r="H3468" s="2">
        <v>-15622</v>
      </c>
    </row>
    <row r="3469" spans="7:8" x14ac:dyDescent="0.25">
      <c r="G3469" s="2" t="str">
        <f ca="1">IFERROR(__xludf.DUMMYFUNCTION("""COMPUTED_VALUE"""),"The Book of Mormon Movie, Volume 1: The Journey ")</f>
        <v>The Book of Mormon Movie, Volume 1: The Journey </v>
      </c>
      <c r="H3469" s="2">
        <v>783276</v>
      </c>
    </row>
    <row r="3470" spans="7:8" x14ac:dyDescent="0.25">
      <c r="G3470" s="2" t="str">
        <f ca="1">IFERROR(__xludf.DUMMYFUNCTION("""COMPUTED_VALUE"""),"No End in Sight ")</f>
        <v>No End in Sight </v>
      </c>
      <c r="H3470" s="2">
        <v>-901776</v>
      </c>
    </row>
    <row r="3471" spans="7:8" x14ac:dyDescent="0.25">
      <c r="G3471" s="2" t="str">
        <f ca="1">IFERROR(__xludf.DUMMYFUNCTION("""COMPUTED_VALUE"""),"The Diary of a Teenage Girl ")</f>
        <v>The Diary of a Teenage Girl </v>
      </c>
      <c r="H3471" s="2">
        <v>-569815</v>
      </c>
    </row>
    <row r="3472" spans="7:8" x14ac:dyDescent="0.25">
      <c r="G3472" s="2" t="str">
        <f ca="1">IFERROR(__xludf.DUMMYFUNCTION("""COMPUTED_VALUE"""),"In the Shadow of the Moon ")</f>
        <v>In the Shadow of the Moon </v>
      </c>
      <c r="H3472" s="2">
        <v>-522998</v>
      </c>
    </row>
    <row r="3473" spans="7:8" x14ac:dyDescent="0.25">
      <c r="G3473" s="2" t="str">
        <f ca="1">IFERROR(__xludf.DUMMYFUNCTION("""COMPUTED_VALUE"""),"Inside Deep Throat ")</f>
        <v>Inside Deep Throat </v>
      </c>
      <c r="H3473" s="2">
        <v>-865951</v>
      </c>
    </row>
    <row r="3474" spans="7:8" x14ac:dyDescent="0.25">
      <c r="G3474" s="2" t="str">
        <f ca="1">IFERROR(__xludf.DUMMYFUNCTION("""COMPUTED_VALUE"""),"The Virginity Hit ")</f>
        <v>The Virginity Hit </v>
      </c>
      <c r="H3474" s="2">
        <v>-1346379</v>
      </c>
    </row>
    <row r="3475" spans="7:8" x14ac:dyDescent="0.25">
      <c r="G3475" s="2" t="str">
        <f ca="1">IFERROR(__xludf.DUMMYFUNCTION("""COMPUTED_VALUE"""),"House of D ")</f>
        <v>House of D </v>
      </c>
      <c r="H3475" s="2">
        <v>-2864751</v>
      </c>
    </row>
    <row r="3476" spans="7:8" x14ac:dyDescent="0.25">
      <c r="G3476" s="2" t="str">
        <f ca="1">IFERROR(__xludf.DUMMYFUNCTION("""COMPUTED_VALUE"""),"Six-String Samurai ")</f>
        <v>Six-String Samurai </v>
      </c>
      <c r="H3476" s="2">
        <v>-5628919</v>
      </c>
    </row>
    <row r="3477" spans="7:8" x14ac:dyDescent="0.25">
      <c r="G3477" s="2" t="str">
        <f ca="1">IFERROR(__xludf.DUMMYFUNCTION("""COMPUTED_VALUE"""),"Saint John of Las Vegas ")</f>
        <v>Saint John of Las Vegas </v>
      </c>
      <c r="H3477" s="2">
        <v>-1875506</v>
      </c>
    </row>
    <row r="3478" spans="7:8" x14ac:dyDescent="0.25">
      <c r="G3478" s="2" t="str">
        <f ca="1">IFERROR(__xludf.DUMMYFUNCTION("""COMPUTED_VALUE"""),"Stonewall ")</f>
        <v>Stonewall </v>
      </c>
      <c r="H3478" s="2">
        <v>-3699331</v>
      </c>
    </row>
    <row r="3479" spans="7:8" x14ac:dyDescent="0.25">
      <c r="G3479" s="2" t="str">
        <f ca="1">IFERROR(__xludf.DUMMYFUNCTION("""COMPUTED_VALUE"""),"The Missing Person ")</f>
        <v>The Missing Person </v>
      </c>
      <c r="H3479" s="2">
        <v>-13313646</v>
      </c>
    </row>
    <row r="3480" spans="7:8" x14ac:dyDescent="0.25">
      <c r="G3480" s="2" t="str">
        <f ca="1">IFERROR(__xludf.DUMMYFUNCTION("""COMPUTED_VALUE"""),"London ")</f>
        <v>London </v>
      </c>
      <c r="H3480" s="2">
        <v>-1482420</v>
      </c>
    </row>
    <row r="3481" spans="7:8" x14ac:dyDescent="0.25">
      <c r="G3481" s="2" t="str">
        <f ca="1">IFERROR(__xludf.DUMMYFUNCTION("""COMPUTED_VALUE"""),"Sherrybaby ")</f>
        <v>Sherrybaby </v>
      </c>
      <c r="H3481" s="2">
        <v>-1333</v>
      </c>
    </row>
    <row r="3482" spans="7:8" x14ac:dyDescent="0.25">
      <c r="G3482" s="2" t="str">
        <f ca="1">IFERROR(__xludf.DUMMYFUNCTION("""COMPUTED_VALUE"""),"Gangster's Paradise: Jerusalema ")</f>
        <v>Gangster's Paradise: Jerusalema </v>
      </c>
      <c r="H3482" s="2">
        <v>-1801593</v>
      </c>
    </row>
    <row r="3483" spans="7:8" x14ac:dyDescent="0.25">
      <c r="G3483" s="2" t="str">
        <f ca="1">IFERROR(__xludf.DUMMYFUNCTION("""COMPUTED_VALUE"""),"The Lady from Shanghai ")</f>
        <v>The Lady from Shanghai </v>
      </c>
      <c r="H3483" s="2">
        <v>-1995042</v>
      </c>
    </row>
    <row r="3484" spans="7:8" x14ac:dyDescent="0.25">
      <c r="G3484" s="2" t="str">
        <f ca="1">IFERROR(__xludf.DUMMYFUNCTION("""COMPUTED_VALUE"""),"The Ghastly Love of Johnny X ")</f>
        <v>The Ghastly Love of Johnny X </v>
      </c>
      <c r="H3484" s="2">
        <v>-2292073</v>
      </c>
    </row>
    <row r="3485" spans="7:8" x14ac:dyDescent="0.25">
      <c r="G3485" s="2" t="str">
        <f ca="1">IFERROR(__xludf.DUMMYFUNCTION("""COMPUTED_VALUE"""),"River's Edge ")</f>
        <v>River's Edge </v>
      </c>
      <c r="H3485" s="2">
        <v>-1997564</v>
      </c>
    </row>
    <row r="3486" spans="7:8" x14ac:dyDescent="0.25">
      <c r="G3486" s="2" t="str">
        <f ca="1">IFERROR(__xludf.DUMMYFUNCTION("""COMPUTED_VALUE"""),"Northfork ")</f>
        <v>Northfork </v>
      </c>
      <c r="H3486" s="2">
        <v>2700000</v>
      </c>
    </row>
    <row r="3487" spans="7:8" x14ac:dyDescent="0.25">
      <c r="G3487" s="2" t="str">
        <f ca="1">IFERROR(__xludf.DUMMYFUNCTION("""COMPUTED_VALUE"""),"Buried ")</f>
        <v>Buried </v>
      </c>
      <c r="H3487" s="2">
        <v>-479422</v>
      </c>
    </row>
    <row r="3488" spans="7:8" x14ac:dyDescent="0.25">
      <c r="G3488" s="2" t="str">
        <f ca="1">IFERROR(__xludf.DUMMYFUNCTION("""COMPUTED_VALUE"""),"One to Another ")</f>
        <v>One to Another </v>
      </c>
      <c r="H3488" s="2">
        <v>-1971342</v>
      </c>
    </row>
    <row r="3489" spans="7:8" x14ac:dyDescent="0.25">
      <c r="G3489" s="2" t="str">
        <f ca="1">IFERROR(__xludf.DUMMYFUNCTION("""COMPUTED_VALUE"""),"Man on Wire ")</f>
        <v>Man on Wire </v>
      </c>
      <c r="H3489" s="2">
        <v>-1381565</v>
      </c>
    </row>
    <row r="3490" spans="7:8" x14ac:dyDescent="0.25">
      <c r="G3490" s="2" t="str">
        <f ca="1">IFERROR(__xludf.DUMMYFUNCTION("""COMPUTED_VALUE"""),"Brotherly Love ")</f>
        <v>Brotherly Love </v>
      </c>
      <c r="H3490" s="2">
        <v>1957978</v>
      </c>
    </row>
    <row r="3491" spans="7:8" x14ac:dyDescent="0.25">
      <c r="G3491" s="2" t="str">
        <f ca="1">IFERROR(__xludf.DUMMYFUNCTION("""COMPUTED_VALUE"""),"The Last Exorcism ")</f>
        <v>The Last Exorcism </v>
      </c>
      <c r="H3491" s="2">
        <v>-1455956</v>
      </c>
    </row>
    <row r="3492" spans="7:8" x14ac:dyDescent="0.25">
      <c r="G3492" s="2" t="str">
        <f ca="1">IFERROR(__xludf.DUMMYFUNCTION("""COMPUTED_VALUE"""),"El crimen del padre Amaro ")</f>
        <v>El crimen del padre Amaro </v>
      </c>
      <c r="H3492" s="2">
        <v>39190055</v>
      </c>
    </row>
    <row r="3493" spans="7:8" x14ac:dyDescent="0.25">
      <c r="G3493" s="2" t="str">
        <f ca="1">IFERROR(__xludf.DUMMYFUNCTION("""COMPUTED_VALUE"""),"Beasts of the Southern Wild ")</f>
        <v>Beasts of the Southern Wild </v>
      </c>
      <c r="H3493" s="2">
        <v>3909616</v>
      </c>
    </row>
    <row r="3494" spans="7:8" x14ac:dyDescent="0.25">
      <c r="G3494" s="2" t="str">
        <f ca="1">IFERROR(__xludf.DUMMYFUNCTION("""COMPUTED_VALUE"""),"Songcatcher ")</f>
        <v>Songcatcher </v>
      </c>
      <c r="H3494" s="2">
        <v>10984397</v>
      </c>
    </row>
    <row r="3495" spans="7:8" x14ac:dyDescent="0.25">
      <c r="G3495" s="2" t="str">
        <f ca="1">IFERROR(__xludf.DUMMYFUNCTION("""COMPUTED_VALUE"""),"The Greatest Movie Ever Sold ")</f>
        <v>The Greatest Movie Ever Sold </v>
      </c>
      <c r="H3495" s="2">
        <v>1250934</v>
      </c>
    </row>
    <row r="3496" spans="7:8" x14ac:dyDescent="0.25">
      <c r="G3496" s="2" t="str">
        <f ca="1">IFERROR(__xludf.DUMMYFUNCTION("""COMPUTED_VALUE"""),"Travelers and Magicians ")</f>
        <v>Travelers and Magicians </v>
      </c>
      <c r="H3496" s="2">
        <v>-861524</v>
      </c>
    </row>
    <row r="3497" spans="7:8" x14ac:dyDescent="0.25">
      <c r="G3497" s="2" t="str">
        <f ca="1">IFERROR(__xludf.DUMMYFUNCTION("""COMPUTED_VALUE"""),"Run Lola Run ")</f>
        <v>Run Lola Run </v>
      </c>
      <c r="H3497" s="2">
        <v>-1294705</v>
      </c>
    </row>
    <row r="3498" spans="7:8" x14ac:dyDescent="0.25">
      <c r="G3498" s="2" t="str">
        <f ca="1">IFERROR(__xludf.DUMMYFUNCTION("""COMPUTED_VALUE"""),"May ")</f>
        <v>May </v>
      </c>
      <c r="H3498" s="2">
        <v>3767324</v>
      </c>
    </row>
    <row r="3499" spans="7:8" x14ac:dyDescent="0.25">
      <c r="G3499" s="2" t="str">
        <f ca="1">IFERROR(__xludf.DUMMYFUNCTION("""COMPUTED_VALUE"""),"In the Bedroom ")</f>
        <v>In the Bedroom </v>
      </c>
      <c r="H3499" s="2">
        <v>-354460</v>
      </c>
    </row>
    <row r="3500" spans="7:8" x14ac:dyDescent="0.25">
      <c r="G3500" s="2" t="str">
        <f ca="1">IFERROR(__xludf.DUMMYFUNCTION("""COMPUTED_VALUE"""),"I Spit on Your Grave ")</f>
        <v>I Spit on Your Grave </v>
      </c>
      <c r="H3500" s="2">
        <v>34218429</v>
      </c>
    </row>
    <row r="3501" spans="7:8" x14ac:dyDescent="0.25">
      <c r="G3501" s="2" t="str">
        <f ca="1">IFERROR(__xludf.DUMMYFUNCTION("""COMPUTED_VALUE"""),"Happy, Texas ")</f>
        <v>Happy, Texas </v>
      </c>
      <c r="H3501" s="2">
        <v>-1907599</v>
      </c>
    </row>
    <row r="3502" spans="7:8" x14ac:dyDescent="0.25">
      <c r="G3502" s="2" t="str">
        <f ca="1">IFERROR(__xludf.DUMMYFUNCTION("""COMPUTED_VALUE"""),"My Summer of Love ")</f>
        <v>My Summer of Love </v>
      </c>
      <c r="H3502" s="2">
        <v>243649</v>
      </c>
    </row>
    <row r="3503" spans="7:8" x14ac:dyDescent="0.25">
      <c r="G3503" s="2" t="str">
        <f ca="1">IFERROR(__xludf.DUMMYFUNCTION("""COMPUTED_VALUE"""),"The Lunchbox ")</f>
        <v>The Lunchbox </v>
      </c>
      <c r="H3503" s="2">
        <v>-707762</v>
      </c>
    </row>
    <row r="3504" spans="7:8" x14ac:dyDescent="0.25">
      <c r="G3504" s="2" t="str">
        <f ca="1">IFERROR(__xludf.DUMMYFUNCTION("""COMPUTED_VALUE"""),"Yes ")</f>
        <v>Yes </v>
      </c>
      <c r="H3504" s="2">
        <v>3231500</v>
      </c>
    </row>
    <row r="3505" spans="7:8" x14ac:dyDescent="0.25">
      <c r="G3505" s="2" t="str">
        <f ca="1">IFERROR(__xludf.DUMMYFUNCTION("""COMPUTED_VALUE"""),"Foolish ")</f>
        <v>Foolish </v>
      </c>
      <c r="H3505" s="2">
        <v>-603965</v>
      </c>
    </row>
    <row r="3506" spans="7:8" x14ac:dyDescent="0.25">
      <c r="G3506" s="2" t="str">
        <f ca="1">IFERROR(__xludf.DUMMYFUNCTION("""COMPUTED_VALUE"""),"Caramel ")</f>
        <v>Caramel </v>
      </c>
      <c r="H3506" s="2">
        <v>4026908</v>
      </c>
    </row>
    <row r="3507" spans="7:8" x14ac:dyDescent="0.25">
      <c r="G3507" s="2" t="str">
        <f ca="1">IFERROR(__xludf.DUMMYFUNCTION("""COMPUTED_VALUE"""),"The Bubble ")</f>
        <v>The Bubble </v>
      </c>
      <c r="H3507" s="2">
        <v>-239409</v>
      </c>
    </row>
    <row r="3508" spans="7:8" x14ac:dyDescent="0.25">
      <c r="G3508" s="2" t="str">
        <f ca="1">IFERROR(__xludf.DUMMYFUNCTION("""COMPUTED_VALUE"""),"Mississippi Mermaid ")</f>
        <v>Mississippi Mermaid </v>
      </c>
      <c r="H3508" s="2">
        <v>-1344028</v>
      </c>
    </row>
    <row r="3509" spans="7:8" x14ac:dyDescent="0.25">
      <c r="G3509" s="2" t="str">
        <f ca="1">IFERROR(__xludf.DUMMYFUNCTION("""COMPUTED_VALUE"""),"I Love Your Work ")</f>
        <v>I Love Your Work </v>
      </c>
      <c r="H3509" s="2">
        <v>-1573107</v>
      </c>
    </row>
    <row r="3510" spans="7:8" x14ac:dyDescent="0.25">
      <c r="G3510" s="2" t="str">
        <f ca="1">IFERROR(__xludf.DUMMYFUNCTION("""COMPUTED_VALUE"""),"Waitress ")</f>
        <v>Waitress </v>
      </c>
      <c r="H3510" s="2">
        <v>-1647420</v>
      </c>
    </row>
    <row r="3511" spans="7:8" x14ac:dyDescent="0.25">
      <c r="G3511" s="2" t="str">
        <f ca="1">IFERROR(__xludf.DUMMYFUNCTION("""COMPUTED_VALUE"""),"Bloodsport ")</f>
        <v>Bloodsport </v>
      </c>
      <c r="H3511" s="2">
        <v>17067631</v>
      </c>
    </row>
    <row r="3512" spans="7:8" x14ac:dyDescent="0.25">
      <c r="G3512" s="2" t="str">
        <f ca="1">IFERROR(__xludf.DUMMYFUNCTION("""COMPUTED_VALUE"""),"Kids ")</f>
        <v>Kids </v>
      </c>
      <c r="H3512" s="2">
        <v>10706119</v>
      </c>
    </row>
    <row r="3513" spans="7:8" x14ac:dyDescent="0.25">
      <c r="G3513" s="2" t="str">
        <f ca="1">IFERROR(__xludf.DUMMYFUNCTION("""COMPUTED_VALUE"""),"The Squid and the Whale ")</f>
        <v>The Squid and the Whale </v>
      </c>
      <c r="H3513" s="2">
        <v>5917210</v>
      </c>
    </row>
    <row r="3514" spans="7:8" x14ac:dyDescent="0.25">
      <c r="G3514" s="2" t="str">
        <f ca="1">IFERROR(__xludf.DUMMYFUNCTION("""COMPUTED_VALUE"""),"Kissing Jessica Stein ")</f>
        <v>Kissing Jessica Stein </v>
      </c>
      <c r="H3514" s="2">
        <v>5862100</v>
      </c>
    </row>
    <row r="3515" spans="7:8" x14ac:dyDescent="0.25">
      <c r="G3515" s="2" t="str">
        <f ca="1">IFERROR(__xludf.DUMMYFUNCTION("""COMPUTED_VALUE"""),"Exotica ")</f>
        <v>Exotica </v>
      </c>
      <c r="H3515" s="2">
        <v>6022940</v>
      </c>
    </row>
    <row r="3516" spans="7:8" x14ac:dyDescent="0.25">
      <c r="G3516" s="2" t="str">
        <f ca="1">IFERROR(__xludf.DUMMYFUNCTION("""COMPUTED_VALUE"""),"Buffalo '66 ")</f>
        <v>Buffalo '66 </v>
      </c>
      <c r="H3516" s="2">
        <v>3132222</v>
      </c>
    </row>
    <row r="3517" spans="7:8" x14ac:dyDescent="0.25">
      <c r="G3517" s="2" t="str">
        <f ca="1">IFERROR(__xludf.DUMMYFUNCTION("""COMPUTED_VALUE"""),"Insidious ")</f>
        <v>Insidious </v>
      </c>
      <c r="H3517" s="2">
        <v>865931</v>
      </c>
    </row>
    <row r="3518" spans="7:8" x14ac:dyDescent="0.25">
      <c r="G3518" s="2" t="str">
        <f ca="1">IFERROR(__xludf.DUMMYFUNCTION("""COMPUTED_VALUE"""),"Nine Queens ")</f>
        <v>Nine Queens </v>
      </c>
      <c r="H3518" s="2">
        <v>52491137</v>
      </c>
    </row>
    <row r="3519" spans="7:8" x14ac:dyDescent="0.25">
      <c r="G3519" s="2" t="str">
        <f ca="1">IFERROR(__xludf.DUMMYFUNCTION("""COMPUTED_VALUE"""),"The Ballad of Jack and Rose ")</f>
        <v>The Ballad of Jack and Rose </v>
      </c>
      <c r="H3519" s="2">
        <v>-278739</v>
      </c>
    </row>
    <row r="3520" spans="7:8" x14ac:dyDescent="0.25">
      <c r="G3520" s="2" t="str">
        <f ca="1">IFERROR(__xludf.DUMMYFUNCTION("""COMPUTED_VALUE"""),"The To Do List ")</f>
        <v>The To Do List </v>
      </c>
      <c r="H3520" s="2">
        <v>-787706</v>
      </c>
    </row>
    <row r="3521" spans="7:8" x14ac:dyDescent="0.25">
      <c r="G3521" s="2" t="str">
        <f ca="1">IFERROR(__xludf.DUMMYFUNCTION("""COMPUTED_VALUE"""),"Killing Zoe ")</f>
        <v>Killing Zoe </v>
      </c>
      <c r="H3521" s="2">
        <v>1947339</v>
      </c>
    </row>
    <row r="3522" spans="7:8" x14ac:dyDescent="0.25">
      <c r="G3522" s="2" t="str">
        <f ca="1">IFERROR(__xludf.DUMMYFUNCTION("""COMPUTED_VALUE"""),"The Believer ")</f>
        <v>The Believer </v>
      </c>
      <c r="H3522" s="2">
        <v>-1081047</v>
      </c>
    </row>
    <row r="3523" spans="7:8" x14ac:dyDescent="0.25">
      <c r="G3523" s="2" t="str">
        <f ca="1">IFERROR(__xludf.DUMMYFUNCTION("""COMPUTED_VALUE"""),"Session 9 ")</f>
        <v>Session 9 </v>
      </c>
      <c r="H3523" s="2">
        <v>-1093965</v>
      </c>
    </row>
    <row r="3524" spans="7:8" x14ac:dyDescent="0.25">
      <c r="G3524" s="2" t="str">
        <f ca="1">IFERROR(__xludf.DUMMYFUNCTION("""COMPUTED_VALUE"""),"I Want Someone to Eat Cheese With ")</f>
        <v>I Want Someone to Eat Cheese With </v>
      </c>
      <c r="H3524" s="2">
        <v>-1126033</v>
      </c>
    </row>
    <row r="3525" spans="7:8" x14ac:dyDescent="0.25">
      <c r="G3525" s="2" t="str">
        <f ca="1">IFERROR(__xludf.DUMMYFUNCTION("""COMPUTED_VALUE"""),"Modern Times ")</f>
        <v>Modern Times </v>
      </c>
      <c r="H3525" s="2">
        <v>-1305432</v>
      </c>
    </row>
    <row r="3526" spans="7:8" x14ac:dyDescent="0.25">
      <c r="G3526" s="2" t="str">
        <f ca="1">IFERROR(__xludf.DUMMYFUNCTION("""COMPUTED_VALUE"""),"Stolen Summer ")</f>
        <v>Stolen Summer </v>
      </c>
      <c r="H3526" s="2">
        <v>-1336755</v>
      </c>
    </row>
    <row r="3527" spans="7:8" x14ac:dyDescent="0.25">
      <c r="G3527" s="2" t="str">
        <f ca="1">IFERROR(__xludf.DUMMYFUNCTION("""COMPUTED_VALUE"""),"My Name Is Bruce ")</f>
        <v>My Name Is Bruce </v>
      </c>
      <c r="H3527" s="2">
        <v>-1380159</v>
      </c>
    </row>
    <row r="3528" spans="7:8" x14ac:dyDescent="0.25">
      <c r="G3528" s="2" t="str">
        <f ca="1">IFERROR(__xludf.DUMMYFUNCTION("""COMPUTED_VALUE"""),"The Salon ")</f>
        <v>The Salon </v>
      </c>
      <c r="H3528" s="2">
        <v>-1326934</v>
      </c>
    </row>
    <row r="3529" spans="7:8" x14ac:dyDescent="0.25">
      <c r="G3529" s="2" t="str">
        <f ca="1">IFERROR(__xludf.DUMMYFUNCTION("""COMPUTED_VALUE"""),"Road Hard ")</f>
        <v>Road Hard </v>
      </c>
      <c r="H3529" s="2">
        <v>-1407638</v>
      </c>
    </row>
    <row r="3530" spans="7:8" x14ac:dyDescent="0.25">
      <c r="G3530" s="2" t="str">
        <f ca="1">IFERROR(__xludf.DUMMYFUNCTION("""COMPUTED_VALUE"""),"Amigo ")</f>
        <v>Amigo </v>
      </c>
      <c r="H3530" s="2">
        <v>-1394057</v>
      </c>
    </row>
    <row r="3531" spans="7:8" x14ac:dyDescent="0.25">
      <c r="G3531" s="2" t="str">
        <f ca="1">IFERROR(__xludf.DUMMYFUNCTION("""COMPUTED_VALUE"""),"Pontypool ")</f>
        <v>Pontypool </v>
      </c>
      <c r="H3531" s="2">
        <v>-1516510</v>
      </c>
    </row>
    <row r="3532" spans="7:8" x14ac:dyDescent="0.25">
      <c r="G3532" s="2" t="str">
        <f ca="1">IFERROR(__xludf.DUMMYFUNCTION("""COMPUTED_VALUE"""),"Trucker ")</f>
        <v>Trucker </v>
      </c>
      <c r="H3532" s="2">
        <v>-1496522</v>
      </c>
    </row>
    <row r="3533" spans="7:8" x14ac:dyDescent="0.25">
      <c r="G3533" s="2" t="str">
        <f ca="1">IFERROR(__xludf.DUMMYFUNCTION("""COMPUTED_VALUE"""),"The Lords of Salem ")</f>
        <v>The Lords of Salem </v>
      </c>
      <c r="H3533" s="2">
        <v>-1947834</v>
      </c>
    </row>
    <row r="3534" spans="7:8" x14ac:dyDescent="0.25">
      <c r="G3534" s="2" t="str">
        <f ca="1">IFERROR(__xludf.DUMMYFUNCTION("""COMPUTED_VALUE"""),"Snow White and the Seven Dwarfs ")</f>
        <v>Snow White and the Seven Dwarfs </v>
      </c>
      <c r="H3534" s="2">
        <v>-1336492</v>
      </c>
    </row>
    <row r="3535" spans="7:8" x14ac:dyDescent="0.25">
      <c r="G3535" s="2" t="str">
        <f ca="1">IFERROR(__xludf.DUMMYFUNCTION("""COMPUTED_VALUE"""),"The Holy Girl ")</f>
        <v>The Holy Girl </v>
      </c>
      <c r="H3535" s="2">
        <v>182925485</v>
      </c>
    </row>
    <row r="3536" spans="7:8" x14ac:dyDescent="0.25">
      <c r="G3536" s="2" t="str">
        <f ca="1">IFERROR(__xludf.DUMMYFUNCTION("""COMPUTED_VALUE"""),"Incident at Loch Ness ")</f>
        <v>Incident at Loch Ness </v>
      </c>
      <c r="H3536" s="2">
        <v>-1095876</v>
      </c>
    </row>
    <row r="3537" spans="7:8" x14ac:dyDescent="0.25">
      <c r="G3537" s="2" t="str">
        <f ca="1">IFERROR(__xludf.DUMMYFUNCTION("""COMPUTED_VALUE"""),"Lock, Stock and Two Smoking Barrels ")</f>
        <v>Lock, Stock and Two Smoking Barrels </v>
      </c>
      <c r="H3537" s="2">
        <v>-1363170</v>
      </c>
    </row>
    <row r="3538" spans="7:8" x14ac:dyDescent="0.25">
      <c r="G3538" s="2" t="str">
        <f ca="1">IFERROR(__xludf.DUMMYFUNCTION("""COMPUTED_VALUE"""),"The Celebration ")</f>
        <v>The Celebration </v>
      </c>
      <c r="H3538" s="2">
        <v>2690677</v>
      </c>
    </row>
    <row r="3539" spans="7:8" x14ac:dyDescent="0.25">
      <c r="G3539" s="2" t="str">
        <f ca="1">IFERROR(__xludf.DUMMYFUNCTION("""COMPUTED_VALUE"""),"Trees Lounge ")</f>
        <v>Trees Lounge </v>
      </c>
      <c r="H3539" s="2">
        <v>347780</v>
      </c>
    </row>
    <row r="3540" spans="7:8" x14ac:dyDescent="0.25">
      <c r="G3540" s="2" t="str">
        <f ca="1">IFERROR(__xludf.DUMMYFUNCTION("""COMPUTED_VALUE"""),"Journey from the Fall ")</f>
        <v>Journey from the Fall </v>
      </c>
      <c r="H3540" s="2">
        <v>-604771</v>
      </c>
    </row>
    <row r="3541" spans="7:8" x14ac:dyDescent="0.25">
      <c r="G3541" s="2" t="str">
        <f ca="1">IFERROR(__xludf.DUMMYFUNCTION("""COMPUTED_VALUE"""),"The Basket ")</f>
        <v>The Basket </v>
      </c>
      <c r="H3541" s="2">
        <v>-953049</v>
      </c>
    </row>
    <row r="3542" spans="7:8" x14ac:dyDescent="0.25">
      <c r="G3542" s="2" t="str">
        <f ca="1">IFERROR(__xludf.DUMMYFUNCTION("""COMPUTED_VALUE"""),"Eddie: The Sleepwalking Cannibal ")</f>
        <v>Eddie: The Sleepwalking Cannibal </v>
      </c>
      <c r="H3542" s="2">
        <v>-690958</v>
      </c>
    </row>
    <row r="3543" spans="7:8" x14ac:dyDescent="0.25">
      <c r="G3543" s="2" t="str">
        <f ca="1">IFERROR(__xludf.DUMMYFUNCTION("""COMPUTED_VALUE"""),"The Hebrew Hammer ")</f>
        <v>The Hebrew Hammer </v>
      </c>
      <c r="H3543" s="2">
        <v>-1498479</v>
      </c>
    </row>
    <row r="3544" spans="7:8" x14ac:dyDescent="0.25">
      <c r="G3544" s="2" t="str">
        <f ca="1">IFERROR(__xludf.DUMMYFUNCTION("""COMPUTED_VALUE"""),"Neal 'N' Nikki ")</f>
        <v>Neal 'N' Nikki </v>
      </c>
      <c r="H3544" s="2">
        <v>-980461</v>
      </c>
    </row>
    <row r="3545" spans="7:8" x14ac:dyDescent="0.25">
      <c r="G3545" s="2" t="str">
        <f ca="1">IFERROR(__xludf.DUMMYFUNCTION("""COMPUTED_VALUE"""),"Friday the 13th Part 2 ")</f>
        <v>Friday the 13th Part 2 </v>
      </c>
      <c r="H3545" s="2">
        <v>-1399642</v>
      </c>
    </row>
    <row r="3546" spans="7:8" x14ac:dyDescent="0.25">
      <c r="G3546" s="2" t="str">
        <f ca="1">IFERROR(__xludf.DUMMYFUNCTION("""COMPUTED_VALUE"""),"Filly Brown ")</f>
        <v>Filly Brown </v>
      </c>
      <c r="H3546" s="2">
        <v>17850000</v>
      </c>
    </row>
    <row r="3547" spans="7:8" x14ac:dyDescent="0.25">
      <c r="G3547" s="2" t="str">
        <f ca="1">IFERROR(__xludf.DUMMYFUNCTION("""COMPUTED_VALUE"""),"Sex, Lies, and Videotape ")</f>
        <v>Sex, Lies, and Videotape </v>
      </c>
      <c r="H3547" s="2">
        <v>2406383</v>
      </c>
    </row>
    <row r="3548" spans="7:8" x14ac:dyDescent="0.25">
      <c r="G3548" s="2" t="str">
        <f ca="1">IFERROR(__xludf.DUMMYFUNCTION("""COMPUTED_VALUE"""),"Saw ")</f>
        <v>Saw </v>
      </c>
      <c r="H3548" s="2">
        <v>23541700</v>
      </c>
    </row>
    <row r="3549" spans="7:8" x14ac:dyDescent="0.25">
      <c r="G3549" s="2" t="str">
        <f ca="1">IFERROR(__xludf.DUMMYFUNCTION("""COMPUTED_VALUE"""),"Super Troopers ")</f>
        <v>Super Troopers </v>
      </c>
      <c r="H3549" s="2">
        <v>53953403</v>
      </c>
    </row>
    <row r="3550" spans="7:8" x14ac:dyDescent="0.25">
      <c r="G3550" s="2" t="str">
        <f ca="1">IFERROR(__xludf.DUMMYFUNCTION("""COMPUTED_VALUE"""),"The Amazing Catfish ")</f>
        <v>The Amazing Catfish </v>
      </c>
      <c r="H3550" s="2">
        <v>17288314</v>
      </c>
    </row>
    <row r="3551" spans="7:8" x14ac:dyDescent="0.25">
      <c r="G3551" s="2" t="str">
        <f ca="1">IFERROR(__xludf.DUMMYFUNCTION("""COMPUTED_VALUE"""),"Monsoon Wedding ")</f>
        <v>Monsoon Wedding </v>
      </c>
      <c r="H3551" s="2">
        <v>-1288722</v>
      </c>
    </row>
    <row r="3552" spans="7:8" x14ac:dyDescent="0.25">
      <c r="G3552" s="2" t="str">
        <f ca="1">IFERROR(__xludf.DUMMYFUNCTION("""COMPUTED_VALUE"""),"You Can Count on Me ")</f>
        <v>You Can Count on Me </v>
      </c>
      <c r="H3552" s="2">
        <v>6876974</v>
      </c>
    </row>
    <row r="3553" spans="7:8" x14ac:dyDescent="0.25">
      <c r="G3553" s="2" t="str">
        <f ca="1">IFERROR(__xludf.DUMMYFUNCTION("""COMPUTED_VALUE"""),"But I'm a Cheerleader ")</f>
        <v>But I'm a Cheerleader </v>
      </c>
      <c r="H3553" s="2">
        <v>7980275</v>
      </c>
    </row>
    <row r="3554" spans="7:8" x14ac:dyDescent="0.25">
      <c r="G3554" s="2" t="str">
        <f ca="1">IFERROR(__xludf.DUMMYFUNCTION("""COMPUTED_VALUE"""),"Home Run ")</f>
        <v>Home Run </v>
      </c>
      <c r="H3554" s="2">
        <v>999853</v>
      </c>
    </row>
    <row r="3555" spans="7:8" x14ac:dyDescent="0.25">
      <c r="G3555" s="2" t="str">
        <f ca="1">IFERROR(__xludf.DUMMYFUNCTION("""COMPUTED_VALUE"""),"Reservoir Dogs ")</f>
        <v>Reservoir Dogs </v>
      </c>
      <c r="H3555" s="2">
        <v>1659955</v>
      </c>
    </row>
    <row r="3556" spans="7:8" x14ac:dyDescent="0.25">
      <c r="G3556" s="2" t="str">
        <f ca="1">IFERROR(__xludf.DUMMYFUNCTION("""COMPUTED_VALUE"""),"The Good, the Bad and the Ugly ")</f>
        <v>The Good, the Bad and the Ugly </v>
      </c>
      <c r="H3556" s="2">
        <v>1612029</v>
      </c>
    </row>
    <row r="3557" spans="7:8" x14ac:dyDescent="0.25">
      <c r="G3557" s="2" t="str">
        <f ca="1">IFERROR(__xludf.DUMMYFUNCTION("""COMPUTED_VALUE"""),"The Second Mother ")</f>
        <v>The Second Mother </v>
      </c>
      <c r="H3557" s="2">
        <v>4900000</v>
      </c>
    </row>
    <row r="3558" spans="7:8" x14ac:dyDescent="0.25">
      <c r="G3558" s="2" t="str">
        <f ca="1">IFERROR(__xludf.DUMMYFUNCTION("""COMPUTED_VALUE"""),"Blue Like Jazz ")</f>
        <v>Blue Like Jazz </v>
      </c>
      <c r="H3558" s="2">
        <v>-3624277</v>
      </c>
    </row>
    <row r="3559" spans="7:8" x14ac:dyDescent="0.25">
      <c r="G3559" s="2" t="str">
        <f ca="1">IFERROR(__xludf.DUMMYFUNCTION("""COMPUTED_VALUE"""),"Down and Out with the Dolls ")</f>
        <v>Down and Out with the Dolls </v>
      </c>
      <c r="H3559" s="2">
        <v>-605096</v>
      </c>
    </row>
    <row r="3560" spans="7:8" x14ac:dyDescent="0.25">
      <c r="G3560" s="2" t="str">
        <f ca="1">IFERROR(__xludf.DUMMYFUNCTION("""COMPUTED_VALUE"""),"Pink Ribbons, Inc. ")</f>
        <v>Pink Ribbons, Inc. </v>
      </c>
      <c r="H3560" s="2">
        <v>-1141064</v>
      </c>
    </row>
    <row r="3561" spans="7:8" x14ac:dyDescent="0.25">
      <c r="G3561" s="2" t="str">
        <f ca="1">IFERROR(__xludf.DUMMYFUNCTION("""COMPUTED_VALUE"""),"Certifiably Jonathan ")</f>
        <v>Certifiably Jonathan </v>
      </c>
      <c r="H3561" s="2">
        <v>-1175216</v>
      </c>
    </row>
    <row r="3562" spans="7:8" x14ac:dyDescent="0.25">
      <c r="G3562" s="2" t="str">
        <f ca="1">IFERROR(__xludf.DUMMYFUNCTION("""COMPUTED_VALUE"""),"The Knife of Don Juan ")</f>
        <v>The Knife of Don Juan </v>
      </c>
      <c r="H3562" s="2">
        <v>-1192174</v>
      </c>
    </row>
    <row r="3563" spans="7:8" x14ac:dyDescent="0.25">
      <c r="G3563" s="2" t="str">
        <f ca="1">IFERROR(__xludf.DUMMYFUNCTION("""COMPUTED_VALUE"""),"Airborne ")</f>
        <v>Airborne </v>
      </c>
      <c r="H3563" s="2">
        <v>-1196170</v>
      </c>
    </row>
    <row r="3564" spans="7:8" x14ac:dyDescent="0.25">
      <c r="G3564" s="2" t="str">
        <f ca="1">IFERROR(__xludf.DUMMYFUNCTION("""COMPUTED_VALUE"""),"Waiting... ")</f>
        <v>Waiting... </v>
      </c>
      <c r="H3564" s="2">
        <v>250263</v>
      </c>
    </row>
    <row r="3565" spans="7:8" x14ac:dyDescent="0.25">
      <c r="G3565" s="2" t="str">
        <f ca="1">IFERROR(__xludf.DUMMYFUNCTION("""COMPUTED_VALUE"""),"Dead Man's Shoes ")</f>
        <v>Dead Man's Shoes </v>
      </c>
      <c r="H3565" s="2">
        <v>13101109</v>
      </c>
    </row>
    <row r="3566" spans="7:8" x14ac:dyDescent="0.25">
      <c r="G3566" s="2" t="str">
        <f ca="1">IFERROR(__xludf.DUMMYFUNCTION("""COMPUTED_VALUE"""),"From a Whisper to a Scream ")</f>
        <v>From a Whisper to a Scream </v>
      </c>
      <c r="H3566" s="2">
        <v>-689380</v>
      </c>
    </row>
    <row r="3567" spans="7:8" x14ac:dyDescent="0.25">
      <c r="G3567" s="2" t="str">
        <f ca="1">IFERROR(__xludf.DUMMYFUNCTION("""COMPUTED_VALUE"""),"Dracula: Pages from a Virgin's Diary ")</f>
        <v>Dracula: Pages from a Virgin's Diary </v>
      </c>
      <c r="H3567" s="2">
        <v>300000</v>
      </c>
    </row>
    <row r="3568" spans="7:8" x14ac:dyDescent="0.25">
      <c r="G3568" s="2" t="str">
        <f ca="1">IFERROR(__xludf.DUMMYFUNCTION("""COMPUTED_VALUE"""),"Beyond the Black Rainbow ")</f>
        <v>Beyond the Black Rainbow </v>
      </c>
      <c r="H3568" s="2">
        <v>-1560341</v>
      </c>
    </row>
    <row r="3569" spans="7:8" x14ac:dyDescent="0.25">
      <c r="G3569" s="2" t="str">
        <f ca="1">IFERROR(__xludf.DUMMYFUNCTION("""COMPUTED_VALUE"""),"The Raid: Redemption ")</f>
        <v>The Raid: Redemption </v>
      </c>
      <c r="H3569" s="2">
        <v>-1043871</v>
      </c>
    </row>
    <row r="3570" spans="7:8" x14ac:dyDescent="0.25">
      <c r="G3570" s="2" t="str">
        <f ca="1">IFERROR(__xludf.DUMMYFUNCTION("""COMPUTED_VALUE"""),"Rocky ")</f>
        <v>Rocky </v>
      </c>
      <c r="H3570" s="2">
        <v>3005123</v>
      </c>
    </row>
    <row r="3571" spans="7:8" x14ac:dyDescent="0.25">
      <c r="G3571" s="2" t="str">
        <f ca="1">IFERROR(__xludf.DUMMYFUNCTION("""COMPUTED_VALUE"""),"Unfriended ")</f>
        <v>Unfriended </v>
      </c>
      <c r="H3571" s="2">
        <v>116275247</v>
      </c>
    </row>
    <row r="3572" spans="7:8" x14ac:dyDescent="0.25">
      <c r="G3572" s="2" t="str">
        <f ca="1">IFERROR(__xludf.DUMMYFUNCTION("""COMPUTED_VALUE"""),"The Howling ")</f>
        <v>The Howling </v>
      </c>
      <c r="H3572" s="2">
        <v>30537320</v>
      </c>
    </row>
    <row r="3573" spans="7:8" x14ac:dyDescent="0.25">
      <c r="G3573" s="2" t="str">
        <f ca="1">IFERROR(__xludf.DUMMYFUNCTION("""COMPUTED_VALUE"""),"Dr. No ")</f>
        <v>Dr. No </v>
      </c>
      <c r="H3573" s="2">
        <v>16986000</v>
      </c>
    </row>
    <row r="3574" spans="7:8" x14ac:dyDescent="0.25">
      <c r="G3574" s="2" t="str">
        <f ca="1">IFERROR(__xludf.DUMMYFUNCTION("""COMPUTED_VALUE"""),"Chernobyl Diaries ")</f>
        <v>Chernobyl Diaries </v>
      </c>
      <c r="H3574" s="2">
        <v>14967035</v>
      </c>
    </row>
    <row r="3575" spans="7:8" x14ac:dyDescent="0.25">
      <c r="G3575" s="2" t="str">
        <f ca="1">IFERROR(__xludf.DUMMYFUNCTION("""COMPUTED_VALUE"""),"Hellraiser ")</f>
        <v>Hellraiser </v>
      </c>
      <c r="H3575" s="2">
        <v>17112929</v>
      </c>
    </row>
    <row r="3576" spans="7:8" x14ac:dyDescent="0.25">
      <c r="G3576" s="2" t="str">
        <f ca="1">IFERROR(__xludf.DUMMYFUNCTION("""COMPUTED_VALUE"""),"God's Not Dead 2 ")</f>
        <v>God's Not Dead 2 </v>
      </c>
      <c r="H3576" s="2">
        <v>13564027</v>
      </c>
    </row>
    <row r="3577" spans="7:8" x14ac:dyDescent="0.25">
      <c r="G3577" s="2" t="str">
        <f ca="1">IFERROR(__xludf.DUMMYFUNCTION("""COMPUTED_VALUE"""),"Cry_Wolf ")</f>
        <v>Cry_Wolf </v>
      </c>
      <c r="H3577" s="2">
        <v>15773070</v>
      </c>
    </row>
    <row r="3578" spans="7:8" x14ac:dyDescent="0.25">
      <c r="G3578" s="2" t="str">
        <f ca="1">IFERROR(__xludf.DUMMYFUNCTION("""COMPUTED_VALUE"""),"Godzilla 2000 ")</f>
        <v>Godzilla 2000 </v>
      </c>
      <c r="H3578" s="2">
        <v>9042266</v>
      </c>
    </row>
    <row r="3579" spans="7:8" x14ac:dyDescent="0.25">
      <c r="G3579" s="2" t="str">
        <f ca="1">IFERROR(__xludf.DUMMYFUNCTION("""COMPUTED_VALUE"""),"Blue Valentine ")</f>
        <v>Blue Valentine </v>
      </c>
      <c r="H3579" s="2">
        <v>-989962610</v>
      </c>
    </row>
    <row r="3580" spans="7:8" x14ac:dyDescent="0.25">
      <c r="G3580" s="2" t="str">
        <f ca="1">IFERROR(__xludf.DUMMYFUNCTION("""COMPUTED_VALUE"""),"Transamerica ")</f>
        <v>Transamerica </v>
      </c>
      <c r="H3580" s="2">
        <v>6201559</v>
      </c>
    </row>
    <row r="3581" spans="7:8" x14ac:dyDescent="0.25">
      <c r="G3581" s="2" t="str">
        <f ca="1">IFERROR(__xludf.DUMMYFUNCTION("""COMPUTED_VALUE"""),"The Devil Inside ")</f>
        <v>The Devil Inside </v>
      </c>
      <c r="H3581" s="2">
        <v>8013113</v>
      </c>
    </row>
    <row r="3582" spans="7:8" x14ac:dyDescent="0.25">
      <c r="G3582" s="2" t="str">
        <f ca="1">IFERROR(__xludf.DUMMYFUNCTION("""COMPUTED_VALUE"""),"Beyond the Valley of the Dolls ")</f>
        <v>Beyond the Valley of the Dolls </v>
      </c>
      <c r="H3582" s="2">
        <v>52245055</v>
      </c>
    </row>
    <row r="3583" spans="7:8" x14ac:dyDescent="0.25">
      <c r="G3583" s="2" t="str">
        <f ca="1">IFERROR(__xludf.DUMMYFUNCTION("""COMPUTED_VALUE"""),"The Green Inferno ")</f>
        <v>The Green Inferno </v>
      </c>
      <c r="H3583" s="2">
        <v>8100000</v>
      </c>
    </row>
    <row r="3584" spans="7:8" x14ac:dyDescent="0.25">
      <c r="G3584" s="2" t="str">
        <f ca="1">IFERROR(__xludf.DUMMYFUNCTION("""COMPUTED_VALUE"""),"The Sessions ")</f>
        <v>The Sessions </v>
      </c>
      <c r="H3584" s="2">
        <v>1186670</v>
      </c>
    </row>
    <row r="3585" spans="7:8" x14ac:dyDescent="0.25">
      <c r="G3585" s="2" t="str">
        <f ca="1">IFERROR(__xludf.DUMMYFUNCTION("""COMPUTED_VALUE"""),"Next Stop Wonderland ")</f>
        <v>Next Stop Wonderland </v>
      </c>
      <c r="H3585" s="2">
        <v>4997134</v>
      </c>
    </row>
    <row r="3586" spans="7:8" x14ac:dyDescent="0.25">
      <c r="G3586" s="2" t="str">
        <f ca="1">IFERROR(__xludf.DUMMYFUNCTION("""COMPUTED_VALUE"""),"Frozen River ")</f>
        <v>Frozen River </v>
      </c>
      <c r="H3586" s="2">
        <v>2386698</v>
      </c>
    </row>
    <row r="3587" spans="7:8" x14ac:dyDescent="0.25">
      <c r="G3587" s="2" t="str">
        <f ca="1">IFERROR(__xludf.DUMMYFUNCTION("""COMPUTED_VALUE"""),"20 Feet from Stardom ")</f>
        <v>20 Feet from Stardom </v>
      </c>
      <c r="H3587" s="2">
        <v>1508841</v>
      </c>
    </row>
    <row r="3588" spans="7:8" x14ac:dyDescent="0.25">
      <c r="G3588" s="2" t="str">
        <f ca="1">IFERROR(__xludf.DUMMYFUNCTION("""COMPUTED_VALUE"""),"Two Girls and a Guy ")</f>
        <v>Two Girls and a Guy </v>
      </c>
      <c r="H3588" s="2">
        <v>3946250</v>
      </c>
    </row>
    <row r="3589" spans="7:8" x14ac:dyDescent="0.25">
      <c r="G3589" s="2" t="str">
        <f ca="1">IFERROR(__xludf.DUMMYFUNCTION("""COMPUTED_VALUE"""),"Walking and Talking ")</f>
        <v>Walking and Talking </v>
      </c>
      <c r="H3589" s="2">
        <v>950218</v>
      </c>
    </row>
    <row r="3590" spans="7:8" x14ac:dyDescent="0.25">
      <c r="G3590" s="2" t="str">
        <f ca="1">IFERROR(__xludf.DUMMYFUNCTION("""COMPUTED_VALUE"""),"Who Killed the Electric Car? ")</f>
        <v>Who Killed the Electric Car? </v>
      </c>
      <c r="H3590" s="2">
        <v>277257</v>
      </c>
    </row>
    <row r="3591" spans="7:8" x14ac:dyDescent="0.25">
      <c r="G3591" s="2" t="str">
        <f ca="1">IFERROR(__xludf.DUMMYFUNCTION("""COMPUTED_VALUE"""),"The Broken Hearts Club: A Romantic Comedy ")</f>
        <v>The Broken Hearts Club: A Romantic Comedy </v>
      </c>
      <c r="H3591" s="2">
        <v>677838</v>
      </c>
    </row>
    <row r="3592" spans="7:8" x14ac:dyDescent="0.25">
      <c r="G3592" s="2" t="str">
        <f ca="1">IFERROR(__xludf.DUMMYFUNCTION("""COMPUTED_VALUE"""),"Slam ")</f>
        <v>Slam </v>
      </c>
      <c r="H3592" s="2">
        <v>744858</v>
      </c>
    </row>
    <row r="3593" spans="7:8" x14ac:dyDescent="0.25">
      <c r="G3593" s="2" t="str">
        <f ca="1">IFERROR(__xludf.DUMMYFUNCTION("""COMPUTED_VALUE"""),"Brigham City ")</f>
        <v>Brigham City </v>
      </c>
      <c r="H3593" s="2">
        <v>-17786</v>
      </c>
    </row>
    <row r="3594" spans="7:8" x14ac:dyDescent="0.25">
      <c r="G3594" s="2" t="str">
        <f ca="1">IFERROR(__xludf.DUMMYFUNCTION("""COMPUTED_VALUE"""),"Fiza ")</f>
        <v>Fiza </v>
      </c>
      <c r="H3594" s="2">
        <v>-201659</v>
      </c>
    </row>
    <row r="3595" spans="7:8" x14ac:dyDescent="0.25">
      <c r="G3595" s="2" t="str">
        <f ca="1">IFERROR(__xludf.DUMMYFUNCTION("""COMPUTED_VALUE"""),"Orgazmo ")</f>
        <v>Orgazmo </v>
      </c>
      <c r="H3595" s="2">
        <v>-389009</v>
      </c>
    </row>
    <row r="3596" spans="7:8" x14ac:dyDescent="0.25">
      <c r="G3596" s="2" t="str">
        <f ca="1">IFERROR(__xludf.DUMMYFUNCTION("""COMPUTED_VALUE"""),"All the Real Girls ")</f>
        <v>All the Real Girls </v>
      </c>
      <c r="H3596" s="2">
        <v>-417976</v>
      </c>
    </row>
    <row r="3597" spans="7:8" x14ac:dyDescent="0.25">
      <c r="G3597" s="2" t="str">
        <f ca="1">IFERROR(__xludf.DUMMYFUNCTION("""COMPUTED_VALUE"""),"Dream with the Fishes ")</f>
        <v>Dream with the Fishes </v>
      </c>
      <c r="H3597" s="2">
        <v>-1951288</v>
      </c>
    </row>
    <row r="3598" spans="7:8" x14ac:dyDescent="0.25">
      <c r="G3598" s="2" t="str">
        <f ca="1">IFERROR(__xludf.DUMMYFUNCTION("""COMPUTED_VALUE"""),"Blue Car ")</f>
        <v>Blue Car </v>
      </c>
      <c r="H3598" s="2">
        <v>-535345</v>
      </c>
    </row>
    <row r="3599" spans="7:8" x14ac:dyDescent="0.25">
      <c r="G3599" s="2" t="str">
        <f ca="1">IFERROR(__xludf.DUMMYFUNCTION("""COMPUTED_VALUE"""),"Luminarias ")</f>
        <v>Luminarias </v>
      </c>
      <c r="H3599" s="2">
        <v>-535874</v>
      </c>
    </row>
    <row r="3600" spans="7:8" x14ac:dyDescent="0.25">
      <c r="G3600" s="2" t="str">
        <f ca="1">IFERROR(__xludf.DUMMYFUNCTION("""COMPUTED_VALUE"""),"Wristcutters: A Love Story ")</f>
        <v>Wristcutters: A Love Story </v>
      </c>
      <c r="H3600" s="2">
        <v>-571465</v>
      </c>
    </row>
    <row r="3601" spans="7:8" x14ac:dyDescent="0.25">
      <c r="G3601" s="2" t="str">
        <f ca="1">IFERROR(__xludf.DUMMYFUNCTION("""COMPUTED_VALUE"""),"The Battle of Shaker Heights ")</f>
        <v>The Battle of Shaker Heights </v>
      </c>
      <c r="H3601" s="2">
        <v>-895923</v>
      </c>
    </row>
    <row r="3602" spans="7:8" x14ac:dyDescent="0.25">
      <c r="G3602" s="2" t="str">
        <f ca="1">IFERROR(__xludf.DUMMYFUNCTION("""COMPUTED_VALUE"""),"The Act of Killing ")</f>
        <v>The Act of Killing </v>
      </c>
      <c r="H3602" s="2">
        <v>-720718</v>
      </c>
    </row>
    <row r="3603" spans="7:8" x14ac:dyDescent="0.25">
      <c r="G3603" s="2" t="str">
        <f ca="1">IFERROR(__xludf.DUMMYFUNCTION("""COMPUTED_VALUE"""),"Taxi to the Dark Side ")</f>
        <v>Taxi to the Dark Side </v>
      </c>
      <c r="H3603" s="2">
        <v>-515779</v>
      </c>
    </row>
    <row r="3604" spans="7:8" x14ac:dyDescent="0.25">
      <c r="G3604" s="2" t="str">
        <f ca="1">IFERROR(__xludf.DUMMYFUNCTION("""COMPUTED_VALUE"""),"Once in a Lifetime: The Extraordinary Story of the New York Cosmos ")</f>
        <v>Once in a Lifetime: The Extraordinary Story of the New York Cosmos </v>
      </c>
      <c r="H3604" s="2">
        <v>-725339</v>
      </c>
    </row>
    <row r="3605" spans="7:8" x14ac:dyDescent="0.25">
      <c r="G3605" s="2" t="str">
        <f ca="1">IFERROR(__xludf.DUMMYFUNCTION("""COMPUTED_VALUE"""),"Antarctica: A Year on Ice ")</f>
        <v>Antarctica: A Year on Ice </v>
      </c>
      <c r="H3605" s="2">
        <v>-855569</v>
      </c>
    </row>
    <row r="3606" spans="7:8" x14ac:dyDescent="0.25">
      <c r="G3606" s="2" t="str">
        <f ca="1">IFERROR(__xludf.DUMMYFUNCTION("""COMPUTED_VALUE"""),"A Lego Brickumentary ")</f>
        <v>A Lego Brickumentary </v>
      </c>
      <c r="H3606" s="2">
        <v>-712239</v>
      </c>
    </row>
    <row r="3607" spans="7:8" x14ac:dyDescent="0.25">
      <c r="G3607" s="2" t="str">
        <f ca="1">IFERROR(__xludf.DUMMYFUNCTION("""COMPUTED_VALUE"""),"Hardflip ")</f>
        <v>Hardflip </v>
      </c>
      <c r="H3607" s="2">
        <v>-899760</v>
      </c>
    </row>
    <row r="3608" spans="7:8" x14ac:dyDescent="0.25">
      <c r="G3608" s="2" t="str">
        <f ca="1">IFERROR(__xludf.DUMMYFUNCTION("""COMPUTED_VALUE"""),"Chocolate: Deep Dark Secrets ")</f>
        <v>Chocolate: Deep Dark Secrets </v>
      </c>
      <c r="H3608" s="2">
        <v>-903266</v>
      </c>
    </row>
    <row r="3609" spans="7:8" x14ac:dyDescent="0.25">
      <c r="G3609" s="2" t="str">
        <f ca="1">IFERROR(__xludf.DUMMYFUNCTION("""COMPUTED_VALUE"""),"The House of the Devil ")</f>
        <v>The House of the Devil </v>
      </c>
      <c r="H3609" s="2">
        <v>-1451000</v>
      </c>
    </row>
    <row r="3610" spans="7:8" x14ac:dyDescent="0.25">
      <c r="G3610" s="2" t="str">
        <f ca="1">IFERROR(__xludf.DUMMYFUNCTION("""COMPUTED_VALUE"""),"The Perfect Host ")</f>
        <v>The Perfect Host </v>
      </c>
      <c r="H3610" s="2">
        <v>-799341</v>
      </c>
    </row>
    <row r="3611" spans="7:8" x14ac:dyDescent="0.25">
      <c r="G3611" s="2" t="str">
        <f ca="1">IFERROR(__xludf.DUMMYFUNCTION("""COMPUTED_VALUE"""),"Safe Men ")</f>
        <v>Safe Men </v>
      </c>
      <c r="H3611" s="2">
        <v>-451570</v>
      </c>
    </row>
    <row r="3612" spans="7:8" x14ac:dyDescent="0.25">
      <c r="G3612" s="2" t="str">
        <f ca="1">IFERROR(__xludf.DUMMYFUNCTION("""COMPUTED_VALUE"""),"The Specials ")</f>
        <v>The Specials </v>
      </c>
      <c r="H3612" s="2">
        <v>-978790</v>
      </c>
    </row>
    <row r="3613" spans="7:8" x14ac:dyDescent="0.25">
      <c r="G3613" s="2" t="str">
        <f ca="1">IFERROR(__xludf.DUMMYFUNCTION("""COMPUTED_VALUE"""),"Alone with Her ")</f>
        <v>Alone with Her </v>
      </c>
      <c r="H3613" s="2">
        <v>-987004</v>
      </c>
    </row>
    <row r="3614" spans="7:8" x14ac:dyDescent="0.25">
      <c r="G3614" s="2" t="str">
        <f ca="1">IFERROR(__xludf.DUMMYFUNCTION("""COMPUTED_VALUE"""),"Creative Control ")</f>
        <v>Creative Control </v>
      </c>
      <c r="H3614" s="2">
        <v>-989982</v>
      </c>
    </row>
    <row r="3615" spans="7:8" x14ac:dyDescent="0.25">
      <c r="G3615" s="2" t="str">
        <f ca="1">IFERROR(__xludf.DUMMYFUNCTION("""COMPUTED_VALUE"""),"Special ")</f>
        <v>Special </v>
      </c>
      <c r="H3615" s="2">
        <v>-937520</v>
      </c>
    </row>
    <row r="3616" spans="7:8" x14ac:dyDescent="0.25">
      <c r="G3616" s="2" t="str">
        <f ca="1">IFERROR(__xludf.DUMMYFUNCTION("""COMPUTED_VALUE"""),"In Her Line of Fire ")</f>
        <v>In Her Line of Fire </v>
      </c>
      <c r="H3616" s="2">
        <v>-993613</v>
      </c>
    </row>
    <row r="3617" spans="7:8" x14ac:dyDescent="0.25">
      <c r="G3617" s="2" t="str">
        <f ca="1">IFERROR(__xludf.DUMMYFUNCTION("""COMPUTED_VALUE"""),"The Jimmy Show ")</f>
        <v>The Jimmy Show </v>
      </c>
      <c r="H3617" s="2">
        <v>-999279</v>
      </c>
    </row>
    <row r="3618" spans="7:8" x14ac:dyDescent="0.25">
      <c r="G3618" s="2" t="str">
        <f ca="1">IFERROR(__xludf.DUMMYFUNCTION("""COMPUTED_VALUE"""),"On the Waterfront ")</f>
        <v>On the Waterfront </v>
      </c>
      <c r="H3618" s="2">
        <v>-1499297</v>
      </c>
    </row>
    <row r="3619" spans="7:8" x14ac:dyDescent="0.25">
      <c r="G3619" s="2" t="str">
        <f ca="1">IFERROR(__xludf.DUMMYFUNCTION("""COMPUTED_VALUE"""),"L!fe Happens ")</f>
        <v>L!fe Happens </v>
      </c>
      <c r="H3619" s="2">
        <v>8690000</v>
      </c>
    </row>
    <row r="3620" spans="7:8" x14ac:dyDescent="0.25">
      <c r="G3620" s="2" t="str">
        <f ca="1">IFERROR(__xludf.DUMMYFUNCTION("""COMPUTED_VALUE"""),"4 Months, 3 Weeks and 2 Days ")</f>
        <v>4 Months, 3 Weeks and 2 Days </v>
      </c>
      <c r="H3620" s="2">
        <v>-909814</v>
      </c>
    </row>
    <row r="3621" spans="7:8" x14ac:dyDescent="0.25">
      <c r="G3621" s="2" t="str">
        <f ca="1">IFERROR(__xludf.DUMMYFUNCTION("""COMPUTED_VALUE"""),"Hard Candy ")</f>
        <v>Hard Candy </v>
      </c>
      <c r="H3621" s="2">
        <v>595783</v>
      </c>
    </row>
    <row r="3622" spans="7:8" x14ac:dyDescent="0.25">
      <c r="G3622" s="2" t="str">
        <f ca="1">IFERROR(__xludf.DUMMYFUNCTION("""COMPUTED_VALUE"""),"The Quiet ")</f>
        <v>The Quiet </v>
      </c>
      <c r="H3622" s="2">
        <v>57962</v>
      </c>
    </row>
    <row r="3623" spans="7:8" x14ac:dyDescent="0.25">
      <c r="G3623" s="2" t="str">
        <f ca="1">IFERROR(__xludf.DUMMYFUNCTION("""COMPUTED_VALUE"""),"Fruitvale Station ")</f>
        <v>Fruitvale Station </v>
      </c>
      <c r="H3623" s="2">
        <v>-518814</v>
      </c>
    </row>
    <row r="3624" spans="7:8" x14ac:dyDescent="0.25">
      <c r="G3624" s="2" t="str">
        <f ca="1">IFERROR(__xludf.DUMMYFUNCTION("""COMPUTED_VALUE"""),"The Brass Teapot ")</f>
        <v>The Brass Teapot </v>
      </c>
      <c r="H3624" s="2">
        <v>15197842</v>
      </c>
    </row>
    <row r="3625" spans="7:8" x14ac:dyDescent="0.25">
      <c r="G3625" s="2" t="str">
        <f ca="1">IFERROR(__xludf.DUMMYFUNCTION("""COMPUTED_VALUE"""),"The Hammer ")</f>
        <v>The Hammer </v>
      </c>
      <c r="H3625" s="2">
        <v>-893357</v>
      </c>
    </row>
    <row r="3626" spans="7:8" x14ac:dyDescent="0.25">
      <c r="G3626" s="2" t="str">
        <f ca="1">IFERROR(__xludf.DUMMYFUNCTION("""COMPUTED_VALUE"""),"Latter Days ")</f>
        <v>Latter Days </v>
      </c>
      <c r="H3626" s="2">
        <v>-407362</v>
      </c>
    </row>
    <row r="3627" spans="7:8" x14ac:dyDescent="0.25">
      <c r="G3627" s="2" t="str">
        <f ca="1">IFERROR(__xludf.DUMMYFUNCTION("""COMPUTED_VALUE"""),"For a Good Time, Call... ")</f>
        <v>For a Good Time, Call... </v>
      </c>
      <c r="H3627" s="2">
        <v>-30061</v>
      </c>
    </row>
    <row r="3628" spans="7:8" x14ac:dyDescent="0.25">
      <c r="G3628" s="2" t="str">
        <f ca="1">IFERROR(__xludf.DUMMYFUNCTION("""COMPUTED_VALUE"""),"Time Changer ")</f>
        <v>Time Changer </v>
      </c>
      <c r="H3628" s="2">
        <v>393961</v>
      </c>
    </row>
    <row r="3629" spans="7:8" x14ac:dyDescent="0.25">
      <c r="G3629" s="2" t="str">
        <f ca="1">IFERROR(__xludf.DUMMYFUNCTION("""COMPUTED_VALUE"""),"A Separation ")</f>
        <v>A Separation </v>
      </c>
      <c r="H3629" s="2">
        <v>-809722</v>
      </c>
    </row>
    <row r="3630" spans="7:8" x14ac:dyDescent="0.25">
      <c r="G3630" s="2" t="str">
        <f ca="1">IFERROR(__xludf.DUMMYFUNCTION("""COMPUTED_VALUE"""),"Welcome to the Dollhouse ")</f>
        <v>Welcome to the Dollhouse </v>
      </c>
      <c r="H3630" s="2">
        <v>6598492</v>
      </c>
    </row>
    <row r="3631" spans="7:8" x14ac:dyDescent="0.25">
      <c r="G3631" s="2" t="str">
        <f ca="1">IFERROR(__xludf.DUMMYFUNCTION("""COMPUTED_VALUE"""),"Ruby in Paradise ")</f>
        <v>Ruby in Paradise </v>
      </c>
      <c r="H3631" s="2">
        <v>3971000</v>
      </c>
    </row>
    <row r="3632" spans="7:8" x14ac:dyDescent="0.25">
      <c r="G3632" s="2" t="str">
        <f ca="1">IFERROR(__xludf.DUMMYFUNCTION("""COMPUTED_VALUE"""),"Raising Victor Vargas ")</f>
        <v>Raising Victor Vargas </v>
      </c>
      <c r="H3632" s="2">
        <v>201437</v>
      </c>
    </row>
    <row r="3633" spans="7:8" x14ac:dyDescent="0.25">
      <c r="G3633" s="2" t="str">
        <f ca="1">IFERROR(__xludf.DUMMYFUNCTION("""COMPUTED_VALUE"""),"Deterrence ")</f>
        <v>Deterrence </v>
      </c>
      <c r="H3633" s="2">
        <v>1273984</v>
      </c>
    </row>
    <row r="3634" spans="7:8" x14ac:dyDescent="0.25">
      <c r="G3634" s="2" t="str">
        <f ca="1">IFERROR(__xludf.DUMMYFUNCTION("""COMPUTED_VALUE"""),"Not Cool ")</f>
        <v>Not Cool </v>
      </c>
      <c r="H3634" s="2">
        <v>-655417</v>
      </c>
    </row>
    <row r="3635" spans="7:8" x14ac:dyDescent="0.25">
      <c r="G3635" s="2" t="str">
        <f ca="1">IFERROR(__xludf.DUMMYFUNCTION("""COMPUTED_VALUE"""),"Dead Snow ")</f>
        <v>Dead Snow </v>
      </c>
      <c r="H3635" s="2">
        <v>-564312</v>
      </c>
    </row>
    <row r="3636" spans="7:8" x14ac:dyDescent="0.25">
      <c r="G3636" s="2" t="str">
        <f ca="1">IFERROR(__xludf.DUMMYFUNCTION("""COMPUTED_VALUE"""),"Saints and Soldiers ")</f>
        <v>Saints and Soldiers </v>
      </c>
      <c r="H3636" s="2">
        <v>-758291</v>
      </c>
    </row>
    <row r="3637" spans="7:8" x14ac:dyDescent="0.25">
      <c r="G3637" s="2" t="str">
        <f ca="1">IFERROR(__xludf.DUMMYFUNCTION("""COMPUTED_VALUE"""),"American Graffiti ")</f>
        <v>American Graffiti </v>
      </c>
      <c r="H3637" s="2">
        <v>530270</v>
      </c>
    </row>
    <row r="3638" spans="7:8" x14ac:dyDescent="0.25">
      <c r="G3638" s="2" t="str">
        <f ca="1">IFERROR(__xludf.DUMMYFUNCTION("""COMPUTED_VALUE"""),"Aqua Teen Hunger Force Colon Movie Film for Theaters ")</f>
        <v>Aqua Teen Hunger Force Colon Movie Film for Theaters </v>
      </c>
      <c r="H3638" s="2">
        <v>114223000</v>
      </c>
    </row>
    <row r="3639" spans="7:8" x14ac:dyDescent="0.25">
      <c r="G3639" s="2" t="str">
        <f ca="1">IFERROR(__xludf.DUMMYFUNCTION("""COMPUTED_VALUE"""),"Safety Not Guaranteed ")</f>
        <v>Safety Not Guaranteed </v>
      </c>
      <c r="H3639" s="2">
        <v>4768918</v>
      </c>
    </row>
    <row r="3640" spans="7:8" x14ac:dyDescent="0.25">
      <c r="G3640" s="2" t="str">
        <f ca="1">IFERROR(__xludf.DUMMYFUNCTION("""COMPUTED_VALUE"""),"Kill List ")</f>
        <v>Kill List </v>
      </c>
      <c r="H3640" s="2">
        <v>3257792</v>
      </c>
    </row>
    <row r="3641" spans="7:8" x14ac:dyDescent="0.25">
      <c r="G3641" s="2" t="str">
        <f ca="1">IFERROR(__xludf.DUMMYFUNCTION("""COMPUTED_VALUE"""),"The Innkeepers ")</f>
        <v>The Innkeepers </v>
      </c>
      <c r="H3641" s="2">
        <v>-473703</v>
      </c>
    </row>
    <row r="3642" spans="7:8" x14ac:dyDescent="0.25">
      <c r="G3642" s="2" t="str">
        <f ca="1">IFERROR(__xludf.DUMMYFUNCTION("""COMPUTED_VALUE"""),"Interview with the Assassin ")</f>
        <v>Interview with the Assassin </v>
      </c>
      <c r="H3642" s="2">
        <v>-672499</v>
      </c>
    </row>
    <row r="3643" spans="7:8" x14ac:dyDescent="0.25">
      <c r="G3643" s="2" t="str">
        <f ca="1">IFERROR(__xludf.DUMMYFUNCTION("""COMPUTED_VALUE"""),"Donkey Punch ")</f>
        <v>Donkey Punch </v>
      </c>
      <c r="H3643" s="2">
        <v>-702671</v>
      </c>
    </row>
    <row r="3644" spans="7:8" x14ac:dyDescent="0.25">
      <c r="G3644" s="2" t="str">
        <f ca="1">IFERROR(__xludf.DUMMYFUNCTION("""COMPUTED_VALUE"""),"Hoop Dreams ")</f>
        <v>Hoop Dreams </v>
      </c>
      <c r="H3644" s="2">
        <v>-881622</v>
      </c>
    </row>
    <row r="3645" spans="7:8" x14ac:dyDescent="0.25">
      <c r="G3645" s="2" t="str">
        <f ca="1">IFERROR(__xludf.DUMMYFUNCTION("""COMPUTED_VALUE"""),"L.I.E. ")</f>
        <v>L.I.E. </v>
      </c>
      <c r="H3645" s="2">
        <v>7130611</v>
      </c>
    </row>
    <row r="3646" spans="7:8" x14ac:dyDescent="0.25">
      <c r="G3646" s="2" t="str">
        <f ca="1">IFERROR(__xludf.DUMMYFUNCTION("""COMPUTED_VALUE"""),"Half Nelson ")</f>
        <v>Half Nelson </v>
      </c>
      <c r="H3646" s="2">
        <v>441829</v>
      </c>
    </row>
    <row r="3647" spans="7:8" x14ac:dyDescent="0.25">
      <c r="G3647" s="2" t="str">
        <f ca="1">IFERROR(__xludf.DUMMYFUNCTION("""COMPUTED_VALUE"""),"Naturally Native ")</f>
        <v>Naturally Native </v>
      </c>
      <c r="H3647" s="2">
        <v>1994973</v>
      </c>
    </row>
    <row r="3648" spans="7:8" x14ac:dyDescent="0.25">
      <c r="G3648" s="2" t="str">
        <f ca="1">IFERROR(__xludf.DUMMYFUNCTION("""COMPUTED_VALUE"""),"Hav Plenty ")</f>
        <v>Hav Plenty </v>
      </c>
      <c r="H3648" s="2">
        <v>-689492</v>
      </c>
    </row>
    <row r="3649" spans="7:8" x14ac:dyDescent="0.25">
      <c r="G3649" s="2" t="str">
        <f ca="1">IFERROR(__xludf.DUMMYFUNCTION("""COMPUTED_VALUE"""),"Top Hat ")</f>
        <v>Top Hat </v>
      </c>
      <c r="H3649" s="2">
        <v>1651777</v>
      </c>
    </row>
    <row r="3650" spans="7:8" x14ac:dyDescent="0.25">
      <c r="G3650" s="2" t="str">
        <f ca="1">IFERROR(__xludf.DUMMYFUNCTION("""COMPUTED_VALUE"""),"The Blair Witch Project ")</f>
        <v>The Blair Witch Project </v>
      </c>
      <c r="H3650" s="2">
        <v>2391000</v>
      </c>
    </row>
    <row r="3651" spans="7:8" x14ac:dyDescent="0.25">
      <c r="G3651" s="2" t="str">
        <f ca="1">IFERROR(__xludf.DUMMYFUNCTION("""COMPUTED_VALUE"""),"Woodstock ")</f>
        <v>Woodstock </v>
      </c>
      <c r="H3651" s="2">
        <v>140470114</v>
      </c>
    </row>
    <row r="3652" spans="7:8" x14ac:dyDescent="0.25">
      <c r="G3652" s="2" t="str">
        <f ca="1">IFERROR(__xludf.DUMMYFUNCTION("""COMPUTED_VALUE"""),"Mercy Streets ")</f>
        <v>Mercy Streets </v>
      </c>
      <c r="H3652" s="2">
        <v>12700000</v>
      </c>
    </row>
    <row r="3653" spans="7:8" x14ac:dyDescent="0.25">
      <c r="G3653" s="2" t="str">
        <f ca="1">IFERROR(__xludf.DUMMYFUNCTION("""COMPUTED_VALUE"""),"Arnolds Park ")</f>
        <v>Arnolds Park </v>
      </c>
      <c r="H3653" s="2">
        <v>-428012</v>
      </c>
    </row>
    <row r="3654" spans="7:8" x14ac:dyDescent="0.25">
      <c r="G3654" s="2" t="str">
        <f ca="1">IFERROR(__xludf.DUMMYFUNCTION("""COMPUTED_VALUE"""),"Broken Vessels ")</f>
        <v>Broken Vessels </v>
      </c>
      <c r="H3654" s="2">
        <v>-576384</v>
      </c>
    </row>
    <row r="3655" spans="7:8" x14ac:dyDescent="0.25">
      <c r="G3655" s="2" t="str">
        <f ca="1">IFERROR(__xludf.DUMMYFUNCTION("""COMPUTED_VALUE"""),"A Hard Day's Night ")</f>
        <v>A Hard Day's Night </v>
      </c>
      <c r="H3655" s="2">
        <v>-586507</v>
      </c>
    </row>
    <row r="3656" spans="7:8" x14ac:dyDescent="0.25">
      <c r="G3656" s="2" t="str">
        <f ca="1">IFERROR(__xludf.DUMMYFUNCTION("""COMPUTED_VALUE"""),"The Harvest/La Cosecha ")</f>
        <v>The Harvest/La Cosecha </v>
      </c>
      <c r="H3656" s="2">
        <v>-44995</v>
      </c>
    </row>
    <row r="3657" spans="7:8" x14ac:dyDescent="0.25">
      <c r="G3657" s="2" t="str">
        <f ca="1">IFERROR(__xludf.DUMMYFUNCTION("""COMPUTED_VALUE"""),"Fireproof ")</f>
        <v>Fireproof </v>
      </c>
      <c r="H3657" s="2">
        <v>-557755</v>
      </c>
    </row>
    <row r="3658" spans="7:8" x14ac:dyDescent="0.25">
      <c r="G3658" s="2" t="str">
        <f ca="1">IFERROR(__xludf.DUMMYFUNCTION("""COMPUTED_VALUE"""),"Benji ")</f>
        <v>Benji </v>
      </c>
      <c r="H3658" s="2">
        <v>32951479</v>
      </c>
    </row>
    <row r="3659" spans="7:8" x14ac:dyDescent="0.25">
      <c r="G3659" s="2" t="str">
        <f ca="1">IFERROR(__xludf.DUMMYFUNCTION("""COMPUTED_VALUE"""),"Open Water ")</f>
        <v>Open Water </v>
      </c>
      <c r="H3659" s="2">
        <v>39052600</v>
      </c>
    </row>
    <row r="3660" spans="7:8" x14ac:dyDescent="0.25">
      <c r="G3660" s="2" t="str">
        <f ca="1">IFERROR(__xludf.DUMMYFUNCTION("""COMPUTED_VALUE"""),"Kingdom of the Spiders ")</f>
        <v>Kingdom of the Spiders </v>
      </c>
      <c r="H3660" s="2">
        <v>30000882</v>
      </c>
    </row>
    <row r="3661" spans="7:8" x14ac:dyDescent="0.25">
      <c r="G3661" s="2" t="str">
        <f ca="1">IFERROR(__xludf.DUMMYFUNCTION("""COMPUTED_VALUE"""),"The Station Agent ")</f>
        <v>The Station Agent </v>
      </c>
      <c r="H3661" s="2">
        <v>16500000</v>
      </c>
    </row>
    <row r="3662" spans="7:8" x14ac:dyDescent="0.25">
      <c r="G3662" s="2" t="str">
        <f ca="1">IFERROR(__xludf.DUMMYFUNCTION("""COMPUTED_VALUE"""),"To Save a Life ")</f>
        <v>To Save a Life </v>
      </c>
      <c r="H3662" s="2">
        <v>5239376</v>
      </c>
    </row>
    <row r="3663" spans="7:8" x14ac:dyDescent="0.25">
      <c r="G3663" s="2" t="str">
        <f ca="1">IFERROR(__xludf.DUMMYFUNCTION("""COMPUTED_VALUE"""),"Beyond the Mat ")</f>
        <v>Beyond the Mat </v>
      </c>
      <c r="H3663" s="2">
        <v>2773863</v>
      </c>
    </row>
    <row r="3664" spans="7:8" x14ac:dyDescent="0.25">
      <c r="G3664" s="2" t="str">
        <f ca="1">IFERROR(__xludf.DUMMYFUNCTION("""COMPUTED_VALUE"""),"The Singles Ward ")</f>
        <v>The Singles Ward </v>
      </c>
      <c r="H3664" s="2">
        <v>1547570</v>
      </c>
    </row>
    <row r="3665" spans="7:8" x14ac:dyDescent="0.25">
      <c r="G3665" s="2" t="str">
        <f ca="1">IFERROR(__xludf.DUMMYFUNCTION("""COMPUTED_VALUE"""),"Osama ")</f>
        <v>Osama </v>
      </c>
      <c r="H3665" s="2">
        <v>750798</v>
      </c>
    </row>
    <row r="3666" spans="7:8" x14ac:dyDescent="0.25">
      <c r="G3666" s="2" t="str">
        <f ca="1">IFERROR(__xludf.DUMMYFUNCTION("""COMPUTED_VALUE"""),"Sholem Aleichem: Laughing in the Darkness ")</f>
        <v>Sholem Aleichem: Laughing in the Darkness </v>
      </c>
      <c r="H3666" s="2">
        <v>1081331</v>
      </c>
    </row>
    <row r="3667" spans="7:8" x14ac:dyDescent="0.25">
      <c r="G3667" s="2" t="str">
        <f ca="1">IFERROR(__xludf.DUMMYFUNCTION("""COMPUTED_VALUE"""),"Groove ")</f>
        <v>Groove </v>
      </c>
      <c r="H3667" s="2">
        <v>406666</v>
      </c>
    </row>
    <row r="3668" spans="7:8" x14ac:dyDescent="0.25">
      <c r="G3668" s="2" t="str">
        <f ca="1">IFERROR(__xludf.DUMMYFUNCTION("""COMPUTED_VALUE"""),"The R.M. ")</f>
        <v>The R.M. </v>
      </c>
      <c r="H3668" s="2">
        <v>614943</v>
      </c>
    </row>
    <row r="3669" spans="7:8" x14ac:dyDescent="0.25">
      <c r="G3669" s="2" t="str">
        <f ca="1">IFERROR(__xludf.DUMMYFUNCTION("""COMPUTED_VALUE"""),"Twin Falls Idaho ")</f>
        <v>Twin Falls Idaho </v>
      </c>
      <c r="H3669" s="2">
        <v>611615</v>
      </c>
    </row>
    <row r="3670" spans="7:8" x14ac:dyDescent="0.25">
      <c r="G3670" s="2" t="str">
        <f ca="1">IFERROR(__xludf.DUMMYFUNCTION("""COMPUTED_VALUE"""),"Mean Creek ")</f>
        <v>Mean Creek </v>
      </c>
      <c r="H3670" s="2">
        <v>485341</v>
      </c>
    </row>
    <row r="3671" spans="7:8" x14ac:dyDescent="0.25">
      <c r="G3671" s="2" t="str">
        <f ca="1">IFERROR(__xludf.DUMMYFUNCTION("""COMPUTED_VALUE"""),"Hurricane Streets ")</f>
        <v>Hurricane Streets </v>
      </c>
      <c r="H3671" s="2">
        <v>103943</v>
      </c>
    </row>
    <row r="3672" spans="7:8" x14ac:dyDescent="0.25">
      <c r="G3672" s="2" t="str">
        <f ca="1">IFERROR(__xludf.DUMMYFUNCTION("""COMPUTED_VALUE"""),"Never Again ")</f>
        <v>Never Again </v>
      </c>
      <c r="H3672" s="2">
        <v>-165959</v>
      </c>
    </row>
    <row r="3673" spans="7:8" x14ac:dyDescent="0.25">
      <c r="G3673" s="2" t="str">
        <f ca="1">IFERROR(__xludf.DUMMYFUNCTION("""COMPUTED_VALUE"""),"Civil Brand ")</f>
        <v>Civil Brand </v>
      </c>
      <c r="H3673" s="2">
        <v>-204532</v>
      </c>
    </row>
    <row r="3674" spans="7:8" x14ac:dyDescent="0.25">
      <c r="G3674" s="2" t="str">
        <f ca="1">IFERROR(__xludf.DUMMYFUNCTION("""COMPUTED_VALUE"""),"Lonesome Jim ")</f>
        <v>Lonesome Jim </v>
      </c>
      <c r="H3674" s="2">
        <v>-256653</v>
      </c>
    </row>
    <row r="3675" spans="7:8" x14ac:dyDescent="0.25">
      <c r="G3675" s="2" t="str">
        <f ca="1">IFERROR(__xludf.DUMMYFUNCTION("""COMPUTED_VALUE"""),"Deceptive Practice: The Mysteries and Mentors of Ricky Jay ")</f>
        <v>Deceptive Practice: The Mysteries and Mentors of Ricky Jay </v>
      </c>
      <c r="H3675" s="2">
        <v>-345923</v>
      </c>
    </row>
    <row r="3676" spans="7:8" x14ac:dyDescent="0.25">
      <c r="G3676" s="2" t="str">
        <f ca="1">IFERROR(__xludf.DUMMYFUNCTION("""COMPUTED_VALUE"""),"Seven Samurai ")</f>
        <v>Seven Samurai </v>
      </c>
      <c r="H3676" s="2">
        <v>-348611</v>
      </c>
    </row>
    <row r="3677" spans="7:8" x14ac:dyDescent="0.25">
      <c r="G3677" s="2" t="str">
        <f ca="1">IFERROR(__xludf.DUMMYFUNCTION("""COMPUTED_VALUE"""),"The Other Dream Team ")</f>
        <v>The Other Dream Team </v>
      </c>
      <c r="H3677" s="2">
        <v>-1730939</v>
      </c>
    </row>
    <row r="3678" spans="7:8" x14ac:dyDescent="0.25">
      <c r="G3678" s="2" t="str">
        <f ca="1">IFERROR(__xludf.DUMMYFUNCTION("""COMPUTED_VALUE"""),"Finishing the Game: The Search for a New Bruce Lee ")</f>
        <v>Finishing the Game: The Search for a New Bruce Lee </v>
      </c>
      <c r="H3678" s="2">
        <v>-366222</v>
      </c>
    </row>
    <row r="3679" spans="7:8" x14ac:dyDescent="0.25">
      <c r="G3679" s="2" t="str">
        <f ca="1">IFERROR(__xludf.DUMMYFUNCTION("""COMPUTED_VALUE"""),"Rubber ")</f>
        <v>Rubber </v>
      </c>
      <c r="H3679" s="2">
        <v>-447150</v>
      </c>
    </row>
    <row r="3680" spans="7:8" x14ac:dyDescent="0.25">
      <c r="G3680" s="2" t="str">
        <f ca="1">IFERROR(__xludf.DUMMYFUNCTION("""COMPUTED_VALUE"""),"Kiss the Bride ")</f>
        <v>Kiss the Bride </v>
      </c>
      <c r="H3680" s="2">
        <v>-401983</v>
      </c>
    </row>
    <row r="3681" spans="7:8" x14ac:dyDescent="0.25">
      <c r="G3681" s="2" t="str">
        <f ca="1">IFERROR(__xludf.DUMMYFUNCTION("""COMPUTED_VALUE"""),"The Slaughter Rule ")</f>
        <v>The Slaughter Rule </v>
      </c>
      <c r="H3681" s="2">
        <v>-468063</v>
      </c>
    </row>
    <row r="3682" spans="7:8" x14ac:dyDescent="0.25">
      <c r="G3682" s="2" t="str">
        <f ca="1">IFERROR(__xludf.DUMMYFUNCTION("""COMPUTED_VALUE"""),"Monsters ")</f>
        <v>Monsters </v>
      </c>
      <c r="H3682" s="2">
        <v>-486866</v>
      </c>
    </row>
    <row r="3683" spans="7:8" x14ac:dyDescent="0.25">
      <c r="G3683" s="2" t="str">
        <f ca="1">IFERROR(__xludf.DUMMYFUNCTION("""COMPUTED_VALUE"""),"The Living Wake ")</f>
        <v>The Living Wake </v>
      </c>
      <c r="H3683" s="2">
        <v>-262699</v>
      </c>
    </row>
    <row r="3684" spans="7:8" x14ac:dyDescent="0.25">
      <c r="G3684" s="2" t="str">
        <f ca="1">IFERROR(__xludf.DUMMYFUNCTION("""COMPUTED_VALUE"""),"Detention of the Dead ")</f>
        <v>Detention of the Dead </v>
      </c>
      <c r="H3684" s="2">
        <v>-487945</v>
      </c>
    </row>
    <row r="3685" spans="7:8" x14ac:dyDescent="0.25">
      <c r="G3685" s="2" t="str">
        <f ca="1">IFERROR(__xludf.DUMMYFUNCTION("""COMPUTED_VALUE"""),"Born to Fly: Elizabeth Streb vs. Gravity ")</f>
        <v>Born to Fly: Elizabeth Streb vs. Gravity </v>
      </c>
      <c r="H3685" s="2">
        <v>-498668</v>
      </c>
    </row>
    <row r="3686" spans="7:8" x14ac:dyDescent="0.25">
      <c r="G3686" s="2" t="str">
        <f ca="1">IFERROR(__xludf.DUMMYFUNCTION("""COMPUTED_VALUE"""),"Straight Out of Brooklyn ")</f>
        <v>Straight Out of Brooklyn </v>
      </c>
      <c r="H3686" s="2">
        <v>-478801</v>
      </c>
    </row>
    <row r="3687" spans="7:8" x14ac:dyDescent="0.25">
      <c r="G3687" s="2" t="str">
        <f ca="1">IFERROR(__xludf.DUMMYFUNCTION("""COMPUTED_VALUE"""),"Bloody Sunday ")</f>
        <v>Bloody Sunday </v>
      </c>
      <c r="H3687" s="2">
        <v>2262293</v>
      </c>
    </row>
    <row r="3688" spans="7:8" x14ac:dyDescent="0.25">
      <c r="G3688" s="2" t="str">
        <f ca="1">IFERROR(__xludf.DUMMYFUNCTION("""COMPUTED_VALUE"""),"Conversations with Other Women ")</f>
        <v>Conversations with Other Women </v>
      </c>
      <c r="H3688" s="2">
        <v>-1231955</v>
      </c>
    </row>
    <row r="3689" spans="7:8" x14ac:dyDescent="0.25">
      <c r="G3689" s="2" t="str">
        <f ca="1">IFERROR(__xludf.DUMMYFUNCTION("""COMPUTED_VALUE"""),"Poultrygeist: Night of the Chicken Dead ")</f>
        <v>Poultrygeist: Night of the Chicken Dead </v>
      </c>
      <c r="H3689" s="2">
        <v>-70878</v>
      </c>
    </row>
    <row r="3690" spans="7:8" x14ac:dyDescent="0.25">
      <c r="G3690" s="2" t="str">
        <f ca="1">IFERROR(__xludf.DUMMYFUNCTION("""COMPUTED_VALUE"""),"42nd Street ")</f>
        <v>42nd Street </v>
      </c>
      <c r="H3690" s="2">
        <v>-477000</v>
      </c>
    </row>
    <row r="3691" spans="7:8" x14ac:dyDescent="0.25">
      <c r="G3691" s="2" t="str">
        <f ca="1">IFERROR(__xludf.DUMMYFUNCTION("""COMPUTED_VALUE"""),"Metropolitan ")</f>
        <v>Metropolitan </v>
      </c>
      <c r="H3691" s="2">
        <v>1861000</v>
      </c>
    </row>
    <row r="3692" spans="7:8" x14ac:dyDescent="0.25">
      <c r="G3692" s="2" t="str">
        <f ca="1">IFERROR(__xludf.DUMMYFUNCTION("""COMPUTED_VALUE"""),"As It Is in Heaven ")</f>
        <v>As It Is in Heaven </v>
      </c>
      <c r="H3692" s="2">
        <v>2713208</v>
      </c>
    </row>
    <row r="3693" spans="7:8" x14ac:dyDescent="0.25">
      <c r="G3693" s="2" t="str">
        <f ca="1">IFERROR(__xludf.DUMMYFUNCTION("""COMPUTED_VALUE"""),"Napoleon Dynamite ")</f>
        <v>Napoleon Dynamite </v>
      </c>
      <c r="H3693" s="2">
        <v>-24990090</v>
      </c>
    </row>
    <row r="3694" spans="7:8" x14ac:dyDescent="0.25">
      <c r="G3694" s="2" t="str">
        <f ca="1">IFERROR(__xludf.DUMMYFUNCTION("""COMPUTED_VALUE"""),"Blue Ruin ")</f>
        <v>Blue Ruin </v>
      </c>
      <c r="H3694" s="2">
        <v>44140956</v>
      </c>
    </row>
    <row r="3695" spans="7:8" x14ac:dyDescent="0.25">
      <c r="G3695" s="2" t="str">
        <f ca="1">IFERROR(__xludf.DUMMYFUNCTION("""COMPUTED_VALUE"""),"Paranormal Activity ")</f>
        <v>Paranormal Activity </v>
      </c>
      <c r="H3695" s="2">
        <v>-808054</v>
      </c>
    </row>
    <row r="3696" spans="7:8" x14ac:dyDescent="0.25">
      <c r="G3696" s="2" t="str">
        <f ca="1">IFERROR(__xludf.DUMMYFUNCTION("""COMPUTED_VALUE"""),"Monty Python and the Holy Grail ")</f>
        <v>Monty Python and the Holy Grail </v>
      </c>
      <c r="H3696" s="2">
        <v>107902283</v>
      </c>
    </row>
    <row r="3697" spans="7:8" x14ac:dyDescent="0.25">
      <c r="G3697" s="2" t="str">
        <f ca="1">IFERROR(__xludf.DUMMYFUNCTION("""COMPUTED_VALUE"""),"Quinceañera ")</f>
        <v>Quinceañera </v>
      </c>
      <c r="H3697" s="2">
        <v>999622</v>
      </c>
    </row>
    <row r="3698" spans="7:8" x14ac:dyDescent="0.25">
      <c r="G3698" s="2" t="str">
        <f ca="1">IFERROR(__xludf.DUMMYFUNCTION("""COMPUTED_VALUE"""),"Gory Gory Hallelujah ")</f>
        <v>Gory Gory Hallelujah </v>
      </c>
      <c r="H3698" s="2">
        <v>1289999</v>
      </c>
    </row>
    <row r="3699" spans="7:8" x14ac:dyDescent="0.25">
      <c r="G3699" s="2" t="str">
        <f ca="1">IFERROR(__xludf.DUMMYFUNCTION("""COMPUTED_VALUE"""),"Tarnation ")</f>
        <v>Tarnation </v>
      </c>
      <c r="H3699" s="2">
        <v>-88202</v>
      </c>
    </row>
    <row r="3700" spans="7:8" x14ac:dyDescent="0.25">
      <c r="G3700" s="2" t="str">
        <f ca="1">IFERROR(__xludf.DUMMYFUNCTION("""COMPUTED_VALUE"""),"I Want Your Money ")</f>
        <v>I Want Your Money </v>
      </c>
      <c r="H3700" s="2">
        <v>591796</v>
      </c>
    </row>
    <row r="3701" spans="7:8" x14ac:dyDescent="0.25">
      <c r="G3701" s="2" t="str">
        <f ca="1">IFERROR(__xludf.DUMMYFUNCTION("""COMPUTED_VALUE"""),"The Beyond ")</f>
        <v>The Beyond </v>
      </c>
      <c r="H3701" s="2">
        <v>25899</v>
      </c>
    </row>
    <row r="3702" spans="7:8" x14ac:dyDescent="0.25">
      <c r="G3702" s="2" t="str">
        <f ca="1">IFERROR(__xludf.DUMMYFUNCTION("""COMPUTED_VALUE"""),"What Happens in Vegas ")</f>
        <v>What Happens in Vegas </v>
      </c>
      <c r="H3702" s="2">
        <v>-273613</v>
      </c>
    </row>
    <row r="3703" spans="7:8" x14ac:dyDescent="0.25">
      <c r="G3703" s="2" t="str">
        <f ca="1">IFERROR(__xludf.DUMMYFUNCTION("""COMPUTED_VALUE"""),"Trekkies ")</f>
        <v>Trekkies </v>
      </c>
      <c r="H3703" s="2">
        <v>45276912</v>
      </c>
    </row>
    <row r="3704" spans="7:8" x14ac:dyDescent="0.25">
      <c r="G3704" s="2" t="str">
        <f ca="1">IFERROR(__xludf.DUMMYFUNCTION("""COMPUTED_VALUE"""),"The Broadway Melody ")</f>
        <v>The Broadway Melody </v>
      </c>
      <c r="H3704" s="2">
        <v>242172</v>
      </c>
    </row>
    <row r="3705" spans="7:8" x14ac:dyDescent="0.25">
      <c r="G3705" s="2" t="str">
        <f ca="1">IFERROR(__xludf.DUMMYFUNCTION("""COMPUTED_VALUE"""),"Maniac ")</f>
        <v>Maniac </v>
      </c>
      <c r="H3705" s="2">
        <v>2429000</v>
      </c>
    </row>
    <row r="3706" spans="7:8" x14ac:dyDescent="0.25">
      <c r="G3706" s="2" t="str">
        <f ca="1">IFERROR(__xludf.DUMMYFUNCTION("""COMPUTED_VALUE"""),"Censored Voices ")</f>
        <v>Censored Voices </v>
      </c>
      <c r="H3706" s="2">
        <v>-5987157</v>
      </c>
    </row>
    <row r="3707" spans="7:8" x14ac:dyDescent="0.25">
      <c r="G3707" s="2" t="str">
        <f ca="1">IFERROR(__xludf.DUMMYFUNCTION("""COMPUTED_VALUE"""),"Murderball ")</f>
        <v>Murderball </v>
      </c>
      <c r="H3707" s="2">
        <v>-415849</v>
      </c>
    </row>
    <row r="3708" spans="7:8" x14ac:dyDescent="0.25">
      <c r="G3708" s="2" t="str">
        <f ca="1">IFERROR(__xludf.DUMMYFUNCTION("""COMPUTED_VALUE"""),"American Ninja 2: The Confrontation ")</f>
        <v>American Ninja 2: The Confrontation </v>
      </c>
      <c r="H3708" s="2">
        <v>-226328</v>
      </c>
    </row>
    <row r="3709" spans="7:8" x14ac:dyDescent="0.25">
      <c r="G3709" s="2" t="str">
        <f ca="1">IFERROR(__xludf.DUMMYFUNCTION("""COMPUTED_VALUE"""),"Tumbleweeds ")</f>
        <v>Tumbleweeds </v>
      </c>
      <c r="H3709" s="2">
        <v>3650000</v>
      </c>
    </row>
    <row r="3710" spans="7:8" x14ac:dyDescent="0.25">
      <c r="G3710" s="2" t="str">
        <f ca="1">IFERROR(__xludf.DUMMYFUNCTION("""COMPUTED_VALUE"""),"The Prophecy ")</f>
        <v>The Prophecy </v>
      </c>
      <c r="H3710" s="2">
        <v>969176</v>
      </c>
    </row>
    <row r="3711" spans="7:8" x14ac:dyDescent="0.25">
      <c r="G3711" s="2" t="str">
        <f ca="1">IFERROR(__xludf.DUMMYFUNCTION("""COMPUTED_VALUE"""),"When the Cat's Away ")</f>
        <v>When the Cat's Away </v>
      </c>
      <c r="H3711" s="2">
        <v>8115878</v>
      </c>
    </row>
    <row r="3712" spans="7:8" x14ac:dyDescent="0.25">
      <c r="G3712" s="2" t="str">
        <f ca="1">IFERROR(__xludf.DUMMYFUNCTION("""COMPUTED_VALUE"""),"Pieces of April ")</f>
        <v>Pieces of April </v>
      </c>
      <c r="H3712" s="2">
        <v>1352472</v>
      </c>
    </row>
    <row r="3713" spans="7:8" x14ac:dyDescent="0.25">
      <c r="G3713" s="2" t="str">
        <f ca="1">IFERROR(__xludf.DUMMYFUNCTION("""COMPUTED_VALUE"""),"Old Joy ")</f>
        <v>Old Joy </v>
      </c>
      <c r="H3713" s="2">
        <v>2060184</v>
      </c>
    </row>
    <row r="3714" spans="7:8" x14ac:dyDescent="0.25">
      <c r="G3714" s="2" t="str">
        <f ca="1">IFERROR(__xludf.DUMMYFUNCTION("""COMPUTED_VALUE"""),"Wendy and Lucy ")</f>
        <v>Wendy and Lucy </v>
      </c>
      <c r="H3714" s="2">
        <v>-44648</v>
      </c>
    </row>
    <row r="3715" spans="7:8" x14ac:dyDescent="0.25">
      <c r="G3715" s="2" t="str">
        <f ca="1">IFERROR(__xludf.DUMMYFUNCTION("""COMPUTED_VALUE"""),"Ayurveda: Art of Being ")</f>
        <v>Ayurveda: Art of Being </v>
      </c>
      <c r="H3715" s="2">
        <v>656942</v>
      </c>
    </row>
    <row r="3716" spans="7:8" x14ac:dyDescent="0.25">
      <c r="G3716" s="2" t="str">
        <f ca="1">IFERROR(__xludf.DUMMYFUNCTION("""COMPUTED_VALUE"""),"Nothing But a Man ")</f>
        <v>Nothing But a Man </v>
      </c>
      <c r="H3716" s="2">
        <v>-283108</v>
      </c>
    </row>
    <row r="3717" spans="7:8" x14ac:dyDescent="0.25">
      <c r="G3717" s="2" t="str">
        <f ca="1">IFERROR(__xludf.DUMMYFUNCTION("""COMPUTED_VALUE"""),"First Love, Last Rites ")</f>
        <v>First Love, Last Rites </v>
      </c>
      <c r="H3717" s="2">
        <v>-147562</v>
      </c>
    </row>
    <row r="3718" spans="7:8" x14ac:dyDescent="0.25">
      <c r="G3718" s="2" t="str">
        <f ca="1">IFERROR(__xludf.DUMMYFUNCTION("""COMPUTED_VALUE"""),"Fighting Tommy Riley ")</f>
        <v>Fighting Tommy Riley </v>
      </c>
      <c r="H3718" s="2">
        <v>-259458</v>
      </c>
    </row>
    <row r="3719" spans="7:8" x14ac:dyDescent="0.25">
      <c r="G3719" s="2" t="str">
        <f ca="1">IFERROR(__xludf.DUMMYFUNCTION("""COMPUTED_VALUE"""),"Locker 13 ")</f>
        <v>Locker 13 </v>
      </c>
      <c r="H3719" s="2">
        <v>-194801</v>
      </c>
    </row>
    <row r="3720" spans="7:8" x14ac:dyDescent="0.25">
      <c r="G3720" s="2" t="str">
        <f ca="1">IFERROR(__xludf.DUMMYFUNCTION("""COMPUTED_VALUE"""),"Compliance ")</f>
        <v>Compliance </v>
      </c>
      <c r="H3720" s="2">
        <v>-297532</v>
      </c>
    </row>
    <row r="3721" spans="7:8" x14ac:dyDescent="0.25">
      <c r="G3721" s="2" t="str">
        <f ca="1">IFERROR(__xludf.DUMMYFUNCTION("""COMPUTED_VALUE"""),"Chasing Amy ")</f>
        <v>Chasing Amy </v>
      </c>
      <c r="H3721" s="2">
        <v>48622</v>
      </c>
    </row>
    <row r="3722" spans="7:8" x14ac:dyDescent="0.25">
      <c r="G3722" s="2" t="str">
        <f ca="1">IFERROR(__xludf.DUMMYFUNCTION("""COMPUTED_VALUE"""),"Lovely &amp; Amazing ")</f>
        <v>Lovely &amp; Amazing </v>
      </c>
      <c r="H3722" s="2">
        <v>11756514</v>
      </c>
    </row>
    <row r="3723" spans="7:8" x14ac:dyDescent="0.25">
      <c r="G3723" s="2" t="str">
        <f ca="1">IFERROR(__xludf.DUMMYFUNCTION("""COMPUTED_VALUE"""),"Better Luck Tomorrow ")</f>
        <v>Better Luck Tomorrow </v>
      </c>
      <c r="H3723" s="2">
        <v>3936931</v>
      </c>
    </row>
    <row r="3724" spans="7:8" x14ac:dyDescent="0.25">
      <c r="G3724" s="2" t="str">
        <f ca="1">IFERROR(__xludf.DUMMYFUNCTION("""COMPUTED_VALUE"""),"The Incredibly True Adventure of Two Girls in Love ")</f>
        <v>The Incredibly True Adventure of Two Girls in Love </v>
      </c>
      <c r="H3724" s="2">
        <v>3549339</v>
      </c>
    </row>
    <row r="3725" spans="7:8" x14ac:dyDescent="0.25">
      <c r="G3725" s="2" t="str">
        <f ca="1">IFERROR(__xludf.DUMMYFUNCTION("""COMPUTED_VALUE"""),"Chuck &amp; Buck ")</f>
        <v>Chuck &amp; Buck </v>
      </c>
      <c r="H3725" s="2">
        <v>1727544</v>
      </c>
    </row>
    <row r="3726" spans="7:8" x14ac:dyDescent="0.25">
      <c r="G3726" s="2" t="str">
        <f ca="1">IFERROR(__xludf.DUMMYFUNCTION("""COMPUTED_VALUE"""),"American Desi ")</f>
        <v>American Desi </v>
      </c>
      <c r="H3726" s="2">
        <v>800600</v>
      </c>
    </row>
    <row r="3727" spans="7:8" x14ac:dyDescent="0.25">
      <c r="G3727" s="2" t="str">
        <f ca="1">IFERROR(__xludf.DUMMYFUNCTION("""COMPUTED_VALUE"""),"Cube ")</f>
        <v>Cube </v>
      </c>
      <c r="H3727" s="2">
        <v>652835</v>
      </c>
    </row>
    <row r="3728" spans="7:8" x14ac:dyDescent="0.25">
      <c r="G3728" s="2" t="str">
        <f ca="1">IFERROR(__xludf.DUMMYFUNCTION("""COMPUTED_VALUE"""),"Love and Other Catastrophes ")</f>
        <v>Love and Other Catastrophes </v>
      </c>
      <c r="H3728" s="2">
        <v>124220</v>
      </c>
    </row>
    <row r="3729" spans="7:8" x14ac:dyDescent="0.25">
      <c r="G3729" s="2" t="str">
        <f ca="1">IFERROR(__xludf.DUMMYFUNCTION("""COMPUTED_VALUE"""),"I Married a Strange Person! ")</f>
        <v>I Married a Strange Person! </v>
      </c>
      <c r="H3729" s="2">
        <v>-37715</v>
      </c>
    </row>
    <row r="3730" spans="7:8" x14ac:dyDescent="0.25">
      <c r="G3730" s="2" t="str">
        <f ca="1">IFERROR(__xludf.DUMMYFUNCTION("""COMPUTED_VALUE"""),"November ")</f>
        <v>November </v>
      </c>
      <c r="H3730" s="2">
        <v>-46866</v>
      </c>
    </row>
    <row r="3731" spans="7:8" x14ac:dyDescent="0.25">
      <c r="G3731" s="2" t="str">
        <f ca="1">IFERROR(__xludf.DUMMYFUNCTION("""COMPUTED_VALUE"""),"Like Crazy ")</f>
        <v>Like Crazy </v>
      </c>
      <c r="H3731" s="2">
        <v>41309</v>
      </c>
    </row>
    <row r="3732" spans="7:8" x14ac:dyDescent="0.25">
      <c r="G3732" s="2" t="str">
        <f ca="1">IFERROR(__xludf.DUMMYFUNCTION("""COMPUTED_VALUE"""),"Sugar Town ")</f>
        <v>Sugar Town </v>
      </c>
      <c r="H3732" s="2">
        <v>3138210</v>
      </c>
    </row>
    <row r="3733" spans="7:8" x14ac:dyDescent="0.25">
      <c r="G3733" s="2" t="str">
        <f ca="1">IFERROR(__xludf.DUMMYFUNCTION("""COMPUTED_VALUE"""),"The Canyons ")</f>
        <v>The Canyons </v>
      </c>
      <c r="H3733" s="2">
        <v>-72160</v>
      </c>
    </row>
    <row r="3734" spans="7:8" x14ac:dyDescent="0.25">
      <c r="G3734" s="2" t="str">
        <f ca="1">IFERROR(__xludf.DUMMYFUNCTION("""COMPUTED_VALUE"""),"The Sticky Fingers of Time ")</f>
        <v>The Sticky Fingers of Time </v>
      </c>
      <c r="H3734" s="2">
        <v>-200506</v>
      </c>
    </row>
    <row r="3735" spans="7:8" x14ac:dyDescent="0.25">
      <c r="G3735" s="2" t="str">
        <f ca="1">IFERROR(__xludf.DUMMYFUNCTION("""COMPUTED_VALUE"""),"Burn ")</f>
        <v>Burn </v>
      </c>
      <c r="H3735" s="2">
        <v>-231805</v>
      </c>
    </row>
    <row r="3736" spans="7:8" x14ac:dyDescent="0.25">
      <c r="G3736" s="2" t="str">
        <f ca="1">IFERROR(__xludf.DUMMYFUNCTION("""COMPUTED_VALUE"""),"Urbania ")</f>
        <v>Urbania </v>
      </c>
      <c r="H3736" s="2">
        <v>-113700</v>
      </c>
    </row>
    <row r="3737" spans="7:8" x14ac:dyDescent="0.25">
      <c r="G3737" s="2" t="str">
        <f ca="1">IFERROR(__xludf.DUMMYFUNCTION("""COMPUTED_VALUE"""),"The Beast from 20,000 Fathoms ")</f>
        <v>The Beast from 20,000 Fathoms </v>
      </c>
      <c r="H3737" s="2">
        <v>802119</v>
      </c>
    </row>
    <row r="3738" spans="7:8" x14ac:dyDescent="0.25">
      <c r="G3738" s="2" t="str">
        <f ca="1">IFERROR(__xludf.DUMMYFUNCTION("""COMPUTED_VALUE"""),"Swingers ")</f>
        <v>Swingers </v>
      </c>
      <c r="H3738" s="2">
        <v>4790000</v>
      </c>
    </row>
    <row r="3739" spans="7:8" x14ac:dyDescent="0.25">
      <c r="G3739" s="2" t="str">
        <f ca="1">IFERROR(__xludf.DUMMYFUNCTION("""COMPUTED_VALUE"""),"A Fistful of Dollars ")</f>
        <v>A Fistful of Dollars </v>
      </c>
      <c r="H3739" s="2">
        <v>4305922</v>
      </c>
    </row>
    <row r="3740" spans="7:8" x14ac:dyDescent="0.25">
      <c r="G3740" s="2" t="str">
        <f ca="1">IFERROR(__xludf.DUMMYFUNCTION("""COMPUTED_VALUE"""),"Short Cut to Nirvana: Kumbh Mela ")</f>
        <v>Short Cut to Nirvana: Kumbh Mela </v>
      </c>
      <c r="H3740" s="2">
        <v>3300000</v>
      </c>
    </row>
    <row r="3741" spans="7:8" x14ac:dyDescent="0.25">
      <c r="G3741" s="2" t="str">
        <f ca="1">IFERROR(__xludf.DUMMYFUNCTION("""COMPUTED_VALUE"""),"The Grace Card ")</f>
        <v>The Grace Card </v>
      </c>
      <c r="H3741" s="2">
        <v>181225</v>
      </c>
    </row>
    <row r="3742" spans="7:8" x14ac:dyDescent="0.25">
      <c r="G3742" s="2" t="str">
        <f ca="1">IFERROR(__xludf.DUMMYFUNCTION("""COMPUTED_VALUE"""),"Middle of Nowhere ")</f>
        <v>Middle of Nowhere </v>
      </c>
      <c r="H3742" s="2">
        <v>2228241</v>
      </c>
    </row>
    <row r="3743" spans="7:8" x14ac:dyDescent="0.25">
      <c r="G3743" s="2" t="str">
        <f ca="1">IFERROR(__xludf.DUMMYFUNCTION("""COMPUTED_VALUE"""),"The Business of Fancydancing ")</f>
        <v>The Business of Fancydancing </v>
      </c>
      <c r="H3743" s="2">
        <v>-121970</v>
      </c>
    </row>
    <row r="3744" spans="7:8" x14ac:dyDescent="0.25">
      <c r="G3744" s="2" t="str">
        <f ca="1">IFERROR(__xludf.DUMMYFUNCTION("""COMPUTED_VALUE"""),"Call + Response ")</f>
        <v>Call + Response </v>
      </c>
      <c r="H3744" s="2">
        <v>-25318</v>
      </c>
    </row>
    <row r="3745" spans="7:8" x14ac:dyDescent="0.25">
      <c r="G3745" s="2" t="str">
        <f ca="1">IFERROR(__xludf.DUMMYFUNCTION("""COMPUTED_VALUE"""),"The Trials of Darryl Hunt ")</f>
        <v>The Trials of Darryl Hunt </v>
      </c>
      <c r="H3745" s="2">
        <v>15185</v>
      </c>
    </row>
    <row r="3746" spans="7:8" x14ac:dyDescent="0.25">
      <c r="G3746" s="2" t="str">
        <f ca="1">IFERROR(__xludf.DUMMYFUNCTION("""COMPUTED_VALUE"""),"Children of Heaven ")</f>
        <v>Children of Heaven </v>
      </c>
      <c r="H3746" s="2">
        <v>-198889</v>
      </c>
    </row>
    <row r="3747" spans="7:8" x14ac:dyDescent="0.25">
      <c r="G3747" s="2" t="str">
        <f ca="1">IFERROR(__xludf.DUMMYFUNCTION("""COMPUTED_VALUE"""),"Weekend ")</f>
        <v>Weekend </v>
      </c>
      <c r="H3747" s="2">
        <v>745402</v>
      </c>
    </row>
    <row r="3748" spans="7:8" x14ac:dyDescent="0.25">
      <c r="G3748" s="2" t="str">
        <f ca="1">IFERROR(__xludf.DUMMYFUNCTION("""COMPUTED_VALUE"""),"She's Gotta Have It ")</f>
        <v>She's Gotta Have It </v>
      </c>
      <c r="H3748" s="2">
        <v>349947</v>
      </c>
    </row>
    <row r="3749" spans="7:8" x14ac:dyDescent="0.25">
      <c r="G3749" s="2" t="str">
        <f ca="1">IFERROR(__xludf.DUMMYFUNCTION("""COMPUTED_VALUE"""),"Another Earth ")</f>
        <v>Another Earth </v>
      </c>
      <c r="H3749" s="2">
        <v>6962502</v>
      </c>
    </row>
    <row r="3750" spans="7:8" x14ac:dyDescent="0.25">
      <c r="G3750" s="2" t="str">
        <f ca="1">IFERROR(__xludf.DUMMYFUNCTION("""COMPUTED_VALUE"""),"Sweet Sweetback's Baadasssss Song ")</f>
        <v>Sweet Sweetback's Baadasssss Song </v>
      </c>
      <c r="H3750" s="2">
        <v>1216074</v>
      </c>
    </row>
    <row r="3751" spans="7:8" x14ac:dyDescent="0.25">
      <c r="G3751" s="2" t="str">
        <f ca="1">IFERROR(__xludf.DUMMYFUNCTION("""COMPUTED_VALUE"""),"Tadpole ")</f>
        <v>Tadpole </v>
      </c>
      <c r="H3751" s="2">
        <v>14680000</v>
      </c>
    </row>
    <row r="3752" spans="7:8" x14ac:dyDescent="0.25">
      <c r="G3752" s="2" t="str">
        <f ca="1">IFERROR(__xludf.DUMMYFUNCTION("""COMPUTED_VALUE"""),"Once ")</f>
        <v>Once </v>
      </c>
      <c r="H3752" s="2">
        <v>2732062</v>
      </c>
    </row>
    <row r="3753" spans="7:8" x14ac:dyDescent="0.25">
      <c r="G3753" s="2" t="str">
        <f ca="1">IFERROR(__xludf.DUMMYFUNCTION("""COMPUTED_VALUE"""),"The Woman Chaser ")</f>
        <v>The Woman Chaser </v>
      </c>
      <c r="H3753" s="2">
        <v>9257933</v>
      </c>
    </row>
    <row r="3754" spans="7:8" x14ac:dyDescent="0.25">
      <c r="G3754" s="2" t="str">
        <f ca="1">IFERROR(__xludf.DUMMYFUNCTION("""COMPUTED_VALUE"""),"The Horse Boy ")</f>
        <v>The Horse Boy </v>
      </c>
      <c r="H3754" s="2">
        <v>-1089280</v>
      </c>
    </row>
    <row r="3755" spans="7:8" x14ac:dyDescent="0.25">
      <c r="G3755" s="2" t="str">
        <f ca="1">IFERROR(__xludf.DUMMYFUNCTION("""COMPUTED_VALUE"""),"Antarctic Edge: 70° South ")</f>
        <v>Antarctic Edge: 70° South </v>
      </c>
      <c r="H3755" s="2">
        <v>-4016</v>
      </c>
    </row>
    <row r="3756" spans="7:8" x14ac:dyDescent="0.25">
      <c r="G3756" s="2" t="str">
        <f ca="1">IFERROR(__xludf.DUMMYFUNCTION("""COMPUTED_VALUE"""),"Top Spin ")</f>
        <v>Top Spin </v>
      </c>
      <c r="H3756" s="2">
        <v>-145086</v>
      </c>
    </row>
    <row r="3757" spans="7:8" x14ac:dyDescent="0.25">
      <c r="G3757" s="2" t="str">
        <f ca="1">IFERROR(__xludf.DUMMYFUNCTION("""COMPUTED_VALUE"""),"Roger &amp; Me ")</f>
        <v>Roger &amp; Me </v>
      </c>
      <c r="H3757" s="2">
        <v>-144142</v>
      </c>
    </row>
    <row r="3758" spans="7:8" x14ac:dyDescent="0.25">
      <c r="G3758" s="2" t="str">
        <f ca="1">IFERROR(__xludf.DUMMYFUNCTION("""COMPUTED_VALUE"""),"Your Sister's Sister ")</f>
        <v>Your Sister's Sister </v>
      </c>
      <c r="H3758" s="2">
        <v>6546368</v>
      </c>
    </row>
    <row r="3759" spans="7:8" x14ac:dyDescent="0.25">
      <c r="G3759" s="2" t="str">
        <f ca="1">IFERROR(__xludf.DUMMYFUNCTION("""COMPUTED_VALUE"""),"Facing the Giants ")</f>
        <v>Facing the Giants </v>
      </c>
      <c r="H3759" s="2">
        <v>1448712</v>
      </c>
    </row>
    <row r="3760" spans="7:8" x14ac:dyDescent="0.25">
      <c r="G3760" s="2" t="str">
        <f ca="1">IFERROR(__xludf.DUMMYFUNCTION("""COMPUTED_VALUE"""),"The Gallows ")</f>
        <v>The Gallows </v>
      </c>
      <c r="H3760" s="2">
        <v>10074663</v>
      </c>
    </row>
    <row r="3761" spans="7:8" x14ac:dyDescent="0.25">
      <c r="G3761" s="2" t="str">
        <f ca="1">IFERROR(__xludf.DUMMYFUNCTION("""COMPUTED_VALUE"""),"Hollywood Shuffle ")</f>
        <v>Hollywood Shuffle </v>
      </c>
      <c r="H3761" s="2">
        <v>22657819</v>
      </c>
    </row>
    <row r="3762" spans="7:8" x14ac:dyDescent="0.25">
      <c r="G3762" s="2" t="str">
        <f ca="1">IFERROR(__xludf.DUMMYFUNCTION("""COMPUTED_VALUE"""),"The Lost Skeleton of Cadavra ")</f>
        <v>The Lost Skeleton of Cadavra </v>
      </c>
      <c r="H3762" s="2">
        <v>5128617</v>
      </c>
    </row>
    <row r="3763" spans="7:8" x14ac:dyDescent="0.25">
      <c r="G3763" s="2" t="str">
        <f ca="1">IFERROR(__xludf.DUMMYFUNCTION("""COMPUTED_VALUE"""),"Cheap Thrills ")</f>
        <v>Cheap Thrills </v>
      </c>
      <c r="H3763" s="2">
        <v>70536</v>
      </c>
    </row>
    <row r="3764" spans="7:8" x14ac:dyDescent="0.25">
      <c r="G3764" s="2" t="str">
        <f ca="1">IFERROR(__xludf.DUMMYFUNCTION("""COMPUTED_VALUE"""),"Pi ")</f>
        <v>Pi </v>
      </c>
      <c r="H3764" s="2">
        <v>-140621</v>
      </c>
    </row>
    <row r="3765" spans="7:8" x14ac:dyDescent="0.25">
      <c r="G3765" s="2" t="str">
        <f ca="1">IFERROR(__xludf.DUMMYFUNCTION("""COMPUTED_VALUE"""),"20 Dates ")</f>
        <v>20 Dates </v>
      </c>
      <c r="H3765" s="2">
        <v>3156970</v>
      </c>
    </row>
    <row r="3766" spans="7:8" x14ac:dyDescent="0.25">
      <c r="G3766" s="2" t="str">
        <f ca="1">IFERROR(__xludf.DUMMYFUNCTION("""COMPUTED_VALUE"""),"Super Size Me ")</f>
        <v>Super Size Me </v>
      </c>
      <c r="H3766" s="2">
        <v>476767</v>
      </c>
    </row>
    <row r="3767" spans="7:8" x14ac:dyDescent="0.25">
      <c r="G3767" s="2" t="str">
        <f ca="1">IFERROR(__xludf.DUMMYFUNCTION("""COMPUTED_VALUE"""),"The FP ")</f>
        <v>The FP </v>
      </c>
      <c r="H3767" s="2">
        <v>11464368</v>
      </c>
    </row>
    <row r="3768" spans="7:8" x14ac:dyDescent="0.25">
      <c r="G3768" s="2" t="str">
        <f ca="1">IFERROR(__xludf.DUMMYFUNCTION("""COMPUTED_VALUE"""),"Happy Christmas ")</f>
        <v>Happy Christmas </v>
      </c>
      <c r="H3768" s="2">
        <v>-19443</v>
      </c>
    </row>
    <row r="3769" spans="7:8" x14ac:dyDescent="0.25">
      <c r="G3769" s="2" t="str">
        <f ca="1">IFERROR(__xludf.DUMMYFUNCTION("""COMPUTED_VALUE"""),"The Brothers McMullen ")</f>
        <v>The Brothers McMullen </v>
      </c>
      <c r="H3769" s="2">
        <v>-39916</v>
      </c>
    </row>
    <row r="3770" spans="7:8" x14ac:dyDescent="0.25">
      <c r="G3770" s="2" t="str">
        <f ca="1">IFERROR(__xludf.DUMMYFUNCTION("""COMPUTED_VALUE"""),"Tiny Furniture ")</f>
        <v>Tiny Furniture </v>
      </c>
      <c r="H3770" s="2">
        <v>10221600</v>
      </c>
    </row>
    <row r="3771" spans="7:8" x14ac:dyDescent="0.25">
      <c r="G3771" s="2" t="str">
        <f ca="1">IFERROR(__xludf.DUMMYFUNCTION("""COMPUTED_VALUE"""),"George Washington ")</f>
        <v>George Washington </v>
      </c>
      <c r="H3771" s="2">
        <v>324804</v>
      </c>
    </row>
    <row r="3772" spans="7:8" x14ac:dyDescent="0.25">
      <c r="G3772" s="2" t="str">
        <f ca="1">IFERROR(__xludf.DUMMYFUNCTION("""COMPUTED_VALUE"""),"Smiling Fish &amp; Goat on Fire ")</f>
        <v>Smiling Fish &amp; Goat on Fire </v>
      </c>
      <c r="H3772" s="2">
        <v>199816</v>
      </c>
    </row>
    <row r="3773" spans="7:8" x14ac:dyDescent="0.25">
      <c r="G3773" s="2" t="str">
        <f ca="1">IFERROR(__xludf.DUMMYFUNCTION("""COMPUTED_VALUE"""),"The Legend of God's Gun ")</f>
        <v>The Legend of God's Gun </v>
      </c>
      <c r="H3773" s="2">
        <v>237233</v>
      </c>
    </row>
    <row r="3774" spans="7:8" x14ac:dyDescent="0.25">
      <c r="G3774" s="2" t="str">
        <f ca="1">IFERROR(__xludf.DUMMYFUNCTION("""COMPUTED_VALUE"""),"Clerks ")</f>
        <v>Clerks </v>
      </c>
      <c r="H3774" s="2">
        <v>213768</v>
      </c>
    </row>
    <row r="3775" spans="7:8" x14ac:dyDescent="0.25">
      <c r="G3775" s="2" t="str">
        <f ca="1">IFERROR(__xludf.DUMMYFUNCTION("""COMPUTED_VALUE"""),"Pink Narcissus ")</f>
        <v>Pink Narcissus </v>
      </c>
      <c r="H3775" s="2">
        <v>2921130</v>
      </c>
    </row>
    <row r="3776" spans="7:8" x14ac:dyDescent="0.25">
      <c r="G3776" s="2" t="str">
        <f ca="1">IFERROR(__xludf.DUMMYFUNCTION("""COMPUTED_VALUE"""),"In the Company of Men ")</f>
        <v>In the Company of Men </v>
      </c>
      <c r="H3776" s="2">
        <v>-18769</v>
      </c>
    </row>
    <row r="3777" spans="7:8" x14ac:dyDescent="0.25">
      <c r="G3777" s="2" t="str">
        <f ca="1">IFERROR(__xludf.DUMMYFUNCTION("""COMPUTED_VALUE"""),"Slacker ")</f>
        <v>Slacker </v>
      </c>
      <c r="H3777" s="2">
        <v>2831622</v>
      </c>
    </row>
    <row r="3778" spans="7:8" x14ac:dyDescent="0.25">
      <c r="G3778" s="2" t="str">
        <f ca="1">IFERROR(__xludf.DUMMYFUNCTION("""COMPUTED_VALUE"""),"The Puffy Chair ")</f>
        <v>The Puffy Chair </v>
      </c>
      <c r="H3778" s="2">
        <v>1204508</v>
      </c>
    </row>
    <row r="3779" spans="7:8" x14ac:dyDescent="0.25">
      <c r="G3779" s="2" t="str">
        <f ca="1">IFERROR(__xludf.DUMMYFUNCTION("""COMPUTED_VALUE"""),"Breaking Upwards ")</f>
        <v>Breaking Upwards </v>
      </c>
      <c r="H3779" s="2">
        <v>177467</v>
      </c>
    </row>
    <row r="3780" spans="7:8" x14ac:dyDescent="0.25">
      <c r="G3780" s="2" t="str">
        <f ca="1">IFERROR(__xludf.DUMMYFUNCTION("""COMPUTED_VALUE"""),"Pink Flamingos ")</f>
        <v>Pink Flamingos </v>
      </c>
      <c r="H3780" s="2">
        <v>61382</v>
      </c>
    </row>
    <row r="3781" spans="7:8" x14ac:dyDescent="0.25">
      <c r="G3781" s="2" t="str">
        <f ca="1">IFERROR(__xludf.DUMMYFUNCTION("""COMPUTED_VALUE"""),"Clean ")</f>
        <v>Clean </v>
      </c>
      <c r="H3781" s="2">
        <v>170483</v>
      </c>
    </row>
    <row r="3782" spans="7:8" x14ac:dyDescent="0.25">
      <c r="G3782" s="2" t="str">
        <f ca="1">IFERROR(__xludf.DUMMYFUNCTION("""COMPUTED_VALUE"""),"The Circle ")</f>
        <v>The Circle </v>
      </c>
      <c r="H3782" s="2">
        <v>131507</v>
      </c>
    </row>
    <row r="3783" spans="7:8" x14ac:dyDescent="0.25">
      <c r="G3783" s="2" t="str">
        <f ca="1">IFERROR(__xludf.DUMMYFUNCTION("""COMPUTED_VALUE"""),"The Cure ")</f>
        <v>The Cure </v>
      </c>
      <c r="H3783" s="2">
        <v>663780</v>
      </c>
    </row>
    <row r="3784" spans="7:8" x14ac:dyDescent="0.25">
      <c r="G3784" s="2" t="str">
        <f ca="1">IFERROR(__xludf.DUMMYFUNCTION("""COMPUTED_VALUE"""),"Primer ")</f>
        <v>Primer </v>
      </c>
      <c r="H3784" s="2">
        <v>-905404</v>
      </c>
    </row>
    <row r="3785" spans="7:8" x14ac:dyDescent="0.25">
      <c r="G3785" s="2" t="str">
        <f ca="1">IFERROR(__xludf.DUMMYFUNCTION("""COMPUTED_VALUE"""),"Cavite ")</f>
        <v>Cavite </v>
      </c>
      <c r="H3785" s="2">
        <v>417760</v>
      </c>
    </row>
    <row r="3786" spans="7:8" x14ac:dyDescent="0.25">
      <c r="G3786" s="2" t="str">
        <f ca="1">IFERROR(__xludf.DUMMYFUNCTION("""COMPUTED_VALUE"""),"El Mariachi ")</f>
        <v>El Mariachi </v>
      </c>
      <c r="H3786" s="2">
        <v>63071</v>
      </c>
    </row>
    <row r="3787" spans="7:8" x14ac:dyDescent="0.25">
      <c r="G3787" s="2" t="str">
        <f ca="1">IFERROR(__xludf.DUMMYFUNCTION("""COMPUTED_VALUE"""),"Newlyweds ")</f>
        <v>Newlyweds </v>
      </c>
      <c r="H3787" s="2">
        <v>2033920</v>
      </c>
    </row>
    <row r="3788" spans="7:8" x14ac:dyDescent="0.25">
      <c r="G3788" s="2" t="str">
        <f ca="1">IFERROR(__xludf.DUMMYFUNCTION("""COMPUTED_VALUE"""),"My Date with Drew ")</f>
        <v>My Date with Drew </v>
      </c>
      <c r="H3788" s="2">
        <v>-4416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I H 9 o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C B / a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f 2 h Y K I p H u A 4 A A A A R A A A A E w A c A E Z v c m 1 1 b G F z L 1 N l Y 3 R p b 2 4 x L m 0 g o h g A K K A U A A A A A A A A A A A A A A A A A A A A A A A A A A A A K 0 5 N L s n M z 1 M I h t C G 1 g B Q S w E C L Q A U A A I A C A A g f 2 h Y w d e H S 6 U A A A D 2 A A A A E g A A A A A A A A A A A A A A A A A A A A A A Q 2 9 u Z m l n L 1 B h Y 2 t h Z 2 U u e G 1 s U E s B A i 0 A F A A C A A g A I H 9 o W A / K 6 a u k A A A A 6 Q A A A B M A A A A A A A A A A A A A A A A A 8 Q A A A F t D b 2 5 0 Z W 5 0 X 1 R 5 c G V z X S 5 4 b W x Q S w E C L Q A U A A I A C A A g f 2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x d S k 4 b / h 0 a H D 2 2 a t g X t T Q A A A A A C A A A A A A A Q Z g A A A A E A A C A A A A C f 3 P Z 6 7 Q n s I i x j S e 9 z / G W 4 L I B w + 8 l v M 4 H P 5 I E V W j N b w g A A A A A O g A A A A A I A A C A A A A C + V / q w 2 U a o 4 + i I f 1 V c J J A M w j V g Z 5 P p v 5 n U K n 9 d Z C 5 J K F A A A A A z W E v 5 x a o a x 5 h u 5 A n K V n K h s N R R t 4 S j k e E y h Z d R R H s r u 2 c N S g F I C f A N 4 x T 3 0 J f a / y G I T A V C i g r 0 1 n P v n i 5 I B 0 b P H U O i U k L z O n r p F 8 y G z X 8 2 z k A A A A D q A M e 2 j / 3 k d 0 a X N m n p 4 o U t 5 O w 4 t G c p s x n D G x 0 E S V v V F p B T 4 Q z 7 w a u X a k o K X g t A X L 1 A h + 0 W C r u o u a D 2 Y I n O N p y Q < / D a t a M a s h u p > 
</file>

<file path=customXml/itemProps1.xml><?xml version="1.0" encoding="utf-8"?>
<ds:datastoreItem xmlns:ds="http://schemas.openxmlformats.org/officeDocument/2006/customXml" ds:itemID="{50C56879-D837-4824-9F34-C4EA51EAB9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IMDB_Movies</vt:lpstr>
      <vt:lpstr>1) MOVIE GENRE ANALYSIS</vt:lpstr>
      <vt:lpstr>2) MOVIE DURATION ANALYSIS</vt:lpstr>
      <vt:lpstr>3) LANGUAGE ANALYSIS</vt:lpstr>
      <vt:lpstr>4) DIRECTOR ANALYSIS</vt:lpstr>
      <vt:lpstr>5) PROFIT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Susritha Jonnalagadda</dc:creator>
  <cp:lastModifiedBy>Susritha Jonnalagadda</cp:lastModifiedBy>
  <dcterms:created xsi:type="dcterms:W3CDTF">2024-03-08T09:02:39Z</dcterms:created>
  <dcterms:modified xsi:type="dcterms:W3CDTF">2024-03-10T12:15:38Z</dcterms:modified>
</cp:coreProperties>
</file>