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4b134e0f3b88b8/Documents/Data anaylsis projects/New Projects/"/>
    </mc:Choice>
  </mc:AlternateContent>
  <xr:revisionPtr revIDLastSave="942" documentId="13_ncr:1_{107BD820-F286-432C-9AC4-F444980476EC}" xr6:coauthVersionLast="47" xr6:coauthVersionMax="47" xr10:uidLastSave="{917E7DF0-55B3-405D-AE34-69547D972040}"/>
  <bookViews>
    <workbookView xWindow="-120" yWindow="-120" windowWidth="29040" windowHeight="15720" xr2:uid="{9BFC7F39-45D4-4139-A544-D6EC3C7C2E8D}"/>
  </bookViews>
  <sheets>
    <sheet name="About" sheetId="13" r:id="rId1"/>
    <sheet name="Students Annual Salary" sheetId="5" state="hidden" r:id="rId2"/>
    <sheet name="Raw Data" sheetId="1" r:id="rId3"/>
    <sheet name="Interactive Scorecard" sheetId="12" r:id="rId4"/>
    <sheet name="Descriptive Statistics" sheetId="2" state="hidden" r:id="rId5"/>
    <sheet name="Sheet2" sheetId="8" state="hidden" r:id="rId6"/>
    <sheet name="Sheet4" sheetId="11" state="hidden" r:id="rId7"/>
    <sheet name="Distribution of Undergrad Grade" sheetId="4" state="hidden" r:id="rId8"/>
    <sheet name="Distribution of MBA Grades" sheetId="3" state="hidden" r:id="rId9"/>
  </sheets>
  <definedNames>
    <definedName name="_xlnm._FilterDatabase" localSheetId="2" hidden="1">'Raw Data'!$A$1:$J$97</definedName>
    <definedName name="Annual_Salary">'Raw Data'!$J$1:$J$96</definedName>
    <definedName name="Employability__After">'Raw Data'!$H$1:$H$96</definedName>
    <definedName name="Employability__Before">'Raw Data'!$G$1:$G$96</definedName>
    <definedName name="MBA_Grade">'Raw Data'!$D$1:$D$96</definedName>
    <definedName name="Placement">'Raw Data'!$I$1:$I$96</definedName>
    <definedName name="Raw_data">'Raw Data'!$A$1:$J$96</definedName>
    <definedName name="Student_ID">'Raw Data'!$A$1:$A$96</definedName>
    <definedName name="Undergrad_Degree">'Raw Data'!$B$1:$B$96</definedName>
    <definedName name="Undergrad_Grade">'Raw Data'!$C$1:$C$96</definedName>
    <definedName name="Work_Experience">'Raw Data'!$F$1:$F$96</definedName>
  </definedNames>
  <calcPr calcId="191029"/>
  <pivotCaches>
    <pivotCache cacheId="3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2" l="1"/>
  <c r="P19" i="2"/>
  <c r="P18" i="2"/>
  <c r="E2" i="1" a="1"/>
  <c r="E2" i="1" s="1"/>
  <c r="J9" i="12" s="1" a="1"/>
  <c r="J9" i="12" s="1"/>
  <c r="D13" i="12" s="1"/>
  <c r="J7" i="12"/>
  <c r="J15" i="12" l="1"/>
  <c r="J21" i="12"/>
  <c r="D9" i="12"/>
  <c r="F9" i="12"/>
  <c r="C9" i="12"/>
  <c r="C8" i="11" l="1"/>
  <c r="G9" i="12"/>
  <c r="E8" i="8"/>
  <c r="D101" i="1" l="1"/>
  <c r="J20" i="8"/>
  <c r="H8" i="8"/>
  <c r="G8" i="8"/>
  <c r="D8" i="8"/>
  <c r="J14" i="8"/>
  <c r="B8" i="8"/>
  <c r="D14" i="12" l="1"/>
  <c r="I6" i="11"/>
  <c r="H6" i="11"/>
  <c r="G6" i="11"/>
  <c r="F6" i="11"/>
  <c r="E6" i="11"/>
  <c r="C6" i="11"/>
  <c r="D6" i="11"/>
  <c r="J8" i="8" a="1"/>
  <c r="J8" i="8" s="1"/>
  <c r="B12" i="8" s="1"/>
  <c r="D15" i="12" l="1"/>
  <c r="D16" i="12" s="1"/>
  <c r="D17" i="12" s="1"/>
  <c r="D18" i="12" s="1"/>
  <c r="D19" i="12" s="1"/>
  <c r="D20" i="12" s="1"/>
  <c r="D21" i="12" s="1"/>
  <c r="D22" i="12" s="1"/>
  <c r="D23" i="12" s="1"/>
  <c r="B13" i="8"/>
  <c r="B14" i="8" s="1"/>
  <c r="B15" i="8" s="1"/>
  <c r="B16" i="8" s="1"/>
  <c r="B17" i="8" s="1"/>
  <c r="B18" i="8" s="1"/>
  <c r="B19" i="8" s="1"/>
  <c r="B20" i="8" s="1"/>
  <c r="B21" i="8" s="1"/>
  <c r="B22" i="8" s="1"/>
  <c r="E13" i="12" l="1" a="1"/>
  <c r="E13" i="12" s="1"/>
  <c r="C13" i="12" a="1"/>
  <c r="C13" i="12" s="1"/>
  <c r="C12" i="8" a="1"/>
  <c r="C12" i="8" s="1"/>
  <c r="E12" i="8" s="1" a="1"/>
  <c r="E12" i="8" s="1"/>
  <c r="D7" i="5" a="1"/>
  <c r="D7" i="5" s="1"/>
  <c r="E7" i="5" s="1" a="1"/>
  <c r="E7" i="5" s="1"/>
  <c r="D12" i="5"/>
  <c r="D11" i="5"/>
  <c r="C6" i="2" a="1"/>
  <c r="C6" i="2" s="1"/>
  <c r="D6" i="2" s="1" a="1"/>
  <c r="D6" i="2" s="1"/>
  <c r="K19" i="4"/>
  <c r="K18" i="4"/>
  <c r="C6" i="4" a="1"/>
  <c r="C6" i="4" s="1"/>
  <c r="C6" i="3" a="1"/>
  <c r="C6" i="3" s="1"/>
  <c r="K9" i="4"/>
  <c r="K8" i="4"/>
  <c r="K7" i="4"/>
  <c r="K6" i="4"/>
  <c r="C35" i="2"/>
  <c r="C34" i="2"/>
  <c r="C22" i="2"/>
  <c r="C23" i="2"/>
  <c r="C21" i="2"/>
  <c r="C20" i="2"/>
  <c r="C19" i="2"/>
  <c r="N18" i="3"/>
  <c r="J7" i="3"/>
  <c r="J6" i="3"/>
  <c r="J9" i="3"/>
  <c r="J8" i="3"/>
  <c r="D12" i="8" l="1" a="1"/>
  <c r="D12" i="8" s="1"/>
  <c r="K20" i="4"/>
  <c r="L18" i="4" s="1"/>
  <c r="D13" i="5"/>
  <c r="D18" i="5" s="1"/>
  <c r="G18" i="5" s="1"/>
  <c r="C36" i="2"/>
  <c r="D34" i="2" s="1" a="1"/>
  <c r="D34" i="2" s="1"/>
  <c r="C24" i="2"/>
  <c r="D19" i="2" s="1"/>
  <c r="N19" i="3"/>
  <c r="N8" i="3"/>
  <c r="N7" i="3"/>
  <c r="N10" i="3" s="1"/>
  <c r="P7" i="3"/>
  <c r="O7" i="3"/>
  <c r="P8" i="3"/>
  <c r="O8" i="3"/>
  <c r="L19" i="4" l="1"/>
  <c r="G17" i="5"/>
  <c r="O10" i="3"/>
  <c r="D35" i="2" a="1"/>
  <c r="D35" i="2" s="1"/>
  <c r="D22" i="2"/>
  <c r="D23" i="2"/>
  <c r="D21" i="2"/>
  <c r="D20" i="2"/>
  <c r="P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<sst xmlns="http://schemas.openxmlformats.org/spreadsheetml/2006/main" count="437" uniqueCount="93">
  <si>
    <t>Student ID</t>
  </si>
  <si>
    <t>Undergrad Degree</t>
  </si>
  <si>
    <t>Undergrad Grade</t>
  </si>
  <si>
    <t>MBA Grade</t>
  </si>
  <si>
    <t>Work Experience</t>
  </si>
  <si>
    <t>Employability (Before)</t>
  </si>
  <si>
    <t>Employability (After)</t>
  </si>
  <si>
    <t>Status</t>
  </si>
  <si>
    <t>Annual Salary</t>
  </si>
  <si>
    <t>Business</t>
  </si>
  <si>
    <t>No</t>
  </si>
  <si>
    <t>Placed</t>
  </si>
  <si>
    <t>Not Placed</t>
  </si>
  <si>
    <t>Computer Science</t>
  </si>
  <si>
    <t>Yes</t>
  </si>
  <si>
    <t>Engineering</t>
  </si>
  <si>
    <t>Finance</t>
  </si>
  <si>
    <t>Art</t>
  </si>
  <si>
    <t>Frequency</t>
  </si>
  <si>
    <t>Relative Frequency</t>
  </si>
  <si>
    <t>70000-84999</t>
  </si>
  <si>
    <t>85000-99999</t>
  </si>
  <si>
    <t>100000-114999</t>
  </si>
  <si>
    <t>115000-129999</t>
  </si>
  <si>
    <t>130000-144999</t>
  </si>
  <si>
    <t>145000-159999</t>
  </si>
  <si>
    <t>160000-174999</t>
  </si>
  <si>
    <t>175000-189999</t>
  </si>
  <si>
    <t>205000-219999</t>
  </si>
  <si>
    <t>250000-264999</t>
  </si>
  <si>
    <t>325000-340000</t>
  </si>
  <si>
    <t>Salary</t>
  </si>
  <si>
    <t>Mean:</t>
  </si>
  <si>
    <t>Median:</t>
  </si>
  <si>
    <t>Std Dev:</t>
  </si>
  <si>
    <t>Skew:</t>
  </si>
  <si>
    <t>Distribution around Center</t>
  </si>
  <si>
    <t>Distribution of MBA Grades</t>
  </si>
  <si>
    <t>Lower:</t>
  </si>
  <si>
    <t>Upper:</t>
  </si>
  <si>
    <t>Empirical Rule:</t>
  </si>
  <si>
    <t>Sample:</t>
  </si>
  <si>
    <t>Std Dev</t>
  </si>
  <si>
    <t>Empirical Rule Test for Normal Distribution</t>
  </si>
  <si>
    <t>Top X% of students</t>
  </si>
  <si>
    <t>MBA Grade:</t>
  </si>
  <si>
    <t>Percentage of Group</t>
  </si>
  <si>
    <t>Top X% of class:</t>
  </si>
  <si>
    <t>Computer science</t>
  </si>
  <si>
    <t>Total</t>
  </si>
  <si>
    <t>Total:</t>
  </si>
  <si>
    <t>Work Exp.</t>
  </si>
  <si>
    <t>Placed within 2 months of MBA program end</t>
  </si>
  <si>
    <t>Work experience before MBA program</t>
  </si>
  <si>
    <t>Distribution of Undergrad Grades</t>
  </si>
  <si>
    <t>min:</t>
  </si>
  <si>
    <t>Q1:</t>
  </si>
  <si>
    <t>Q3:</t>
  </si>
  <si>
    <t>Max:</t>
  </si>
  <si>
    <t>% of Class scored higher than 80% in undergrad</t>
  </si>
  <si>
    <t>80% +</t>
  </si>
  <si>
    <t>80% &gt;</t>
  </si>
  <si>
    <t>Placed Students Annual Salary</t>
  </si>
  <si>
    <t>Sample Data</t>
  </si>
  <si>
    <t>Sample Size:</t>
  </si>
  <si>
    <t>MARGIN OF ERROR</t>
  </si>
  <si>
    <t>CONFIDENCE INTERVAL</t>
  </si>
  <si>
    <t>Confidence Level:</t>
  </si>
  <si>
    <t>Lower Limit:</t>
  </si>
  <si>
    <t>Upper Limit:</t>
  </si>
  <si>
    <t>Margin of Error:</t>
  </si>
  <si>
    <t>Descriptive Statistics</t>
  </si>
  <si>
    <t>Student ID:</t>
  </si>
  <si>
    <t>Class Rank</t>
  </si>
  <si>
    <t>GENERAL INFO</t>
  </si>
  <si>
    <t>Student Scorecard</t>
  </si>
  <si>
    <t>Work Place Status</t>
  </si>
  <si>
    <t>Rank</t>
  </si>
  <si>
    <t>Employability Score</t>
  </si>
  <si>
    <t>Before</t>
  </si>
  <si>
    <t>After</t>
  </si>
  <si>
    <t>Student Comparison (Similar Scores)</t>
  </si>
  <si>
    <t>Metrics</t>
  </si>
  <si>
    <t>Search on Student ID Or Class Rank</t>
  </si>
  <si>
    <t>Class Rank:</t>
  </si>
  <si>
    <t>â</t>
  </si>
  <si>
    <t>Undergrad Grade (%)</t>
  </si>
  <si>
    <t>MBA Grade (%)</t>
  </si>
  <si>
    <t>Total Students:</t>
  </si>
  <si>
    <t>Highest Score:</t>
  </si>
  <si>
    <t>Average Score:</t>
  </si>
  <si>
    <r>
      <t xml:space="preserve">Search on various metrics </t>
    </r>
    <r>
      <rPr>
        <i/>
        <sz val="11"/>
        <color theme="1"/>
        <rFont val="Wingdings"/>
        <charset val="2"/>
      </rPr>
      <t>â</t>
    </r>
  </si>
  <si>
    <t>Student Comparison (Within Rank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</si>
</sst>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$&quot;#,##0_);[Red]\(&quot;$&quot;#,##0\)"/>
    <numFmt numFmtId="165" formatCode="0.00000"/>
    <numFmt numFmtId="166" formatCode="0.0"/>
    <numFmt numFmtId="167" formatCode="0.0%"/>
    <numFmt numFmtId="168" formatCode="_-[$$-409]* #,##0_ ;_-[$$-409]* \-#,##0\ ;_-[$$-409]* &quot;-&quot;??_ ;_-@_ "/>
    <numFmt numFmtId="169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0"/>
      <color theme="1" tint="0.1499984740745262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0.14999847407452621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b/>
      <sz val="18"/>
      <color theme="1" tint="0.1499984740745262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sz val="24"/>
      <color theme="1" tint="0.1499984740745262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Wingdings"/>
      <charset val="2"/>
    </font>
    <font>
      <b/>
      <i/>
      <sz val="11"/>
      <color theme="1" tint="0.14999847407452621"/>
      <name val="Calibri"/>
      <family val="2"/>
      <scheme val="minor"/>
    </font>
    <font>
      <i/>
      <sz val="11"/>
      <color theme="1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0" tint="-0.14999847407452621"/>
      </top>
      <bottom style="thin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thin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/>
      <bottom style="thick">
        <color theme="0"/>
      </bottom>
      <diagonal/>
    </border>
    <border>
      <left/>
      <right style="medium">
        <color theme="0"/>
      </right>
      <top/>
      <bottom style="thick">
        <color theme="0"/>
      </bottom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5" xfId="1" applyNumberFormat="1" applyFont="1" applyBorder="1"/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2" fontId="0" fillId="0" borderId="5" xfId="0" applyNumberForma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165" fontId="0" fillId="0" borderId="6" xfId="0" applyNumberFormat="1" applyBorder="1" applyAlignment="1">
      <alignment horizontal="center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166" fontId="0" fillId="0" borderId="5" xfId="0" applyNumberFormat="1" applyBorder="1" applyAlignment="1">
      <alignment horizontal="center"/>
    </xf>
    <xf numFmtId="9" fontId="0" fillId="0" borderId="5" xfId="1" applyFont="1" applyBorder="1" applyAlignment="1">
      <alignment horizontal="center"/>
    </xf>
    <xf numFmtId="167" fontId="0" fillId="0" borderId="5" xfId="1" applyNumberFormat="1" applyFont="1" applyBorder="1" applyAlignment="1">
      <alignment horizontal="center" wrapText="1"/>
    </xf>
    <xf numFmtId="9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10" fontId="0" fillId="0" borderId="5" xfId="1" applyNumberFormat="1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5" xfId="0" applyFont="1" applyBorder="1" applyAlignment="1">
      <alignment horizontal="right"/>
    </xf>
    <xf numFmtId="0" fontId="0" fillId="0" borderId="16" xfId="0" applyBorder="1"/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right"/>
    </xf>
    <xf numFmtId="1" fontId="0" fillId="0" borderId="5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0" fillId="0" borderId="22" xfId="0" applyBorder="1"/>
    <xf numFmtId="0" fontId="4" fillId="0" borderId="11" xfId="0" applyFont="1" applyBorder="1" applyAlignment="1">
      <alignment horizontal="right"/>
    </xf>
    <xf numFmtId="0" fontId="6" fillId="0" borderId="23" xfId="0" applyFont="1" applyBorder="1" applyAlignment="1">
      <alignment horizontal="right"/>
    </xf>
    <xf numFmtId="1" fontId="2" fillId="0" borderId="24" xfId="0" applyNumberFormat="1" applyFont="1" applyBorder="1" applyAlignment="1">
      <alignment horizontal="center"/>
    </xf>
    <xf numFmtId="168" fontId="0" fillId="0" borderId="0" xfId="0" applyNumberFormat="1"/>
    <xf numFmtId="9" fontId="0" fillId="0" borderId="5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0" fontId="4" fillId="3" borderId="0" xfId="0" applyFont="1" applyFill="1" applyAlignment="1">
      <alignment horizontal="right" wrapText="1"/>
    </xf>
    <xf numFmtId="9" fontId="0" fillId="3" borderId="5" xfId="1" applyFont="1" applyFill="1" applyBorder="1" applyAlignment="1">
      <alignment horizontal="center"/>
    </xf>
    <xf numFmtId="167" fontId="0" fillId="3" borderId="5" xfId="1" applyNumberFormat="1" applyFont="1" applyFill="1" applyBorder="1" applyAlignment="1">
      <alignment horizontal="center"/>
    </xf>
    <xf numFmtId="0" fontId="11" fillId="0" borderId="0" xfId="0" applyFont="1"/>
    <xf numFmtId="0" fontId="11" fillId="0" borderId="27" xfId="0" applyFont="1" applyBorder="1"/>
    <xf numFmtId="0" fontId="14" fillId="7" borderId="32" xfId="0" applyFont="1" applyFill="1" applyBorder="1" applyAlignment="1">
      <alignment horizontal="center"/>
    </xf>
    <xf numFmtId="0" fontId="14" fillId="7" borderId="33" xfId="0" applyFont="1" applyFill="1" applyBorder="1" applyAlignment="1">
      <alignment horizontal="center"/>
    </xf>
    <xf numFmtId="0" fontId="15" fillId="0" borderId="27" xfId="0" applyFont="1" applyBorder="1"/>
    <xf numFmtId="0" fontId="14" fillId="7" borderId="34" xfId="0" applyFont="1" applyFill="1" applyBorder="1" applyAlignment="1">
      <alignment horizontal="center"/>
    </xf>
    <xf numFmtId="0" fontId="14" fillId="7" borderId="35" xfId="0" applyFont="1" applyFill="1" applyBorder="1" applyAlignment="1">
      <alignment horizontal="center"/>
    </xf>
    <xf numFmtId="0" fontId="11" fillId="0" borderId="25" xfId="0" applyFont="1" applyBorder="1"/>
    <xf numFmtId="0" fontId="17" fillId="7" borderId="32" xfId="0" applyFont="1" applyFill="1" applyBorder="1" applyAlignment="1">
      <alignment horizontal="center"/>
    </xf>
    <xf numFmtId="3" fontId="11" fillId="8" borderId="41" xfId="0" applyNumberFormat="1" applyFont="1" applyFill="1" applyBorder="1" applyAlignment="1">
      <alignment horizontal="center"/>
    </xf>
    <xf numFmtId="0" fontId="11" fillId="2" borderId="27" xfId="0" applyFont="1" applyFill="1" applyBorder="1"/>
    <xf numFmtId="3" fontId="11" fillId="2" borderId="36" xfId="0" applyNumberFormat="1" applyFont="1" applyFill="1" applyBorder="1" applyAlignment="1">
      <alignment horizontal="center"/>
    </xf>
    <xf numFmtId="9" fontId="11" fillId="2" borderId="25" xfId="1" applyFont="1" applyFill="1" applyBorder="1" applyAlignment="1">
      <alignment horizontal="center"/>
    </xf>
    <xf numFmtId="0" fontId="11" fillId="2" borderId="38" xfId="2" applyNumberFormat="1" applyFont="1" applyFill="1" applyBorder="1" applyAlignment="1">
      <alignment horizontal="center" vertical="center"/>
    </xf>
    <xf numFmtId="1" fontId="11" fillId="8" borderId="40" xfId="0" applyNumberFormat="1" applyFont="1" applyFill="1" applyBorder="1" applyAlignment="1">
      <alignment horizontal="center"/>
    </xf>
    <xf numFmtId="0" fontId="19" fillId="8" borderId="40" xfId="0" applyFont="1" applyFill="1" applyBorder="1" applyAlignment="1">
      <alignment horizontal="center"/>
    </xf>
    <xf numFmtId="9" fontId="11" fillId="8" borderId="41" xfId="1" applyFont="1" applyFill="1" applyBorder="1" applyAlignment="1">
      <alignment horizontal="center"/>
    </xf>
    <xf numFmtId="0" fontId="2" fillId="0" borderId="0" xfId="0" applyFont="1"/>
    <xf numFmtId="0" fontId="11" fillId="2" borderId="36" xfId="0" applyFont="1" applyFill="1" applyBorder="1" applyAlignment="1">
      <alignment horizontal="center"/>
    </xf>
    <xf numFmtId="0" fontId="14" fillId="7" borderId="30" xfId="0" applyFont="1" applyFill="1" applyBorder="1" applyAlignment="1">
      <alignment horizontal="center"/>
    </xf>
    <xf numFmtId="0" fontId="0" fillId="3" borderId="0" xfId="0" applyFill="1"/>
    <xf numFmtId="0" fontId="0" fillId="10" borderId="0" xfId="0" applyFill="1"/>
    <xf numFmtId="0" fontId="21" fillId="0" borderId="0" xfId="0" applyFont="1" applyAlignment="1">
      <alignment horizontal="center"/>
    </xf>
    <xf numFmtId="167" fontId="11" fillId="2" borderId="25" xfId="1" applyNumberFormat="1" applyFont="1" applyFill="1" applyBorder="1" applyAlignment="1">
      <alignment horizontal="center"/>
    </xf>
    <xf numFmtId="3" fontId="11" fillId="3" borderId="41" xfId="0" applyNumberFormat="1" applyFont="1" applyFill="1" applyBorder="1" applyAlignment="1">
      <alignment horizontal="center"/>
    </xf>
    <xf numFmtId="0" fontId="20" fillId="3" borderId="40" xfId="0" applyFont="1" applyFill="1" applyBorder="1" applyAlignment="1">
      <alignment horizontal="center"/>
    </xf>
    <xf numFmtId="1" fontId="20" fillId="3" borderId="40" xfId="0" applyNumberFormat="1" applyFont="1" applyFill="1" applyBorder="1" applyAlignment="1">
      <alignment horizontal="center"/>
    </xf>
    <xf numFmtId="0" fontId="11" fillId="3" borderId="41" xfId="1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66" fontId="11" fillId="3" borderId="40" xfId="0" applyNumberFormat="1" applyFont="1" applyFill="1" applyBorder="1" applyAlignment="1">
      <alignment horizontal="center"/>
    </xf>
    <xf numFmtId="3" fontId="16" fillId="9" borderId="39" xfId="0" applyNumberFormat="1" applyFont="1" applyFill="1" applyBorder="1" applyAlignment="1">
      <alignment horizontal="center" vertical="center" wrapText="1"/>
    </xf>
    <xf numFmtId="3" fontId="16" fillId="9" borderId="0" xfId="0" applyNumberFormat="1" applyFont="1" applyFill="1" applyAlignment="1">
      <alignment horizontal="center" vertical="center" wrapText="1"/>
    </xf>
    <xf numFmtId="0" fontId="6" fillId="11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1" fillId="2" borderId="37" xfId="0" applyFont="1" applyFill="1" applyBorder="1" applyAlignment="1">
      <alignment horizontal="center"/>
    </xf>
    <xf numFmtId="0" fontId="16" fillId="9" borderId="39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28" xfId="0" applyFont="1" applyFill="1" applyBorder="1" applyAlignment="1">
      <alignment horizontal="center" vertical="center"/>
    </xf>
    <xf numFmtId="9" fontId="18" fillId="9" borderId="39" xfId="1" applyFont="1" applyFill="1" applyBorder="1" applyAlignment="1">
      <alignment horizontal="center" vertical="center"/>
    </xf>
    <xf numFmtId="9" fontId="18" fillId="9" borderId="0" xfId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22" fillId="0" borderId="25" xfId="0" applyFont="1" applyBorder="1" applyAlignment="1">
      <alignment horizontal="right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6" borderId="26" xfId="0" applyFont="1" applyFill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12" fillId="6" borderId="25" xfId="0" applyFont="1" applyFill="1" applyBorder="1" applyAlignment="1">
      <alignment horizontal="center"/>
    </xf>
    <xf numFmtId="0" fontId="14" fillId="7" borderId="30" xfId="0" applyFont="1" applyFill="1" applyBorder="1" applyAlignment="1">
      <alignment horizontal="center"/>
    </xf>
    <xf numFmtId="0" fontId="14" fillId="7" borderId="3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right" vertical="center"/>
    </xf>
    <xf numFmtId="0" fontId="12" fillId="6" borderId="28" xfId="0" applyFont="1" applyFill="1" applyBorder="1" applyAlignment="1">
      <alignment horizontal="center"/>
    </xf>
    <xf numFmtId="0" fontId="12" fillId="6" borderId="2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0" borderId="43" xfId="0" applyFont="1" applyBorder="1"/>
    <xf numFmtId="0" fontId="6" fillId="0" borderId="22" xfId="0" applyFont="1" applyBorder="1"/>
    <xf numFmtId="0" fontId="6" fillId="0" borderId="46" xfId="0" applyFont="1" applyBorder="1"/>
    <xf numFmtId="1" fontId="0" fillId="0" borderId="44" xfId="0" applyNumberFormat="1" applyBorder="1" applyAlignment="1">
      <alignment horizontal="center"/>
    </xf>
    <xf numFmtId="167" fontId="0" fillId="0" borderId="45" xfId="1" applyNumberFormat="1" applyFont="1" applyBorder="1" applyAlignment="1">
      <alignment horizontal="center"/>
    </xf>
    <xf numFmtId="167" fontId="0" fillId="0" borderId="47" xfId="1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8">
    <dxf>
      <font>
        <color rgb="FFFF0000"/>
      </font>
      <fill>
        <patternFill>
          <bgColor rgb="FFDB8181"/>
        </patternFill>
      </fill>
    </dxf>
    <dxf>
      <font>
        <color theme="9" tint="0.59996337778862885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ont>
        <color rgb="FFFF0000"/>
      </font>
      <fill>
        <patternFill>
          <bgColor rgb="FFDB8181"/>
        </patternFill>
      </fill>
    </dxf>
    <dxf>
      <font>
        <color theme="9" tint="0.59996337778862885"/>
      </font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B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Placed within</a:t>
            </a:r>
            <a:r>
              <a:rPr lang="en-ZA" baseline="0"/>
              <a:t> 2 Months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56-456E-BF62-26CB49A072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B56-456E-BF62-26CB49A0727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70C55F4-F53A-43DF-BEE9-0C4E6558602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  <a:p>
                    <a:endParaRPr lang="en-ZA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B56-456E-BF62-26CB49A0727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A0D03FB-9D27-4127-BE4D-77BDEFE0DFD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B56-456E-BF62-26CB49A072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'Descriptive Statistics'!$B$6:$B$7</c:f>
              <c:strCache>
                <c:ptCount val="2"/>
                <c:pt idx="0">
                  <c:v>Not Placed</c:v>
                </c:pt>
                <c:pt idx="1">
                  <c:v>Placed</c:v>
                </c:pt>
              </c:strCache>
            </c:strRef>
          </c:cat>
          <c:val>
            <c:numRef>
              <c:f>'Descriptive Statistics'!$C$6:$C$7</c:f>
              <c:numCache>
                <c:formatCode>General</c:formatCode>
                <c:ptCount val="2"/>
                <c:pt idx="0">
                  <c:v>42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6-456E-BF62-26CB49A0727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[Graduate Program.xlsx]Descriptive Statistics!PivotTable1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of Placed</a:t>
            </a:r>
            <a:r>
              <a:rPr lang="en-US" baseline="0"/>
              <a:t> MBA Students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'Descriptive Statistics'!$P$3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'Descriptive Statistics'!$O$4:$O$14</c:f>
              <c:strCache>
                <c:ptCount val="11"/>
                <c:pt idx="0">
                  <c:v>70000-84999</c:v>
                </c:pt>
                <c:pt idx="1">
                  <c:v>85000-99999</c:v>
                </c:pt>
                <c:pt idx="2">
                  <c:v>100000-114999</c:v>
                </c:pt>
                <c:pt idx="3">
                  <c:v>115000-129999</c:v>
                </c:pt>
                <c:pt idx="4">
                  <c:v>130000-144999</c:v>
                </c:pt>
                <c:pt idx="5">
                  <c:v>145000-159999</c:v>
                </c:pt>
                <c:pt idx="6">
                  <c:v>160000-174999</c:v>
                </c:pt>
                <c:pt idx="7">
                  <c:v>175000-189999</c:v>
                </c:pt>
                <c:pt idx="8">
                  <c:v>205000-219999</c:v>
                </c:pt>
                <c:pt idx="9">
                  <c:v>250000-264999</c:v>
                </c:pt>
                <c:pt idx="10">
                  <c:v>325000-340000</c:v>
                </c:pt>
              </c:strCache>
            </c:strRef>
          </c:cat>
          <c:val>
            <c:numRef>
              <c:f>'Descriptive Statistics'!$P$4:$P$14</c:f>
              <c:numCache>
                <c:formatCode>General</c:formatCode>
                <c:ptCount val="11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6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72-41A8-B783-E410C4A29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10109016"/>
        <c:axId val="510107936"/>
      </c:barChart>
      <c:catAx>
        <c:axId val="510109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/>
                  <a:t>Salary</a:t>
                </a:r>
              </a:p>
            </c:rich>
          </c:tx>
          <c:layout>
            <c:manualLayout>
              <c:xMode val="edge"/>
              <c:yMode val="edge"/>
              <c:x val="0.4736985247533713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07936"/>
        <c:crosses val="autoZero"/>
        <c:auto val="1"/>
        <c:lblAlgn val="ctr"/>
        <c:lblOffset val="100"/>
        <c:noMultiLvlLbl val="0"/>
      </c:catAx>
      <c:valAx>
        <c:axId val="510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09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Frequency</a:t>
            </a:r>
            <a:r>
              <a:rPr lang="en-ZA" baseline="0"/>
              <a:t> of Undergrad Degrees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'Descriptive Statistics'!$C$18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'Descriptive Statistics'!$B$19:$B$23</c:f>
              <c:strCache>
                <c:ptCount val="5"/>
                <c:pt idx="0">
                  <c:v>Art</c:v>
                </c:pt>
                <c:pt idx="1">
                  <c:v>Finance</c:v>
                </c:pt>
                <c:pt idx="2">
                  <c:v>Engineering</c:v>
                </c:pt>
                <c:pt idx="3">
                  <c:v>Computer science</c:v>
                </c:pt>
                <c:pt idx="4">
                  <c:v>Business</c:v>
                </c:pt>
              </c:strCache>
            </c:strRef>
          </c:cat>
          <c:val>
            <c:numRef>
              <c:f>'Descriptive Statistics'!$C$19:$C$23</c:f>
              <c:numCache>
                <c:formatCode>General</c:formatCode>
                <c:ptCount val="5"/>
                <c:pt idx="0">
                  <c:v>9</c:v>
                </c:pt>
                <c:pt idx="1">
                  <c:v>13</c:v>
                </c:pt>
                <c:pt idx="2">
                  <c:v>18</c:v>
                </c:pt>
                <c:pt idx="3">
                  <c:v>19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E-4116-BD91-C6BAF6DFC2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6"/>
        <c:overlap val="-27"/>
        <c:axId val="782588576"/>
        <c:axId val="782587136"/>
      </c:barChart>
      <c:catAx>
        <c:axId val="78258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Undergrad 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587136"/>
        <c:crosses val="autoZero"/>
        <c:auto val="1"/>
        <c:lblAlgn val="ctr"/>
        <c:lblOffset val="100"/>
        <c:noMultiLvlLbl val="0"/>
      </c:catAx>
      <c:valAx>
        <c:axId val="782587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58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</a:t>
            </a:r>
            <a:r>
              <a:rPr lang="en-US" baseline="0"/>
              <a:t> Experience Before MBA Program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'Descriptive Statistics'!$C$33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5A-467F-8574-8E13ED4828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5A-467F-8574-8E13ED48288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5414CFD-2DC8-48FD-8AC4-6A3F7943491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B5A-467F-8574-8E13ED48288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72%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B5A-467F-8574-8E13ED4828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'Descriptive Statistics'!$B$34:$B$35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'Descriptive Statistics'!$C$34:$C$35</c:f>
              <c:numCache>
                <c:formatCode>General</c:formatCode>
                <c:ptCount val="2"/>
                <c:pt idx="0">
                  <c:v>23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6-4645-A17D-AEFBF729C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4</xdr:row>
      <xdr:rowOff>104775</xdr:rowOff>
    </xdr:from>
    <xdr:to>
      <xdr:col>14</xdr:col>
      <xdr:colOff>304800</xdr:colOff>
      <xdr:row>17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384B75-DEBD-93B5-E0FE-5289C744C01A}"/>
            </a:ext>
          </a:extLst>
        </xdr:cNvPr>
        <xdr:cNvSpPr txBox="1"/>
      </xdr:nvSpPr>
      <xdr:spPr>
        <a:xfrm>
          <a:off x="3305175" y="866775"/>
          <a:ext cx="5534025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2000" b="1" u="sng"/>
            <a:t>About</a:t>
          </a:r>
        </a:p>
        <a:p>
          <a:endParaRPr lang="en-ZA" sz="2000" b="1" u="sng"/>
        </a:p>
        <a:p>
          <a:r>
            <a:rPr lang="en-ZA" sz="1200" b="0" u="none"/>
            <a:t>This spreadsheet</a:t>
          </a:r>
          <a:r>
            <a:rPr lang="en-ZA" sz="1200" b="0" u="none" baseline="0"/>
            <a:t> utilises ficticious data for scores achieved by university students.</a:t>
          </a:r>
        </a:p>
        <a:p>
          <a:endParaRPr lang="en-ZA" sz="1200" b="0" u="none" baseline="0"/>
        </a:p>
        <a:p>
          <a:r>
            <a:rPr lang="en-ZA" sz="1200" b="0" u="none" baseline="0"/>
            <a:t>The purpose of this sheet is to demonstrate my ability to use more complex formulas and functions within Excel.</a:t>
          </a:r>
        </a:p>
        <a:p>
          <a:endParaRPr lang="en-ZA" sz="1200" b="0" u="none" baseline="0"/>
        </a:p>
        <a:p>
          <a:r>
            <a:rPr lang="en-ZA" sz="1200" b="0" u="none" baseline="0"/>
            <a:t>In the tab "Interactive Scorecard", an interactive table was created that allows users to search on various fields as well as compare students metrics.</a:t>
          </a:r>
        </a:p>
        <a:p>
          <a:endParaRPr lang="en-ZA" sz="1200" b="0" u="none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981075</xdr:colOff>
      <xdr:row>18</xdr:row>
      <xdr:rowOff>123825</xdr:rowOff>
    </xdr:from>
    <xdr:to>
      <xdr:col>7</xdr:col>
      <xdr:colOff>257175</xdr:colOff>
      <xdr:row>26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7A2F9A-D789-DA47-D057-8652A1EAE93B}"/>
            </a:ext>
          </a:extLst>
        </xdr:cNvPr>
        <xdr:cNvSpPr txBox="1"/>
      </xdr:nvSpPr>
      <xdr:spPr>
        <a:xfrm>
          <a:off x="4305300" y="3552825"/>
          <a:ext cx="18764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With a 90%</a:t>
          </a:r>
          <a:r>
            <a:rPr lang="en-ZA" sz="1100" baseline="0"/>
            <a:t> certainty, it is estimated that future graduates from this school will earn an average salary between $79 000 &amp; $100 000 a year.</a:t>
          </a:r>
          <a:endParaRPr lang="en-Z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123825</xdr:rowOff>
    </xdr:from>
    <xdr:to>
      <xdr:col>11</xdr:col>
      <xdr:colOff>85725</xdr:colOff>
      <xdr:row>12</xdr:row>
      <xdr:rowOff>85726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4DC0A5-72A1-9E47-3DF0-904700515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976312</xdr:colOff>
      <xdr:row>1</xdr:row>
      <xdr:rowOff>4762</xdr:rowOff>
    </xdr:from>
    <xdr:to>
      <xdr:col>23</xdr:col>
      <xdr:colOff>519112</xdr:colOff>
      <xdr:row>15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2E6530-EFEC-73BC-58E2-BF8BD5253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323850</xdr:colOff>
      <xdr:row>13</xdr:row>
      <xdr:rowOff>142874</xdr:rowOff>
    </xdr:from>
    <xdr:to>
      <xdr:col>11</xdr:col>
      <xdr:colOff>447675</xdr:colOff>
      <xdr:row>29</xdr:row>
      <xdr:rowOff>138111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DD02FC5-B2E6-E825-DDBF-B20BA6A81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204787</xdr:colOff>
      <xdr:row>30</xdr:row>
      <xdr:rowOff>23812</xdr:rowOff>
    </xdr:from>
    <xdr:to>
      <xdr:col>11</xdr:col>
      <xdr:colOff>509587</xdr:colOff>
      <xdr:row>44</xdr:row>
      <xdr:rowOff>100012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ED447AA-6618-4BDE-1833-2A2DF45C4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361950</xdr:colOff>
      <xdr:row>14</xdr:row>
      <xdr:rowOff>142875</xdr:rowOff>
    </xdr:from>
    <xdr:to>
      <xdr:col>19</xdr:col>
      <xdr:colOff>161925</xdr:colOff>
      <xdr:row>22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178C521-A970-5358-DA49-60584FF027C5}"/>
            </a:ext>
          </a:extLst>
        </xdr:cNvPr>
        <xdr:cNvSpPr txBox="1"/>
      </xdr:nvSpPr>
      <xdr:spPr>
        <a:xfrm>
          <a:off x="9972675" y="2809875"/>
          <a:ext cx="2847975" cy="1381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In order to score in the top </a:t>
          </a:r>
          <a:r>
            <a:rPr lang="en-ZA" sz="1100" b="1"/>
            <a:t>20% </a:t>
          </a:r>
          <a:r>
            <a:rPr lang="en-ZA" sz="1100"/>
            <a:t>of this class, the student needed an</a:t>
          </a:r>
          <a:r>
            <a:rPr lang="en-ZA" sz="1100" baseline="0"/>
            <a:t> average of </a:t>
          </a:r>
          <a:r>
            <a:rPr lang="en-ZA" sz="1100" b="1" baseline="0"/>
            <a:t>85,3</a:t>
          </a:r>
          <a:r>
            <a:rPr lang="en-ZA" sz="1100" baseline="0"/>
            <a:t> in the MBA course.</a:t>
          </a:r>
          <a:endParaRPr lang="en-ZA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ahid Allie" refreshedDate="45133.671376620368" createdVersion="8" refreshedVersion="8" minRefreshableVersion="3" recordCount="95" xr:uid="{2814D0E1-2235-4C11-B7F3-6D1366C4448F}">
  <cacheSource type="worksheet">
    <worksheetSource ref="A1:J96" sheet="Raw Data"/>
  </cacheSource>
  <cacheFields count="10">
    <cacheField name="Student ID" numFmtId="0">
      <sharedItems containsSemiMixedTypes="0" containsString="0" containsNumber="1" containsInteger="1" minValue="1" maxValue="95"/>
    </cacheField>
    <cacheField name="Undergrad Degree" numFmtId="0">
      <sharedItems/>
    </cacheField>
    <cacheField name="Undergrad Grade (%)" numFmtId="0">
      <sharedItems containsSemiMixedTypes="0" containsString="0" containsNumber="1" minValue="60.9" maxValue="100"/>
    </cacheField>
    <cacheField name="MBA Grade (%)" numFmtId="0">
      <sharedItems containsSemiMixedTypes="0" containsString="0" containsNumber="1" minValue="62.6" maxValue="96.1"/>
    </cacheField>
    <cacheField name="Class Rank" numFmtId="0">
      <sharedItems containsSemiMixedTypes="0" containsString="0" containsNumber="1" containsInteger="1" minValue="1" maxValue="95"/>
    </cacheField>
    <cacheField name="Work Experience" numFmtId="0">
      <sharedItems/>
    </cacheField>
    <cacheField name="Employability (Before)" numFmtId="0">
      <sharedItems containsSemiMixedTypes="0" containsString="0" containsNumber="1" containsInteger="1" minValue="62" maxValue="423"/>
    </cacheField>
    <cacheField name="Employability (After)" numFmtId="0">
      <sharedItems containsSemiMixedTypes="0" containsString="0" containsNumber="1" containsInteger="1" minValue="102" maxValue="481"/>
    </cacheField>
    <cacheField name="Status" numFmtId="0">
      <sharedItems/>
    </cacheField>
    <cacheField name="Annual Salary" numFmtId="0">
      <sharedItems containsString="0" containsBlank="1" containsNumber="1" containsInteger="1" minValue="75500" maxValue="340000" count="35">
        <n v="111000"/>
        <m/>
        <n v="107000"/>
        <n v="109000"/>
        <n v="148000"/>
        <n v="255500"/>
        <n v="103500"/>
        <n v="114500"/>
        <n v="124000"/>
        <n v="132500"/>
        <n v="99000"/>
        <n v="82000"/>
        <n v="185000"/>
        <n v="89500"/>
        <n v="91500"/>
        <n v="113500"/>
        <n v="75500"/>
        <n v="86000"/>
        <n v="156500"/>
        <n v="99500"/>
        <n v="205500"/>
        <n v="340000"/>
        <n v="103000"/>
        <n v="165000"/>
        <n v="124500"/>
        <n v="82500"/>
        <n v="93000"/>
        <n v="168000"/>
        <n v="96000"/>
        <n v="80000"/>
        <n v="144500"/>
        <n v="104500"/>
        <n v="113000"/>
        <n v="78000"/>
        <n v="84000"/>
      </sharedItems>
      <fieldGroup base="9">
        <rangePr autoStart="0" startNum="70000" endNum="340000" groupInterval="15000"/>
        <groupItems count="20">
          <s v="&lt;70000 or (blank)"/>
          <s v="70000-84999"/>
          <s v="85000-99999"/>
          <s v="100000-114999"/>
          <s v="115000-129999"/>
          <s v="130000-144999"/>
          <s v="145000-159999"/>
          <s v="160000-174999"/>
          <s v="175000-189999"/>
          <s v="190000-204999"/>
          <s v="205000-219999"/>
          <s v="220000-234999"/>
          <s v="235000-249999"/>
          <s v="250000-264999"/>
          <s v="265000-279999"/>
          <s v="280000-294999"/>
          <s v="295000-309999"/>
          <s v="310000-324999"/>
          <s v="325000-340000"/>
          <s v="&gt;34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1"/>
    <s v="Business"/>
    <n v="68.400000000000006"/>
    <n v="90.2"/>
    <n v="4"/>
    <s v="No"/>
    <n v="252"/>
    <n v="276"/>
    <s v="Placed"/>
    <x v="0"/>
  </r>
  <r>
    <n v="2"/>
    <s v="Business"/>
    <n v="62.1"/>
    <n v="92.8"/>
    <n v="2"/>
    <s v="No"/>
    <n v="423"/>
    <n v="410"/>
    <s v="Not Placed"/>
    <x v="1"/>
  </r>
  <r>
    <n v="3"/>
    <s v="Computer Science"/>
    <n v="70.2"/>
    <n v="68.7"/>
    <n v="93"/>
    <s v="Yes"/>
    <n v="101"/>
    <n v="119"/>
    <s v="Placed"/>
    <x v="2"/>
  </r>
  <r>
    <n v="4"/>
    <s v="Engineering"/>
    <n v="75.099999999999994"/>
    <n v="80.75"/>
    <n v="43"/>
    <s v="No"/>
    <n v="288"/>
    <n v="334"/>
    <s v="Not Placed"/>
    <x v="1"/>
  </r>
  <r>
    <n v="5"/>
    <s v="Finance"/>
    <n v="60.9"/>
    <n v="74.930000000000007"/>
    <n v="75"/>
    <s v="No"/>
    <n v="248"/>
    <n v="252"/>
    <s v="Not Placed"/>
    <x v="1"/>
  </r>
  <r>
    <n v="6"/>
    <s v="Computer Science"/>
    <n v="74.5"/>
    <n v="80.73"/>
    <n v="44"/>
    <s v="No"/>
    <n v="145"/>
    <n v="209"/>
    <s v="Not Placed"/>
    <x v="1"/>
  </r>
  <r>
    <n v="7"/>
    <s v="Finance"/>
    <n v="76.400000000000006"/>
    <n v="83.3"/>
    <n v="31"/>
    <s v="No"/>
    <n v="401"/>
    <n v="462"/>
    <s v="Placed"/>
    <x v="3"/>
  </r>
  <r>
    <n v="8"/>
    <s v="Business"/>
    <n v="82.6"/>
    <n v="88.7"/>
    <n v="8"/>
    <s v="No"/>
    <n v="287"/>
    <n v="342"/>
    <s v="Placed"/>
    <x v="4"/>
  </r>
  <r>
    <n v="9"/>
    <s v="Finance"/>
    <n v="76.900000000000006"/>
    <n v="75.400000000000006"/>
    <n v="72"/>
    <s v="No"/>
    <n v="275"/>
    <n v="347"/>
    <s v="Placed"/>
    <x v="5"/>
  </r>
  <r>
    <n v="10"/>
    <s v="Computer Science"/>
    <n v="83.3"/>
    <n v="82.1"/>
    <n v="38"/>
    <s v="No"/>
    <n v="254"/>
    <n v="313"/>
    <s v="Placed"/>
    <x v="6"/>
  </r>
  <r>
    <n v="11"/>
    <s v="Business"/>
    <n v="75.8"/>
    <n v="87.52"/>
    <n v="10"/>
    <s v="No"/>
    <n v="182"/>
    <n v="232"/>
    <s v="Not Placed"/>
    <x v="1"/>
  </r>
  <r>
    <n v="12"/>
    <s v="Engineering"/>
    <n v="76"/>
    <n v="66.900000000000006"/>
    <n v="94"/>
    <s v="No"/>
    <n v="117"/>
    <n v="163"/>
    <s v="Placed"/>
    <x v="7"/>
  </r>
  <r>
    <n v="13"/>
    <s v="Business"/>
    <n v="62.8"/>
    <n v="71.3"/>
    <n v="88"/>
    <s v="No"/>
    <n v="130"/>
    <n v="119"/>
    <s v="Not Placed"/>
    <x v="1"/>
  </r>
  <r>
    <n v="14"/>
    <s v="Engineering"/>
    <n v="82.8"/>
    <n v="76.8"/>
    <n v="69"/>
    <s v="No"/>
    <n v="219"/>
    <n v="304"/>
    <s v="Placed"/>
    <x v="8"/>
  </r>
  <r>
    <n v="15"/>
    <s v="Business"/>
    <n v="76"/>
    <n v="72.3"/>
    <n v="83"/>
    <s v="No"/>
    <n v="152"/>
    <n v="211"/>
    <s v="Placed"/>
    <x v="9"/>
  </r>
  <r>
    <n v="16"/>
    <s v="Finance"/>
    <n v="76.900000000000006"/>
    <n v="72.400000000000006"/>
    <n v="82"/>
    <s v="No"/>
    <n v="228"/>
    <n v="286"/>
    <s v="Placed"/>
    <x v="10"/>
  </r>
  <r>
    <n v="17"/>
    <s v="Computer Science"/>
    <n v="75.8"/>
    <n v="72.2"/>
    <n v="84"/>
    <s v="Yes"/>
    <n v="62"/>
    <n v="122"/>
    <s v="Not Placed"/>
    <x v="1"/>
  </r>
  <r>
    <n v="18"/>
    <s v="Art"/>
    <n v="78"/>
    <n v="81"/>
    <n v="41"/>
    <s v="No"/>
    <n v="393"/>
    <n v="443"/>
    <s v="Placed"/>
    <x v="8"/>
  </r>
  <r>
    <n v="19"/>
    <s v="Business"/>
    <n v="82.4"/>
    <n v="96.1"/>
    <n v="1"/>
    <s v="No"/>
    <n v="277"/>
    <n v="366"/>
    <s v="Not Placed"/>
    <x v="1"/>
  </r>
  <r>
    <n v="20"/>
    <s v="Computer Science"/>
    <n v="76.2"/>
    <n v="76.75"/>
    <n v="70"/>
    <s v="No"/>
    <n v="206"/>
    <n v="244"/>
    <s v="Not Placed"/>
    <x v="1"/>
  </r>
  <r>
    <n v="21"/>
    <s v="Business"/>
    <n v="62.5"/>
    <n v="80.3"/>
    <n v="46"/>
    <s v="No"/>
    <n v="229"/>
    <n v="241"/>
    <s v="Not Placed"/>
    <x v="1"/>
  </r>
  <r>
    <n v="22"/>
    <s v="Art"/>
    <n v="78"/>
    <n v="77.84"/>
    <n v="65"/>
    <s v="No"/>
    <n v="182"/>
    <n v="237"/>
    <s v="Placed"/>
    <x v="11"/>
  </r>
  <r>
    <n v="23"/>
    <s v="Engineering"/>
    <n v="66.5"/>
    <n v="62.6"/>
    <n v="95"/>
    <s v="No"/>
    <n v="98"/>
    <n v="122"/>
    <s v="Not Placed"/>
    <x v="1"/>
  </r>
  <r>
    <n v="24"/>
    <s v="Computer Science"/>
    <n v="63.5"/>
    <n v="80.23"/>
    <n v="47"/>
    <s v="No"/>
    <n v="125"/>
    <n v="129"/>
    <s v="Not Placed"/>
    <x v="1"/>
  </r>
  <r>
    <n v="25"/>
    <s v="Business"/>
    <n v="82.6"/>
    <n v="79.099999999999994"/>
    <n v="57"/>
    <s v="No"/>
    <n v="164"/>
    <n v="236"/>
    <s v="Placed"/>
    <x v="12"/>
  </r>
  <r>
    <n v="26"/>
    <s v="Computer Science"/>
    <n v="79.2"/>
    <n v="77.83"/>
    <n v="66"/>
    <s v="No"/>
    <n v="186"/>
    <n v="251"/>
    <s v="Placed"/>
    <x v="13"/>
  </r>
  <r>
    <n v="27"/>
    <s v="Computer Science"/>
    <n v="75"/>
    <n v="75.13"/>
    <n v="73"/>
    <s v="No"/>
    <n v="235"/>
    <n v="283"/>
    <s v="Placed"/>
    <x v="14"/>
  </r>
  <r>
    <n v="28"/>
    <s v="Art"/>
    <n v="74.400000000000006"/>
    <n v="82.2"/>
    <n v="37"/>
    <s v="No"/>
    <n v="184"/>
    <n v="225"/>
    <s v="Not Placed"/>
    <x v="1"/>
  </r>
  <r>
    <n v="29"/>
    <s v="Finance"/>
    <n v="67.900000000000006"/>
    <n v="70.5"/>
    <n v="91"/>
    <s v="No"/>
    <n v="76"/>
    <n v="102"/>
    <s v="Not Placed"/>
    <x v="1"/>
  </r>
  <r>
    <n v="30"/>
    <s v="Art"/>
    <n v="76.8"/>
    <n v="70.8"/>
    <n v="90"/>
    <s v="No"/>
    <n v="126"/>
    <n v="180"/>
    <s v="Placed"/>
    <x v="15"/>
  </r>
  <r>
    <n v="31"/>
    <s v="Business"/>
    <n v="83"/>
    <n v="87.5"/>
    <n v="11"/>
    <s v="No"/>
    <n v="183"/>
    <n v="247"/>
    <s v="Not Placed"/>
    <x v="1"/>
  </r>
  <r>
    <n v="32"/>
    <s v="Computer Science"/>
    <n v="88.9"/>
    <n v="79.5"/>
    <n v="55"/>
    <s v="No"/>
    <n v="242"/>
    <n v="343"/>
    <s v="Not Placed"/>
    <x v="1"/>
  </r>
  <r>
    <n v="33"/>
    <s v="Business"/>
    <n v="76.5"/>
    <n v="80.8"/>
    <n v="42"/>
    <s v="No"/>
    <n v="207"/>
    <n v="283"/>
    <s v="Not Placed"/>
    <x v="1"/>
  </r>
  <r>
    <n v="34"/>
    <s v="Finance"/>
    <n v="79.900000000000006"/>
    <n v="79.63"/>
    <n v="53"/>
    <s v="Yes"/>
    <n v="181"/>
    <n v="253"/>
    <s v="Placed"/>
    <x v="10"/>
  </r>
  <r>
    <n v="35"/>
    <s v="Business"/>
    <n v="70.400000000000006"/>
    <n v="88.9"/>
    <n v="6"/>
    <s v="No"/>
    <n v="239"/>
    <n v="263"/>
    <s v="Not Placed"/>
    <x v="1"/>
  </r>
  <r>
    <n v="36"/>
    <s v="Art"/>
    <n v="83.4"/>
    <n v="85.9"/>
    <n v="17"/>
    <s v="No"/>
    <n v="216"/>
    <n v="291"/>
    <s v="Placed"/>
    <x v="16"/>
  </r>
  <r>
    <n v="37"/>
    <s v="Business"/>
    <n v="79.2"/>
    <n v="82.3"/>
    <n v="36"/>
    <s v="Yes"/>
    <n v="289"/>
    <n v="368"/>
    <s v="Placed"/>
    <x v="17"/>
  </r>
  <r>
    <n v="38"/>
    <s v="Engineering"/>
    <n v="61.2"/>
    <n v="76.7"/>
    <n v="71"/>
    <s v="No"/>
    <n v="213"/>
    <n v="206"/>
    <s v="Not Placed"/>
    <x v="1"/>
  </r>
  <r>
    <n v="39"/>
    <s v="Art"/>
    <n v="64"/>
    <n v="79.900000000000006"/>
    <n v="51"/>
    <s v="No"/>
    <n v="209"/>
    <n v="231"/>
    <s v="Not Placed"/>
    <x v="1"/>
  </r>
  <r>
    <n v="40"/>
    <s v="Art"/>
    <n v="68"/>
    <n v="86.2"/>
    <n v="15"/>
    <s v="Yes"/>
    <n v="376"/>
    <n v="389"/>
    <s v="Not Placed"/>
    <x v="1"/>
  </r>
  <r>
    <n v="41"/>
    <s v="Engineering"/>
    <n v="78.5"/>
    <n v="79.2"/>
    <n v="56"/>
    <s v="No"/>
    <n v="332"/>
    <n v="396"/>
    <s v="Placed"/>
    <x v="18"/>
  </r>
  <r>
    <n v="42"/>
    <s v="Business"/>
    <n v="83"/>
    <n v="83.4"/>
    <n v="30"/>
    <s v="Yes"/>
    <n v="249"/>
    <n v="339"/>
    <s v="Placed"/>
    <x v="19"/>
  </r>
  <r>
    <n v="43"/>
    <s v="Finance"/>
    <n v="75.2"/>
    <n v="85.2"/>
    <n v="19"/>
    <s v="Yes"/>
    <n v="228"/>
    <n v="286"/>
    <s v="Placed"/>
    <x v="4"/>
  </r>
  <r>
    <n v="44"/>
    <s v="Business"/>
    <n v="68.099999999999994"/>
    <n v="77.8"/>
    <n v="67"/>
    <s v="No"/>
    <n v="124"/>
    <n v="146"/>
    <s v="Not Placed"/>
    <x v="1"/>
  </r>
  <r>
    <n v="45"/>
    <s v="Finance"/>
    <n v="93.6"/>
    <n v="80.2"/>
    <n v="48"/>
    <s v="No"/>
    <n v="194"/>
    <n v="315"/>
    <s v="Placed"/>
    <x v="11"/>
  </r>
  <r>
    <n v="46"/>
    <s v="Business"/>
    <n v="75.599999999999994"/>
    <n v="71"/>
    <n v="89"/>
    <s v="Yes"/>
    <n v="157"/>
    <n v="183"/>
    <s v="Not Placed"/>
    <x v="1"/>
  </r>
  <r>
    <n v="47"/>
    <s v="Business"/>
    <n v="82.3"/>
    <n v="87.2"/>
    <n v="13"/>
    <s v="No"/>
    <n v="402"/>
    <n v="481"/>
    <s v="Placed"/>
    <x v="6"/>
  </r>
  <r>
    <n v="48"/>
    <s v="Business"/>
    <n v="71.400000000000006"/>
    <n v="82.9"/>
    <n v="33"/>
    <s v="No"/>
    <n v="323"/>
    <n v="349"/>
    <s v="Not Placed"/>
    <x v="1"/>
  </r>
  <r>
    <n v="49"/>
    <s v="Engineering"/>
    <n v="71.900000000000006"/>
    <n v="73.5"/>
    <n v="81"/>
    <s v="No"/>
    <n v="181"/>
    <n v="225"/>
    <s v="Placed"/>
    <x v="20"/>
  </r>
  <r>
    <n v="50"/>
    <s v="Art"/>
    <n v="79.099999999999994"/>
    <n v="74.599999999999994"/>
    <n v="78"/>
    <s v="No"/>
    <n v="157"/>
    <n v="217"/>
    <s v="Placed"/>
    <x v="6"/>
  </r>
  <r>
    <n v="51"/>
    <s v="Business"/>
    <n v="88.7"/>
    <n v="75.099999999999994"/>
    <n v="74"/>
    <s v="Yes"/>
    <n v="266"/>
    <n v="353"/>
    <s v="Placed"/>
    <x v="21"/>
  </r>
  <r>
    <n v="52"/>
    <s v="Engineering"/>
    <n v="69.400000000000006"/>
    <n v="85.1"/>
    <n v="20"/>
    <s v="No"/>
    <n v="268"/>
    <n v="314"/>
    <s v="Not Placed"/>
    <x v="1"/>
  </r>
  <r>
    <n v="53"/>
    <s v="Business"/>
    <n v="80.3"/>
    <n v="74.900000000000006"/>
    <n v="76"/>
    <s v="Yes"/>
    <n v="167"/>
    <n v="247"/>
    <s v="Placed"/>
    <x v="6"/>
  </r>
  <r>
    <n v="54"/>
    <s v="Finance"/>
    <n v="83"/>
    <n v="84.6"/>
    <n v="25"/>
    <s v="Yes"/>
    <n v="342"/>
    <n v="410"/>
    <s v="Placed"/>
    <x v="19"/>
  </r>
  <r>
    <n v="55"/>
    <s v="Business"/>
    <n v="74.099999999999994"/>
    <n v="81.7"/>
    <n v="39"/>
    <s v="Yes"/>
    <n v="349"/>
    <n v="395"/>
    <s v="Placed"/>
    <x v="22"/>
  </r>
  <r>
    <n v="56"/>
    <s v="Engineering"/>
    <n v="79.400000000000006"/>
    <n v="81.400000000000006"/>
    <n v="40"/>
    <s v="No"/>
    <n v="340"/>
    <n v="416"/>
    <s v="Placed"/>
    <x v="6"/>
  </r>
  <r>
    <n v="57"/>
    <s v="Business"/>
    <n v="88.1"/>
    <n v="83.8"/>
    <n v="29"/>
    <s v="Yes"/>
    <n v="227"/>
    <n v="342"/>
    <s v="Placed"/>
    <x v="23"/>
  </r>
  <r>
    <n v="58"/>
    <s v="Computer Science"/>
    <n v="74.599999999999994"/>
    <n v="88.5"/>
    <n v="9"/>
    <s v="Yes"/>
    <n v="409"/>
    <n v="446"/>
    <s v="Placed"/>
    <x v="24"/>
  </r>
  <r>
    <n v="59"/>
    <s v="Computer Science"/>
    <n v="87.1"/>
    <n v="84.9"/>
    <n v="22"/>
    <s v="Yes"/>
    <n v="400"/>
    <n v="477"/>
    <s v="Placed"/>
    <x v="6"/>
  </r>
  <r>
    <n v="60"/>
    <s v="Computer Science"/>
    <n v="79.7"/>
    <n v="84.3"/>
    <n v="26"/>
    <s v="No"/>
    <n v="374"/>
    <n v="444"/>
    <s v="Placed"/>
    <x v="25"/>
  </r>
  <r>
    <n v="61"/>
    <s v="Computer Science"/>
    <n v="82.1"/>
    <n v="78.23"/>
    <n v="62"/>
    <s v="No"/>
    <n v="255"/>
    <n v="351"/>
    <s v="Placed"/>
    <x v="26"/>
  </r>
  <r>
    <n v="62"/>
    <s v="Finance"/>
    <n v="70.2"/>
    <n v="80"/>
    <n v="50"/>
    <s v="No"/>
    <n v="146"/>
    <n v="165"/>
    <s v="Not Placed"/>
    <x v="1"/>
  </r>
  <r>
    <n v="63"/>
    <s v="Business"/>
    <n v="81.7"/>
    <n v="74.8"/>
    <n v="77"/>
    <s v="No"/>
    <n v="248"/>
    <n v="317"/>
    <s v="Placed"/>
    <x v="27"/>
  </r>
  <r>
    <n v="64"/>
    <s v="Computer Science"/>
    <n v="76.099999999999994"/>
    <n v="78.53"/>
    <n v="60"/>
    <s v="No"/>
    <n v="198"/>
    <n v="250"/>
    <s v="Placed"/>
    <x v="28"/>
  </r>
  <r>
    <n v="65"/>
    <s v="Engineering"/>
    <n v="65.400000000000006"/>
    <n v="71.8"/>
    <n v="86"/>
    <s v="Yes"/>
    <n v="210"/>
    <n v="217"/>
    <s v="Not Placed"/>
    <x v="1"/>
  </r>
  <r>
    <n v="66"/>
    <s v="Engineering"/>
    <n v="70.099999999999994"/>
    <n v="69.900000000000006"/>
    <n v="92"/>
    <s v="Yes"/>
    <n v="107"/>
    <n v="138"/>
    <s v="Not Placed"/>
    <x v="1"/>
  </r>
  <r>
    <n v="67"/>
    <s v="Business"/>
    <n v="75.3"/>
    <n v="82.7"/>
    <n v="34"/>
    <s v="Yes"/>
    <n v="239"/>
    <n v="302"/>
    <s v="Placed"/>
    <x v="29"/>
  </r>
  <r>
    <n v="68"/>
    <s v="Computer Science"/>
    <n v="68.7"/>
    <n v="74"/>
    <n v="80"/>
    <s v="No"/>
    <n v="287"/>
    <n v="311"/>
    <s v="Not Placed"/>
    <x v="1"/>
  </r>
  <r>
    <n v="69"/>
    <s v="Business"/>
    <n v="75.7"/>
    <n v="84"/>
    <n v="28"/>
    <s v="Yes"/>
    <n v="340"/>
    <n v="373"/>
    <s v="Placed"/>
    <x v="24"/>
  </r>
  <r>
    <n v="70"/>
    <s v="Computer Science"/>
    <n v="68.7"/>
    <n v="84.72"/>
    <n v="23"/>
    <s v="No"/>
    <n v="155"/>
    <n v="196"/>
    <s v="Not Placed"/>
    <x v="1"/>
  </r>
  <r>
    <n v="71"/>
    <s v="Engineering"/>
    <n v="70.400000000000006"/>
    <n v="78.2"/>
    <n v="63"/>
    <s v="Yes"/>
    <n v="263"/>
    <n v="306"/>
    <s v="Placed"/>
    <x v="10"/>
  </r>
  <r>
    <n v="72"/>
    <s v="Engineering"/>
    <n v="68.3"/>
    <n v="85"/>
    <n v="21"/>
    <s v="Yes"/>
    <n v="265"/>
    <n v="302"/>
    <s v="Not Placed"/>
    <x v="1"/>
  </r>
  <r>
    <n v="73"/>
    <s v="Business"/>
    <n v="71.7"/>
    <n v="80.099999999999994"/>
    <n v="49"/>
    <s v="No"/>
    <n v="249"/>
    <n v="278"/>
    <s v="Not Placed"/>
    <x v="1"/>
  </r>
  <r>
    <n v="74"/>
    <s v="Computer Science"/>
    <n v="70.900000000000006"/>
    <n v="85.3"/>
    <n v="18"/>
    <s v="No"/>
    <n v="377"/>
    <n v="429"/>
    <s v="Not Placed"/>
    <x v="1"/>
  </r>
  <r>
    <n v="75"/>
    <s v="Engineering"/>
    <n v="66.3"/>
    <n v="79.7"/>
    <n v="52"/>
    <s v="No"/>
    <n v="301"/>
    <n v="338"/>
    <s v="Placed"/>
    <x v="8"/>
  </r>
  <r>
    <n v="76"/>
    <s v="Business"/>
    <n v="65.3"/>
    <n v="79.599999999999994"/>
    <n v="54"/>
    <s v="No"/>
    <n v="242"/>
    <n v="261"/>
    <s v="Not Placed"/>
    <x v="1"/>
  </r>
  <r>
    <n v="77"/>
    <s v="Business"/>
    <n v="75.7"/>
    <n v="78.900000000000006"/>
    <n v="58"/>
    <s v="No"/>
    <n v="211"/>
    <n v="256"/>
    <s v="Not Placed"/>
    <x v="1"/>
  </r>
  <r>
    <n v="78"/>
    <s v="Finance"/>
    <n v="66"/>
    <n v="78.5"/>
    <n v="61"/>
    <s v="No"/>
    <n v="160"/>
    <n v="183"/>
    <s v="Placed"/>
    <x v="14"/>
  </r>
  <r>
    <n v="79"/>
    <s v="Business"/>
    <n v="78.900000000000006"/>
    <n v="72"/>
    <n v="85"/>
    <s v="No"/>
    <n v="218"/>
    <n v="274"/>
    <s v="Placed"/>
    <x v="30"/>
  </r>
  <r>
    <n v="80"/>
    <s v="Business"/>
    <n v="74"/>
    <n v="74.2"/>
    <n v="79"/>
    <s v="No"/>
    <n v="133"/>
    <n v="182"/>
    <s v="Not Placed"/>
    <x v="1"/>
  </r>
  <r>
    <n v="81"/>
    <s v="Business"/>
    <n v="74.599999999999994"/>
    <n v="71.7"/>
    <n v="87"/>
    <s v="No"/>
    <n v="122"/>
    <n v="183"/>
    <s v="Not Placed"/>
    <x v="1"/>
  </r>
  <r>
    <n v="82"/>
    <s v="Engineering"/>
    <n v="79.3"/>
    <n v="80.7"/>
    <n v="45"/>
    <s v="No"/>
    <n v="236"/>
    <n v="309"/>
    <s v="Placed"/>
    <x v="7"/>
  </r>
  <r>
    <n v="83"/>
    <s v="Engineering"/>
    <n v="70.099999999999994"/>
    <n v="84.1"/>
    <n v="27"/>
    <s v="No"/>
    <n v="143"/>
    <n v="178"/>
    <s v="Not Placed"/>
    <x v="1"/>
  </r>
  <r>
    <n v="84"/>
    <s v="Business"/>
    <n v="88.8"/>
    <n v="87.4"/>
    <n v="12"/>
    <s v="No"/>
    <n v="354"/>
    <n v="458"/>
    <s v="Placed"/>
    <x v="31"/>
  </r>
  <r>
    <n v="85"/>
    <s v="Business"/>
    <n v="66"/>
    <n v="77.400000000000006"/>
    <n v="68"/>
    <s v="Yes"/>
    <n v="214"/>
    <n v="234"/>
    <s v="Placed"/>
    <x v="8"/>
  </r>
  <r>
    <n v="86"/>
    <s v="Art"/>
    <n v="82.9"/>
    <n v="84.7"/>
    <n v="24"/>
    <s v="Yes"/>
    <n v="225"/>
    <n v="306"/>
    <s v="Placed"/>
    <x v="32"/>
  </r>
  <r>
    <n v="87"/>
    <s v="Business"/>
    <n v="100"/>
    <n v="78.8"/>
    <n v="59"/>
    <s v="No"/>
    <n v="261"/>
    <n v="400"/>
    <s v="Placed"/>
    <x v="33"/>
  </r>
  <r>
    <n v="88"/>
    <s v="Business"/>
    <n v="75.599999999999994"/>
    <n v="92.7"/>
    <n v="3"/>
    <s v="No"/>
    <n v="277"/>
    <n v="337"/>
    <s v="Not Placed"/>
    <x v="1"/>
  </r>
  <r>
    <n v="89"/>
    <s v="Finance"/>
    <n v="67.5"/>
    <n v="88.8"/>
    <n v="7"/>
    <s v="No"/>
    <n v="282"/>
    <n v="325"/>
    <s v="Placed"/>
    <x v="3"/>
  </r>
  <r>
    <n v="90"/>
    <s v="Computer Science"/>
    <n v="68.7"/>
    <n v="86.6"/>
    <n v="14"/>
    <s v="No"/>
    <n v="322"/>
    <n v="329"/>
    <s v="Not Placed"/>
    <x v="1"/>
  </r>
  <r>
    <n v="91"/>
    <s v="Business"/>
    <n v="76"/>
    <n v="77.900000000000006"/>
    <n v="64"/>
    <s v="No"/>
    <n v="326"/>
    <n v="369"/>
    <s v="Placed"/>
    <x v="19"/>
  </r>
  <r>
    <n v="92"/>
    <s v="Computer Science"/>
    <n v="67.7"/>
    <n v="86.1"/>
    <n v="16"/>
    <s v="No"/>
    <n v="421"/>
    <n v="457"/>
    <s v="Placed"/>
    <x v="2"/>
  </r>
  <r>
    <n v="93"/>
    <s v="Engineering"/>
    <n v="75.3"/>
    <n v="89.9"/>
    <n v="5"/>
    <s v="No"/>
    <n v="368"/>
    <n v="421"/>
    <s v="Not Placed"/>
    <x v="1"/>
  </r>
  <r>
    <n v="94"/>
    <s v="Engineering"/>
    <n v="68.099999999999994"/>
    <n v="83.1"/>
    <n v="32"/>
    <s v="No"/>
    <n v="279"/>
    <n v="282"/>
    <s v="Placed"/>
    <x v="34"/>
  </r>
  <r>
    <n v="95"/>
    <s v="Finance"/>
    <n v="63.3"/>
    <n v="82.6"/>
    <n v="35"/>
    <s v="No"/>
    <n v="268"/>
    <n v="256"/>
    <s v="Not Place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48F7D1-68F4-4D09-819F-43C30F24D294}" name="PivotTable1" cacheId="3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Salary">
  <location ref="O3:P14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1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3"/>
    </i>
    <i>
      <x v="18"/>
    </i>
  </rowItems>
  <colItems count="1">
    <i/>
  </colItems>
  <dataFields count="1">
    <dataField name="Frequency" fld="9" subtotal="count" baseField="8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FF76-98BA-45E0-9044-D31020882971}">
  <dimension ref="A1"/>
  <sheetViews>
    <sheetView showGridLines="0" tabSelected="1" workbookViewId="0">
      <selection activeCell="J25" sqref="J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BB93-AEB4-4DB6-ACE0-40CD00354B1A}">
  <dimension ref="A1:G57"/>
  <sheetViews>
    <sheetView showGridLines="0" workbookViewId="0">
      <selection activeCell="L9" sqref="L9"/>
    </sheetView>
  </sheetViews>
  <sheetFormatPr defaultRowHeight="15" x14ac:dyDescent="0.25"/>
  <cols>
    <col min="1" max="1" width="13.140625" bestFit="1" customWidth="1"/>
    <col min="3" max="3" width="12.140625" bestFit="1" customWidth="1"/>
    <col min="4" max="4" width="15.42578125" customWidth="1"/>
    <col min="5" max="5" width="17.7109375" customWidth="1"/>
    <col min="7" max="7" width="12.140625" customWidth="1"/>
    <col min="8" max="8" width="13" customWidth="1"/>
  </cols>
  <sheetData>
    <row r="1" spans="1:7" x14ac:dyDescent="0.25">
      <c r="A1" s="123" t="s">
        <v>62</v>
      </c>
      <c r="B1" s="123"/>
      <c r="C1" s="123"/>
      <c r="D1" s="123"/>
      <c r="E1" s="123"/>
      <c r="F1" s="123"/>
    </row>
    <row r="2" spans="1:7" x14ac:dyDescent="0.25">
      <c r="A2" s="123"/>
      <c r="B2" s="123"/>
      <c r="C2" s="123"/>
      <c r="D2" s="123"/>
      <c r="E2" s="123"/>
      <c r="F2" s="123"/>
    </row>
    <row r="3" spans="1:7" x14ac:dyDescent="0.25">
      <c r="A3" s="123"/>
      <c r="B3" s="123"/>
      <c r="C3" s="123"/>
      <c r="D3" s="123"/>
      <c r="E3" s="123"/>
      <c r="F3" s="123"/>
    </row>
    <row r="4" spans="1:7" x14ac:dyDescent="0.25">
      <c r="A4" s="9" t="s">
        <v>8</v>
      </c>
    </row>
    <row r="5" spans="1:7" x14ac:dyDescent="0.25">
      <c r="A5" s="13">
        <v>111000</v>
      </c>
      <c r="C5" s="117" t="s">
        <v>52</v>
      </c>
      <c r="D5" s="118"/>
      <c r="E5" s="118"/>
    </row>
    <row r="6" spans="1:7" x14ac:dyDescent="0.25">
      <c r="A6" s="14">
        <v>107000</v>
      </c>
      <c r="C6" s="20" t="s">
        <v>11</v>
      </c>
      <c r="D6" s="17" t="s">
        <v>18</v>
      </c>
      <c r="E6" s="16" t="s">
        <v>19</v>
      </c>
    </row>
    <row r="7" spans="1:7" x14ac:dyDescent="0.25">
      <c r="A7" s="14">
        <v>109000</v>
      </c>
      <c r="C7" s="1" t="s">
        <v>12</v>
      </c>
      <c r="D7" s="1" cm="1">
        <f t="array" ref="D7:D8">COUNTIF(Placement,C7:C8)</f>
        <v>42</v>
      </c>
      <c r="E7" s="15" cm="1">
        <f t="array" ref="E7:E8">_xlfn.ANCHORARRAY(D7)/SUM(_xlfn.ANCHORARRAY(D7))</f>
        <v>0.44210526315789472</v>
      </c>
    </row>
    <row r="8" spans="1:7" x14ac:dyDescent="0.25">
      <c r="A8" s="14">
        <v>148000</v>
      </c>
      <c r="C8" s="1" t="s">
        <v>11</v>
      </c>
      <c r="D8" s="1">
        <v>53</v>
      </c>
      <c r="E8" s="15">
        <v>0.55789473684210522</v>
      </c>
    </row>
    <row r="9" spans="1:7" x14ac:dyDescent="0.25">
      <c r="A9" s="14">
        <v>255500</v>
      </c>
    </row>
    <row r="10" spans="1:7" x14ac:dyDescent="0.25">
      <c r="A10" s="14">
        <v>103500</v>
      </c>
      <c r="C10" s="117" t="s">
        <v>63</v>
      </c>
      <c r="D10" s="118"/>
    </row>
    <row r="11" spans="1:7" x14ac:dyDescent="0.25">
      <c r="A11" s="14">
        <v>114500</v>
      </c>
      <c r="C11" s="34" t="s">
        <v>32</v>
      </c>
      <c r="D11" s="54">
        <f>AVERAGE(A5:A57)</f>
        <v>119386.7924528302</v>
      </c>
    </row>
    <row r="12" spans="1:7" x14ac:dyDescent="0.25">
      <c r="A12" s="14">
        <v>124000</v>
      </c>
      <c r="C12" s="34" t="s">
        <v>34</v>
      </c>
      <c r="D12" s="54">
        <f>_xlfn.STDEV.S(A5:A57)</f>
        <v>45546.958176470725</v>
      </c>
    </row>
    <row r="13" spans="1:7" x14ac:dyDescent="0.25">
      <c r="A13" s="14">
        <v>132500</v>
      </c>
      <c r="C13" t="s">
        <v>64</v>
      </c>
      <c r="D13">
        <f>D8</f>
        <v>53</v>
      </c>
    </row>
    <row r="14" spans="1:7" x14ac:dyDescent="0.25">
      <c r="A14" s="14">
        <v>99000</v>
      </c>
    </row>
    <row r="15" spans="1:7" x14ac:dyDescent="0.25">
      <c r="A15" s="14">
        <v>124000</v>
      </c>
    </row>
    <row r="16" spans="1:7" x14ac:dyDescent="0.25">
      <c r="A16" s="14">
        <v>82000</v>
      </c>
      <c r="C16" s="117" t="s">
        <v>65</v>
      </c>
      <c r="D16" s="118"/>
      <c r="F16" s="117" t="s">
        <v>66</v>
      </c>
      <c r="G16" s="118"/>
    </row>
    <row r="17" spans="1:7" x14ac:dyDescent="0.25">
      <c r="A17" s="14">
        <v>185000</v>
      </c>
      <c r="C17" s="21" t="s">
        <v>67</v>
      </c>
      <c r="D17" s="55">
        <v>0.9</v>
      </c>
      <c r="F17" s="21" t="s">
        <v>68</v>
      </c>
      <c r="G17" s="56">
        <f>A18-D18</f>
        <v>79022.548697285281</v>
      </c>
    </row>
    <row r="18" spans="1:7" x14ac:dyDescent="0.25">
      <c r="A18" s="14">
        <v>89500</v>
      </c>
      <c r="C18" s="21" t="s">
        <v>70</v>
      </c>
      <c r="D18" s="56">
        <f>_xlfn.CONFIDENCE.T(1-D17,D12,D13)</f>
        <v>10477.451302714715</v>
      </c>
      <c r="F18" s="21" t="s">
        <v>69</v>
      </c>
      <c r="G18" s="56">
        <f>A18+D18</f>
        <v>99977.451302714719</v>
      </c>
    </row>
    <row r="19" spans="1:7" x14ac:dyDescent="0.25">
      <c r="A19" s="14">
        <v>91500</v>
      </c>
    </row>
    <row r="20" spans="1:7" x14ac:dyDescent="0.25">
      <c r="A20" s="14">
        <v>113500</v>
      </c>
    </row>
    <row r="21" spans="1:7" x14ac:dyDescent="0.25">
      <c r="A21" s="14">
        <v>99000</v>
      </c>
    </row>
    <row r="22" spans="1:7" x14ac:dyDescent="0.25">
      <c r="A22" s="14">
        <v>75500</v>
      </c>
    </row>
    <row r="23" spans="1:7" x14ac:dyDescent="0.25">
      <c r="A23" s="14">
        <v>86000</v>
      </c>
    </row>
    <row r="24" spans="1:7" x14ac:dyDescent="0.25">
      <c r="A24" s="14">
        <v>156500</v>
      </c>
    </row>
    <row r="25" spans="1:7" x14ac:dyDescent="0.25">
      <c r="A25" s="14">
        <v>99500</v>
      </c>
    </row>
    <row r="26" spans="1:7" x14ac:dyDescent="0.25">
      <c r="A26" s="14">
        <v>148000</v>
      </c>
    </row>
    <row r="27" spans="1:7" x14ac:dyDescent="0.25">
      <c r="A27" s="14">
        <v>82000</v>
      </c>
    </row>
    <row r="28" spans="1:7" x14ac:dyDescent="0.25">
      <c r="A28" s="14">
        <v>103500</v>
      </c>
    </row>
    <row r="29" spans="1:7" x14ac:dyDescent="0.25">
      <c r="A29" s="14">
        <v>205500</v>
      </c>
    </row>
    <row r="30" spans="1:7" x14ac:dyDescent="0.25">
      <c r="A30" s="14">
        <v>103500</v>
      </c>
    </row>
    <row r="31" spans="1:7" x14ac:dyDescent="0.25">
      <c r="A31" s="14">
        <v>340000</v>
      </c>
    </row>
    <row r="32" spans="1:7" x14ac:dyDescent="0.25">
      <c r="A32" s="14">
        <v>103500</v>
      </c>
    </row>
    <row r="33" spans="1:1" x14ac:dyDescent="0.25">
      <c r="A33" s="14">
        <v>99500</v>
      </c>
    </row>
    <row r="34" spans="1:1" x14ac:dyDescent="0.25">
      <c r="A34" s="14">
        <v>103000</v>
      </c>
    </row>
    <row r="35" spans="1:1" x14ac:dyDescent="0.25">
      <c r="A35" s="14">
        <v>103500</v>
      </c>
    </row>
    <row r="36" spans="1:1" x14ac:dyDescent="0.25">
      <c r="A36" s="14">
        <v>165000</v>
      </c>
    </row>
    <row r="37" spans="1:1" x14ac:dyDescent="0.25">
      <c r="A37" s="14">
        <v>124500</v>
      </c>
    </row>
    <row r="38" spans="1:1" x14ac:dyDescent="0.25">
      <c r="A38" s="14">
        <v>103500</v>
      </c>
    </row>
    <row r="39" spans="1:1" x14ac:dyDescent="0.25">
      <c r="A39" s="14">
        <v>82500</v>
      </c>
    </row>
    <row r="40" spans="1:1" x14ac:dyDescent="0.25">
      <c r="A40" s="14">
        <v>93000</v>
      </c>
    </row>
    <row r="41" spans="1:1" x14ac:dyDescent="0.25">
      <c r="A41" s="14">
        <v>168000</v>
      </c>
    </row>
    <row r="42" spans="1:1" x14ac:dyDescent="0.25">
      <c r="A42" s="14">
        <v>96000</v>
      </c>
    </row>
    <row r="43" spans="1:1" x14ac:dyDescent="0.25">
      <c r="A43" s="14">
        <v>80000</v>
      </c>
    </row>
    <row r="44" spans="1:1" x14ac:dyDescent="0.25">
      <c r="A44" s="14">
        <v>124500</v>
      </c>
    </row>
    <row r="45" spans="1:1" x14ac:dyDescent="0.25">
      <c r="A45" s="14">
        <v>99000</v>
      </c>
    </row>
    <row r="46" spans="1:1" x14ac:dyDescent="0.25">
      <c r="A46" s="14">
        <v>124000</v>
      </c>
    </row>
    <row r="47" spans="1:1" x14ac:dyDescent="0.25">
      <c r="A47" s="14">
        <v>91500</v>
      </c>
    </row>
    <row r="48" spans="1:1" x14ac:dyDescent="0.25">
      <c r="A48" s="14">
        <v>144500</v>
      </c>
    </row>
    <row r="49" spans="1:1" x14ac:dyDescent="0.25">
      <c r="A49" s="14">
        <v>114500</v>
      </c>
    </row>
    <row r="50" spans="1:1" x14ac:dyDescent="0.25">
      <c r="A50" s="14">
        <v>104500</v>
      </c>
    </row>
    <row r="51" spans="1:1" x14ac:dyDescent="0.25">
      <c r="A51" s="14">
        <v>124000</v>
      </c>
    </row>
    <row r="52" spans="1:1" x14ac:dyDescent="0.25">
      <c r="A52" s="14">
        <v>113000</v>
      </c>
    </row>
    <row r="53" spans="1:1" x14ac:dyDescent="0.25">
      <c r="A53" s="14">
        <v>78000</v>
      </c>
    </row>
    <row r="54" spans="1:1" x14ac:dyDescent="0.25">
      <c r="A54" s="14">
        <v>109000</v>
      </c>
    </row>
    <row r="55" spans="1:1" x14ac:dyDescent="0.25">
      <c r="A55" s="14">
        <v>99500</v>
      </c>
    </row>
    <row r="56" spans="1:1" x14ac:dyDescent="0.25">
      <c r="A56" s="14">
        <v>107000</v>
      </c>
    </row>
    <row r="57" spans="1:1" x14ac:dyDescent="0.25">
      <c r="A57" s="14">
        <v>84000</v>
      </c>
    </row>
  </sheetData>
  <mergeCells count="5">
    <mergeCell ref="A1:F3"/>
    <mergeCell ref="C5:E5"/>
    <mergeCell ref="C10:D10"/>
    <mergeCell ref="C16:D16"/>
    <mergeCell ref="F16:G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7AD2-90E4-4A1A-B28E-C239A8B3F91B}">
  <dimension ref="A1:J101"/>
  <sheetViews>
    <sheetView workbookViewId="0">
      <selection activeCell="D72" sqref="D72"/>
    </sheetView>
  </sheetViews>
  <sheetFormatPr defaultRowHeight="15" x14ac:dyDescent="0.25"/>
  <cols>
    <col min="1" max="1" width="11.28515625" customWidth="1"/>
    <col min="2" max="2" width="21.42578125" customWidth="1"/>
    <col min="3" max="3" width="16.42578125" style="4" bestFit="1" customWidth="1"/>
    <col min="4" max="5" width="12.28515625" style="4" customWidth="1"/>
    <col min="6" max="6" width="16.28515625" style="4" bestFit="1" customWidth="1"/>
    <col min="7" max="7" width="21.42578125" style="4" bestFit="1" customWidth="1"/>
    <col min="8" max="8" width="19.85546875" style="4" bestFit="1" customWidth="1"/>
    <col min="9" max="9" width="10.5703125" bestFit="1" customWidth="1"/>
    <col min="10" max="10" width="13.140625" style="4" bestFit="1" customWidth="1"/>
  </cols>
  <sheetData>
    <row r="1" spans="1:10" x14ac:dyDescent="0.25">
      <c r="A1" s="5" t="s">
        <v>0</v>
      </c>
      <c r="B1" s="5" t="s">
        <v>1</v>
      </c>
      <c r="C1" s="9" t="s">
        <v>86</v>
      </c>
      <c r="D1" s="9" t="s">
        <v>87</v>
      </c>
      <c r="E1" s="9" t="s">
        <v>73</v>
      </c>
      <c r="F1" s="9" t="s">
        <v>4</v>
      </c>
      <c r="G1" s="9" t="s">
        <v>5</v>
      </c>
      <c r="H1" s="9" t="s">
        <v>6</v>
      </c>
      <c r="I1" s="5" t="s">
        <v>7</v>
      </c>
      <c r="J1" s="9" t="s">
        <v>8</v>
      </c>
    </row>
    <row r="2" spans="1:10" x14ac:dyDescent="0.25">
      <c r="A2" s="6">
        <v>1</v>
      </c>
      <c r="B2" s="6" t="s">
        <v>9</v>
      </c>
      <c r="C2" s="10">
        <v>68.400000000000006</v>
      </c>
      <c r="D2" s="10">
        <v>90.2</v>
      </c>
      <c r="E2" s="10" cm="1">
        <f t="array" ref="E2:E96">_xlfn.RANK.EQ(D2:D96,D2:D96)</f>
        <v>4</v>
      </c>
      <c r="F2" s="10" t="s">
        <v>10</v>
      </c>
      <c r="G2" s="10">
        <v>252</v>
      </c>
      <c r="H2" s="10">
        <v>276</v>
      </c>
      <c r="I2" s="6" t="s">
        <v>11</v>
      </c>
      <c r="J2" s="13">
        <v>111000</v>
      </c>
    </row>
    <row r="3" spans="1:10" x14ac:dyDescent="0.25">
      <c r="A3" s="7">
        <v>2</v>
      </c>
      <c r="B3" s="7" t="s">
        <v>9</v>
      </c>
      <c r="C3" s="11">
        <v>62.1</v>
      </c>
      <c r="D3" s="11">
        <v>92.8</v>
      </c>
      <c r="E3" s="11">
        <v>2</v>
      </c>
      <c r="F3" s="11" t="s">
        <v>10</v>
      </c>
      <c r="G3" s="11">
        <v>423</v>
      </c>
      <c r="H3" s="11">
        <v>410</v>
      </c>
      <c r="I3" s="7" t="s">
        <v>12</v>
      </c>
      <c r="J3" s="11"/>
    </row>
    <row r="4" spans="1:10" x14ac:dyDescent="0.25">
      <c r="A4" s="7">
        <v>3</v>
      </c>
      <c r="B4" s="7" t="s">
        <v>13</v>
      </c>
      <c r="C4" s="11">
        <v>70.2</v>
      </c>
      <c r="D4" s="11">
        <v>68.7</v>
      </c>
      <c r="E4" s="11">
        <v>93</v>
      </c>
      <c r="F4" s="11" t="s">
        <v>14</v>
      </c>
      <c r="G4" s="11">
        <v>101</v>
      </c>
      <c r="H4" s="11">
        <v>119</v>
      </c>
      <c r="I4" s="7" t="s">
        <v>11</v>
      </c>
      <c r="J4" s="14">
        <v>107000</v>
      </c>
    </row>
    <row r="5" spans="1:10" x14ac:dyDescent="0.25">
      <c r="A5" s="7">
        <v>4</v>
      </c>
      <c r="B5" s="7" t="s">
        <v>15</v>
      </c>
      <c r="C5" s="11">
        <v>75.099999999999994</v>
      </c>
      <c r="D5" s="11">
        <v>80.75</v>
      </c>
      <c r="E5" s="11">
        <v>43</v>
      </c>
      <c r="F5" s="11" t="s">
        <v>10</v>
      </c>
      <c r="G5" s="11">
        <v>288</v>
      </c>
      <c r="H5" s="11">
        <v>334</v>
      </c>
      <c r="I5" s="7" t="s">
        <v>12</v>
      </c>
      <c r="J5" s="11"/>
    </row>
    <row r="6" spans="1:10" x14ac:dyDescent="0.25">
      <c r="A6" s="7">
        <v>5</v>
      </c>
      <c r="B6" s="7" t="s">
        <v>16</v>
      </c>
      <c r="C6" s="11">
        <v>60.9</v>
      </c>
      <c r="D6" s="11">
        <v>74.930000000000007</v>
      </c>
      <c r="E6" s="11">
        <v>75</v>
      </c>
      <c r="F6" s="11" t="s">
        <v>10</v>
      </c>
      <c r="G6" s="11">
        <v>248</v>
      </c>
      <c r="H6" s="11">
        <v>252</v>
      </c>
      <c r="I6" s="7" t="s">
        <v>12</v>
      </c>
      <c r="J6" s="11"/>
    </row>
    <row r="7" spans="1:10" x14ac:dyDescent="0.25">
      <c r="A7" s="7">
        <v>6</v>
      </c>
      <c r="B7" s="7" t="s">
        <v>13</v>
      </c>
      <c r="C7" s="11">
        <v>74.5</v>
      </c>
      <c r="D7" s="11">
        <v>80.73</v>
      </c>
      <c r="E7" s="11">
        <v>44</v>
      </c>
      <c r="F7" s="11" t="s">
        <v>10</v>
      </c>
      <c r="G7" s="11">
        <v>145</v>
      </c>
      <c r="H7" s="11">
        <v>209</v>
      </c>
      <c r="I7" s="7" t="s">
        <v>12</v>
      </c>
      <c r="J7" s="11"/>
    </row>
    <row r="8" spans="1:10" x14ac:dyDescent="0.25">
      <c r="A8" s="7">
        <v>7</v>
      </c>
      <c r="B8" s="7" t="s">
        <v>16</v>
      </c>
      <c r="C8" s="11">
        <v>76.400000000000006</v>
      </c>
      <c r="D8" s="11">
        <v>83.3</v>
      </c>
      <c r="E8" s="11">
        <v>31</v>
      </c>
      <c r="F8" s="11" t="s">
        <v>10</v>
      </c>
      <c r="G8" s="11">
        <v>401</v>
      </c>
      <c r="H8" s="11">
        <v>462</v>
      </c>
      <c r="I8" s="7" t="s">
        <v>11</v>
      </c>
      <c r="J8" s="14">
        <v>109000</v>
      </c>
    </row>
    <row r="9" spans="1:10" x14ac:dyDescent="0.25">
      <c r="A9" s="7">
        <v>8</v>
      </c>
      <c r="B9" s="7" t="s">
        <v>9</v>
      </c>
      <c r="C9" s="11">
        <v>82.6</v>
      </c>
      <c r="D9" s="11">
        <v>88.7</v>
      </c>
      <c r="E9" s="11">
        <v>8</v>
      </c>
      <c r="F9" s="11" t="s">
        <v>10</v>
      </c>
      <c r="G9" s="11">
        <v>287</v>
      </c>
      <c r="H9" s="11">
        <v>342</v>
      </c>
      <c r="I9" s="7" t="s">
        <v>11</v>
      </c>
      <c r="J9" s="14">
        <v>148000</v>
      </c>
    </row>
    <row r="10" spans="1:10" x14ac:dyDescent="0.25">
      <c r="A10" s="7">
        <v>9</v>
      </c>
      <c r="B10" s="7" t="s">
        <v>16</v>
      </c>
      <c r="C10" s="11">
        <v>76.900000000000006</v>
      </c>
      <c r="D10" s="11">
        <v>75.400000000000006</v>
      </c>
      <c r="E10" s="11">
        <v>72</v>
      </c>
      <c r="F10" s="11" t="s">
        <v>10</v>
      </c>
      <c r="G10" s="11">
        <v>275</v>
      </c>
      <c r="H10" s="11">
        <v>347</v>
      </c>
      <c r="I10" s="7" t="s">
        <v>11</v>
      </c>
      <c r="J10" s="14">
        <v>255500</v>
      </c>
    </row>
    <row r="11" spans="1:10" x14ac:dyDescent="0.25">
      <c r="A11" s="7">
        <v>10</v>
      </c>
      <c r="B11" s="7" t="s">
        <v>13</v>
      </c>
      <c r="C11" s="11">
        <v>83.3</v>
      </c>
      <c r="D11" s="11">
        <v>82.1</v>
      </c>
      <c r="E11" s="11">
        <v>38</v>
      </c>
      <c r="F11" s="11" t="s">
        <v>10</v>
      </c>
      <c r="G11" s="11">
        <v>254</v>
      </c>
      <c r="H11" s="11">
        <v>313</v>
      </c>
      <c r="I11" s="7" t="s">
        <v>11</v>
      </c>
      <c r="J11" s="14">
        <v>103500</v>
      </c>
    </row>
    <row r="12" spans="1:10" x14ac:dyDescent="0.25">
      <c r="A12" s="7">
        <v>11</v>
      </c>
      <c r="B12" s="7" t="s">
        <v>9</v>
      </c>
      <c r="C12" s="11">
        <v>75.8</v>
      </c>
      <c r="D12" s="11">
        <v>87.52</v>
      </c>
      <c r="E12" s="11">
        <v>10</v>
      </c>
      <c r="F12" s="11" t="s">
        <v>10</v>
      </c>
      <c r="G12" s="11">
        <v>182</v>
      </c>
      <c r="H12" s="11">
        <v>232</v>
      </c>
      <c r="I12" s="7" t="s">
        <v>12</v>
      </c>
      <c r="J12" s="11"/>
    </row>
    <row r="13" spans="1:10" x14ac:dyDescent="0.25">
      <c r="A13" s="7">
        <v>12</v>
      </c>
      <c r="B13" s="7" t="s">
        <v>15</v>
      </c>
      <c r="C13" s="11">
        <v>76</v>
      </c>
      <c r="D13" s="11">
        <v>66.900000000000006</v>
      </c>
      <c r="E13" s="11">
        <v>94</v>
      </c>
      <c r="F13" s="11" t="s">
        <v>10</v>
      </c>
      <c r="G13" s="11">
        <v>117</v>
      </c>
      <c r="H13" s="11">
        <v>163</v>
      </c>
      <c r="I13" s="7" t="s">
        <v>11</v>
      </c>
      <c r="J13" s="14">
        <v>114500</v>
      </c>
    </row>
    <row r="14" spans="1:10" x14ac:dyDescent="0.25">
      <c r="A14" s="7">
        <v>13</v>
      </c>
      <c r="B14" s="7" t="s">
        <v>9</v>
      </c>
      <c r="C14" s="11">
        <v>62.8</v>
      </c>
      <c r="D14" s="11">
        <v>71.3</v>
      </c>
      <c r="E14" s="11">
        <v>88</v>
      </c>
      <c r="F14" s="11" t="s">
        <v>10</v>
      </c>
      <c r="G14" s="11">
        <v>130</v>
      </c>
      <c r="H14" s="11">
        <v>119</v>
      </c>
      <c r="I14" s="7" t="s">
        <v>12</v>
      </c>
      <c r="J14" s="11"/>
    </row>
    <row r="15" spans="1:10" x14ac:dyDescent="0.25">
      <c r="A15" s="7">
        <v>14</v>
      </c>
      <c r="B15" s="7" t="s">
        <v>15</v>
      </c>
      <c r="C15" s="11">
        <v>82.8</v>
      </c>
      <c r="D15" s="11">
        <v>76.8</v>
      </c>
      <c r="E15" s="11">
        <v>69</v>
      </c>
      <c r="F15" s="11" t="s">
        <v>10</v>
      </c>
      <c r="G15" s="11">
        <v>219</v>
      </c>
      <c r="H15" s="11">
        <v>304</v>
      </c>
      <c r="I15" s="7" t="s">
        <v>11</v>
      </c>
      <c r="J15" s="14">
        <v>124000</v>
      </c>
    </row>
    <row r="16" spans="1:10" x14ac:dyDescent="0.25">
      <c r="A16" s="7">
        <v>15</v>
      </c>
      <c r="B16" s="7" t="s">
        <v>9</v>
      </c>
      <c r="C16" s="11">
        <v>76</v>
      </c>
      <c r="D16" s="11">
        <v>72.3</v>
      </c>
      <c r="E16" s="11">
        <v>83</v>
      </c>
      <c r="F16" s="11" t="s">
        <v>10</v>
      </c>
      <c r="G16" s="11">
        <v>152</v>
      </c>
      <c r="H16" s="11">
        <v>211</v>
      </c>
      <c r="I16" s="7" t="s">
        <v>11</v>
      </c>
      <c r="J16" s="14">
        <v>132500</v>
      </c>
    </row>
    <row r="17" spans="1:10" x14ac:dyDescent="0.25">
      <c r="A17" s="7">
        <v>16</v>
      </c>
      <c r="B17" s="7" t="s">
        <v>16</v>
      </c>
      <c r="C17" s="11">
        <v>76.900000000000006</v>
      </c>
      <c r="D17" s="11">
        <v>72.400000000000006</v>
      </c>
      <c r="E17" s="11">
        <v>82</v>
      </c>
      <c r="F17" s="11" t="s">
        <v>10</v>
      </c>
      <c r="G17" s="11">
        <v>228</v>
      </c>
      <c r="H17" s="11">
        <v>286</v>
      </c>
      <c r="I17" s="7" t="s">
        <v>11</v>
      </c>
      <c r="J17" s="14">
        <v>99000</v>
      </c>
    </row>
    <row r="18" spans="1:10" x14ac:dyDescent="0.25">
      <c r="A18" s="7">
        <v>17</v>
      </c>
      <c r="B18" s="7" t="s">
        <v>13</v>
      </c>
      <c r="C18" s="11">
        <v>75.8</v>
      </c>
      <c r="D18" s="11">
        <v>72.2</v>
      </c>
      <c r="E18" s="11">
        <v>84</v>
      </c>
      <c r="F18" s="11" t="s">
        <v>14</v>
      </c>
      <c r="G18" s="11">
        <v>62</v>
      </c>
      <c r="H18" s="11">
        <v>122</v>
      </c>
      <c r="I18" s="7" t="s">
        <v>12</v>
      </c>
      <c r="J18" s="11"/>
    </row>
    <row r="19" spans="1:10" x14ac:dyDescent="0.25">
      <c r="A19" s="7">
        <v>18</v>
      </c>
      <c r="B19" s="7" t="s">
        <v>17</v>
      </c>
      <c r="C19" s="11">
        <v>78</v>
      </c>
      <c r="D19" s="11">
        <v>81</v>
      </c>
      <c r="E19" s="11">
        <v>41</v>
      </c>
      <c r="F19" s="11" t="s">
        <v>10</v>
      </c>
      <c r="G19" s="11">
        <v>393</v>
      </c>
      <c r="H19" s="11">
        <v>443</v>
      </c>
      <c r="I19" s="7" t="s">
        <v>11</v>
      </c>
      <c r="J19" s="14">
        <v>124000</v>
      </c>
    </row>
    <row r="20" spans="1:10" x14ac:dyDescent="0.25">
      <c r="A20" s="7">
        <v>19</v>
      </c>
      <c r="B20" s="7" t="s">
        <v>9</v>
      </c>
      <c r="C20" s="11">
        <v>82.4</v>
      </c>
      <c r="D20" s="11">
        <v>96.1</v>
      </c>
      <c r="E20" s="11">
        <v>1</v>
      </c>
      <c r="F20" s="11" t="s">
        <v>10</v>
      </c>
      <c r="G20" s="11">
        <v>277</v>
      </c>
      <c r="H20" s="11">
        <v>366</v>
      </c>
      <c r="I20" s="7" t="s">
        <v>12</v>
      </c>
      <c r="J20" s="11"/>
    </row>
    <row r="21" spans="1:10" x14ac:dyDescent="0.25">
      <c r="A21" s="7">
        <v>20</v>
      </c>
      <c r="B21" s="7" t="s">
        <v>13</v>
      </c>
      <c r="C21" s="11">
        <v>76.2</v>
      </c>
      <c r="D21" s="11">
        <v>76.75</v>
      </c>
      <c r="E21" s="11">
        <v>70</v>
      </c>
      <c r="F21" s="11" t="s">
        <v>10</v>
      </c>
      <c r="G21" s="11">
        <v>206</v>
      </c>
      <c r="H21" s="11">
        <v>244</v>
      </c>
      <c r="I21" s="7" t="s">
        <v>12</v>
      </c>
      <c r="J21" s="11"/>
    </row>
    <row r="22" spans="1:10" x14ac:dyDescent="0.25">
      <c r="A22" s="7">
        <v>21</v>
      </c>
      <c r="B22" s="7" t="s">
        <v>9</v>
      </c>
      <c r="C22" s="11">
        <v>62.5</v>
      </c>
      <c r="D22" s="11">
        <v>80.3</v>
      </c>
      <c r="E22" s="11">
        <v>46</v>
      </c>
      <c r="F22" s="11" t="s">
        <v>10</v>
      </c>
      <c r="G22" s="11">
        <v>229</v>
      </c>
      <c r="H22" s="11">
        <v>241</v>
      </c>
      <c r="I22" s="7" t="s">
        <v>12</v>
      </c>
      <c r="J22" s="11"/>
    </row>
    <row r="23" spans="1:10" x14ac:dyDescent="0.25">
      <c r="A23" s="7">
        <v>22</v>
      </c>
      <c r="B23" s="7" t="s">
        <v>17</v>
      </c>
      <c r="C23" s="11">
        <v>78</v>
      </c>
      <c r="D23" s="11">
        <v>77.84</v>
      </c>
      <c r="E23" s="11">
        <v>65</v>
      </c>
      <c r="F23" s="11" t="s">
        <v>10</v>
      </c>
      <c r="G23" s="11">
        <v>182</v>
      </c>
      <c r="H23" s="11">
        <v>237</v>
      </c>
      <c r="I23" s="7" t="s">
        <v>11</v>
      </c>
      <c r="J23" s="14">
        <v>82000</v>
      </c>
    </row>
    <row r="24" spans="1:10" x14ac:dyDescent="0.25">
      <c r="A24" s="7">
        <v>23</v>
      </c>
      <c r="B24" s="7" t="s">
        <v>15</v>
      </c>
      <c r="C24" s="11">
        <v>66.5</v>
      </c>
      <c r="D24" s="11">
        <v>62.6</v>
      </c>
      <c r="E24" s="11">
        <v>95</v>
      </c>
      <c r="F24" s="11" t="s">
        <v>10</v>
      </c>
      <c r="G24" s="11">
        <v>98</v>
      </c>
      <c r="H24" s="11">
        <v>122</v>
      </c>
      <c r="I24" s="7" t="s">
        <v>12</v>
      </c>
      <c r="J24" s="11"/>
    </row>
    <row r="25" spans="1:10" x14ac:dyDescent="0.25">
      <c r="A25" s="7">
        <v>24</v>
      </c>
      <c r="B25" s="7" t="s">
        <v>13</v>
      </c>
      <c r="C25" s="11">
        <v>63.5</v>
      </c>
      <c r="D25" s="11">
        <v>80.23</v>
      </c>
      <c r="E25" s="11">
        <v>47</v>
      </c>
      <c r="F25" s="11" t="s">
        <v>10</v>
      </c>
      <c r="G25" s="11">
        <v>125</v>
      </c>
      <c r="H25" s="11">
        <v>129</v>
      </c>
      <c r="I25" s="7" t="s">
        <v>12</v>
      </c>
      <c r="J25" s="11"/>
    </row>
    <row r="26" spans="1:10" x14ac:dyDescent="0.25">
      <c r="A26" s="7">
        <v>25</v>
      </c>
      <c r="B26" s="7" t="s">
        <v>9</v>
      </c>
      <c r="C26" s="11">
        <v>82.6</v>
      </c>
      <c r="D26" s="11">
        <v>79.099999999999994</v>
      </c>
      <c r="E26" s="11">
        <v>57</v>
      </c>
      <c r="F26" s="11" t="s">
        <v>10</v>
      </c>
      <c r="G26" s="11">
        <v>164</v>
      </c>
      <c r="H26" s="11">
        <v>236</v>
      </c>
      <c r="I26" s="7" t="s">
        <v>11</v>
      </c>
      <c r="J26" s="14">
        <v>185000</v>
      </c>
    </row>
    <row r="27" spans="1:10" x14ac:dyDescent="0.25">
      <c r="A27" s="7">
        <v>26</v>
      </c>
      <c r="B27" s="7" t="s">
        <v>13</v>
      </c>
      <c r="C27" s="11">
        <v>79.2</v>
      </c>
      <c r="D27" s="11">
        <v>77.83</v>
      </c>
      <c r="E27" s="11">
        <v>66</v>
      </c>
      <c r="F27" s="11" t="s">
        <v>10</v>
      </c>
      <c r="G27" s="11">
        <v>186</v>
      </c>
      <c r="H27" s="11">
        <v>251</v>
      </c>
      <c r="I27" s="7" t="s">
        <v>11</v>
      </c>
      <c r="J27" s="14">
        <v>89500</v>
      </c>
    </row>
    <row r="28" spans="1:10" x14ac:dyDescent="0.25">
      <c r="A28" s="7">
        <v>27</v>
      </c>
      <c r="B28" s="7" t="s">
        <v>13</v>
      </c>
      <c r="C28" s="11">
        <v>75</v>
      </c>
      <c r="D28" s="11">
        <v>75.13</v>
      </c>
      <c r="E28" s="11">
        <v>73</v>
      </c>
      <c r="F28" s="11" t="s">
        <v>10</v>
      </c>
      <c r="G28" s="11">
        <v>235</v>
      </c>
      <c r="H28" s="11">
        <v>283</v>
      </c>
      <c r="I28" s="7" t="s">
        <v>11</v>
      </c>
      <c r="J28" s="14">
        <v>91500</v>
      </c>
    </row>
    <row r="29" spans="1:10" x14ac:dyDescent="0.25">
      <c r="A29" s="7">
        <v>28</v>
      </c>
      <c r="B29" s="7" t="s">
        <v>17</v>
      </c>
      <c r="C29" s="11">
        <v>74.400000000000006</v>
      </c>
      <c r="D29" s="11">
        <v>82.2</v>
      </c>
      <c r="E29" s="11">
        <v>37</v>
      </c>
      <c r="F29" s="11" t="s">
        <v>10</v>
      </c>
      <c r="G29" s="11">
        <v>184</v>
      </c>
      <c r="H29" s="11">
        <v>225</v>
      </c>
      <c r="I29" s="7" t="s">
        <v>12</v>
      </c>
      <c r="J29" s="11"/>
    </row>
    <row r="30" spans="1:10" x14ac:dyDescent="0.25">
      <c r="A30" s="7">
        <v>29</v>
      </c>
      <c r="B30" s="7" t="s">
        <v>16</v>
      </c>
      <c r="C30" s="11">
        <v>67.900000000000006</v>
      </c>
      <c r="D30" s="11">
        <v>70.5</v>
      </c>
      <c r="E30" s="11">
        <v>91</v>
      </c>
      <c r="F30" s="11" t="s">
        <v>10</v>
      </c>
      <c r="G30" s="11">
        <v>76</v>
      </c>
      <c r="H30" s="11">
        <v>102</v>
      </c>
      <c r="I30" s="7" t="s">
        <v>12</v>
      </c>
      <c r="J30" s="11"/>
    </row>
    <row r="31" spans="1:10" x14ac:dyDescent="0.25">
      <c r="A31" s="7">
        <v>30</v>
      </c>
      <c r="B31" s="7" t="s">
        <v>17</v>
      </c>
      <c r="C31" s="11">
        <v>76.8</v>
      </c>
      <c r="D31" s="11">
        <v>70.8</v>
      </c>
      <c r="E31" s="11">
        <v>90</v>
      </c>
      <c r="F31" s="11" t="s">
        <v>10</v>
      </c>
      <c r="G31" s="11">
        <v>126</v>
      </c>
      <c r="H31" s="11">
        <v>180</v>
      </c>
      <c r="I31" s="7" t="s">
        <v>11</v>
      </c>
      <c r="J31" s="14">
        <v>113500</v>
      </c>
    </row>
    <row r="32" spans="1:10" x14ac:dyDescent="0.25">
      <c r="A32" s="7">
        <v>31</v>
      </c>
      <c r="B32" s="7" t="s">
        <v>9</v>
      </c>
      <c r="C32" s="11">
        <v>83</v>
      </c>
      <c r="D32" s="11">
        <v>87.5</v>
      </c>
      <c r="E32" s="11">
        <v>11</v>
      </c>
      <c r="F32" s="11" t="s">
        <v>10</v>
      </c>
      <c r="G32" s="11">
        <v>183</v>
      </c>
      <c r="H32" s="11">
        <v>247</v>
      </c>
      <c r="I32" s="7" t="s">
        <v>12</v>
      </c>
      <c r="J32" s="11"/>
    </row>
    <row r="33" spans="1:10" x14ac:dyDescent="0.25">
      <c r="A33" s="7">
        <v>32</v>
      </c>
      <c r="B33" s="7" t="s">
        <v>13</v>
      </c>
      <c r="C33" s="11">
        <v>88.9</v>
      </c>
      <c r="D33" s="11">
        <v>79.5</v>
      </c>
      <c r="E33" s="11">
        <v>55</v>
      </c>
      <c r="F33" s="11" t="s">
        <v>10</v>
      </c>
      <c r="G33" s="11">
        <v>242</v>
      </c>
      <c r="H33" s="11">
        <v>343</v>
      </c>
      <c r="I33" s="7" t="s">
        <v>12</v>
      </c>
      <c r="J33" s="11"/>
    </row>
    <row r="34" spans="1:10" x14ac:dyDescent="0.25">
      <c r="A34" s="7">
        <v>33</v>
      </c>
      <c r="B34" s="7" t="s">
        <v>9</v>
      </c>
      <c r="C34" s="11">
        <v>76.5</v>
      </c>
      <c r="D34" s="11">
        <v>80.8</v>
      </c>
      <c r="E34" s="11">
        <v>42</v>
      </c>
      <c r="F34" s="11" t="s">
        <v>10</v>
      </c>
      <c r="G34" s="11">
        <v>207</v>
      </c>
      <c r="H34" s="11">
        <v>283</v>
      </c>
      <c r="I34" s="7" t="s">
        <v>12</v>
      </c>
      <c r="J34" s="11"/>
    </row>
    <row r="35" spans="1:10" x14ac:dyDescent="0.25">
      <c r="A35" s="7">
        <v>34</v>
      </c>
      <c r="B35" s="7" t="s">
        <v>16</v>
      </c>
      <c r="C35" s="11">
        <v>79.900000000000006</v>
      </c>
      <c r="D35" s="11">
        <v>79.63</v>
      </c>
      <c r="E35" s="11">
        <v>53</v>
      </c>
      <c r="F35" s="11" t="s">
        <v>14</v>
      </c>
      <c r="G35" s="11">
        <v>181</v>
      </c>
      <c r="H35" s="11">
        <v>253</v>
      </c>
      <c r="I35" s="7" t="s">
        <v>11</v>
      </c>
      <c r="J35" s="14">
        <v>99000</v>
      </c>
    </row>
    <row r="36" spans="1:10" x14ac:dyDescent="0.25">
      <c r="A36" s="7">
        <v>35</v>
      </c>
      <c r="B36" s="7" t="s">
        <v>9</v>
      </c>
      <c r="C36" s="11">
        <v>70.400000000000006</v>
      </c>
      <c r="D36" s="11">
        <v>88.9</v>
      </c>
      <c r="E36" s="11">
        <v>6</v>
      </c>
      <c r="F36" s="11" t="s">
        <v>10</v>
      </c>
      <c r="G36" s="11">
        <v>239</v>
      </c>
      <c r="H36" s="11">
        <v>263</v>
      </c>
      <c r="I36" s="7" t="s">
        <v>12</v>
      </c>
      <c r="J36" s="11"/>
    </row>
    <row r="37" spans="1:10" x14ac:dyDescent="0.25">
      <c r="A37" s="7">
        <v>36</v>
      </c>
      <c r="B37" s="7" t="s">
        <v>17</v>
      </c>
      <c r="C37" s="11">
        <v>83.4</v>
      </c>
      <c r="D37" s="11">
        <v>85.9</v>
      </c>
      <c r="E37" s="11">
        <v>17</v>
      </c>
      <c r="F37" s="11" t="s">
        <v>10</v>
      </c>
      <c r="G37" s="11">
        <v>216</v>
      </c>
      <c r="H37" s="11">
        <v>291</v>
      </c>
      <c r="I37" s="7" t="s">
        <v>11</v>
      </c>
      <c r="J37" s="14">
        <v>75500</v>
      </c>
    </row>
    <row r="38" spans="1:10" x14ac:dyDescent="0.25">
      <c r="A38" s="7">
        <v>37</v>
      </c>
      <c r="B38" s="7" t="s">
        <v>9</v>
      </c>
      <c r="C38" s="11">
        <v>79.2</v>
      </c>
      <c r="D38" s="11">
        <v>82.3</v>
      </c>
      <c r="E38" s="11">
        <v>36</v>
      </c>
      <c r="F38" s="11" t="s">
        <v>14</v>
      </c>
      <c r="G38" s="11">
        <v>289</v>
      </c>
      <c r="H38" s="11">
        <v>368</v>
      </c>
      <c r="I38" s="7" t="s">
        <v>11</v>
      </c>
      <c r="J38" s="14">
        <v>86000</v>
      </c>
    </row>
    <row r="39" spans="1:10" x14ac:dyDescent="0.25">
      <c r="A39" s="7">
        <v>38</v>
      </c>
      <c r="B39" s="7" t="s">
        <v>15</v>
      </c>
      <c r="C39" s="11">
        <v>61.2</v>
      </c>
      <c r="D39" s="11">
        <v>76.7</v>
      </c>
      <c r="E39" s="11">
        <v>71</v>
      </c>
      <c r="F39" s="11" t="s">
        <v>10</v>
      </c>
      <c r="G39" s="11">
        <v>213</v>
      </c>
      <c r="H39" s="11">
        <v>206</v>
      </c>
      <c r="I39" s="7" t="s">
        <v>12</v>
      </c>
      <c r="J39" s="11"/>
    </row>
    <row r="40" spans="1:10" x14ac:dyDescent="0.25">
      <c r="A40" s="7">
        <v>39</v>
      </c>
      <c r="B40" s="7" t="s">
        <v>17</v>
      </c>
      <c r="C40" s="11">
        <v>64</v>
      </c>
      <c r="D40" s="11">
        <v>79.900000000000006</v>
      </c>
      <c r="E40" s="11">
        <v>51</v>
      </c>
      <c r="F40" s="11" t="s">
        <v>10</v>
      </c>
      <c r="G40" s="11">
        <v>209</v>
      </c>
      <c r="H40" s="11">
        <v>231</v>
      </c>
      <c r="I40" s="7" t="s">
        <v>12</v>
      </c>
      <c r="J40" s="11"/>
    </row>
    <row r="41" spans="1:10" x14ac:dyDescent="0.25">
      <c r="A41" s="7">
        <v>40</v>
      </c>
      <c r="B41" s="7" t="s">
        <v>17</v>
      </c>
      <c r="C41" s="11">
        <v>68</v>
      </c>
      <c r="D41" s="11">
        <v>86.2</v>
      </c>
      <c r="E41" s="11">
        <v>15</v>
      </c>
      <c r="F41" s="11" t="s">
        <v>14</v>
      </c>
      <c r="G41" s="11">
        <v>376</v>
      </c>
      <c r="H41" s="11">
        <v>389</v>
      </c>
      <c r="I41" s="7" t="s">
        <v>12</v>
      </c>
      <c r="J41" s="11"/>
    </row>
    <row r="42" spans="1:10" x14ac:dyDescent="0.25">
      <c r="A42" s="7">
        <v>41</v>
      </c>
      <c r="B42" s="7" t="s">
        <v>15</v>
      </c>
      <c r="C42" s="11">
        <v>78.5</v>
      </c>
      <c r="D42" s="11">
        <v>79.2</v>
      </c>
      <c r="E42" s="11">
        <v>56</v>
      </c>
      <c r="F42" s="11" t="s">
        <v>10</v>
      </c>
      <c r="G42" s="11">
        <v>332</v>
      </c>
      <c r="H42" s="11">
        <v>396</v>
      </c>
      <c r="I42" s="7" t="s">
        <v>11</v>
      </c>
      <c r="J42" s="14">
        <v>156500</v>
      </c>
    </row>
    <row r="43" spans="1:10" x14ac:dyDescent="0.25">
      <c r="A43" s="7">
        <v>42</v>
      </c>
      <c r="B43" s="7" t="s">
        <v>9</v>
      </c>
      <c r="C43" s="11">
        <v>83</v>
      </c>
      <c r="D43" s="11">
        <v>83.4</v>
      </c>
      <c r="E43" s="11">
        <v>30</v>
      </c>
      <c r="F43" s="11" t="s">
        <v>14</v>
      </c>
      <c r="G43" s="11">
        <v>249</v>
      </c>
      <c r="H43" s="11">
        <v>339</v>
      </c>
      <c r="I43" s="7" t="s">
        <v>11</v>
      </c>
      <c r="J43" s="14">
        <v>99500</v>
      </c>
    </row>
    <row r="44" spans="1:10" x14ac:dyDescent="0.25">
      <c r="A44" s="7">
        <v>43</v>
      </c>
      <c r="B44" s="7" t="s">
        <v>16</v>
      </c>
      <c r="C44" s="11">
        <v>75.2</v>
      </c>
      <c r="D44" s="11">
        <v>85.2</v>
      </c>
      <c r="E44" s="11">
        <v>19</v>
      </c>
      <c r="F44" s="11" t="s">
        <v>14</v>
      </c>
      <c r="G44" s="11">
        <v>228</v>
      </c>
      <c r="H44" s="11">
        <v>286</v>
      </c>
      <c r="I44" s="7" t="s">
        <v>11</v>
      </c>
      <c r="J44" s="14">
        <v>148000</v>
      </c>
    </row>
    <row r="45" spans="1:10" x14ac:dyDescent="0.25">
      <c r="A45" s="7">
        <v>44</v>
      </c>
      <c r="B45" s="7" t="s">
        <v>9</v>
      </c>
      <c r="C45" s="11">
        <v>68.099999999999994</v>
      </c>
      <c r="D45" s="11">
        <v>77.8</v>
      </c>
      <c r="E45" s="11">
        <v>67</v>
      </c>
      <c r="F45" s="11" t="s">
        <v>10</v>
      </c>
      <c r="G45" s="11">
        <v>124</v>
      </c>
      <c r="H45" s="11">
        <v>146</v>
      </c>
      <c r="I45" s="7" t="s">
        <v>12</v>
      </c>
      <c r="J45" s="11"/>
    </row>
    <row r="46" spans="1:10" x14ac:dyDescent="0.25">
      <c r="A46" s="7">
        <v>45</v>
      </c>
      <c r="B46" s="7" t="s">
        <v>16</v>
      </c>
      <c r="C46" s="11">
        <v>93.6</v>
      </c>
      <c r="D46" s="11">
        <v>80.2</v>
      </c>
      <c r="E46" s="11">
        <v>48</v>
      </c>
      <c r="F46" s="11" t="s">
        <v>10</v>
      </c>
      <c r="G46" s="11">
        <v>194</v>
      </c>
      <c r="H46" s="11">
        <v>315</v>
      </c>
      <c r="I46" s="7" t="s">
        <v>11</v>
      </c>
      <c r="J46" s="14">
        <v>82000</v>
      </c>
    </row>
    <row r="47" spans="1:10" x14ac:dyDescent="0.25">
      <c r="A47" s="7">
        <v>46</v>
      </c>
      <c r="B47" s="7" t="s">
        <v>9</v>
      </c>
      <c r="C47" s="11">
        <v>75.599999999999994</v>
      </c>
      <c r="D47" s="11">
        <v>71</v>
      </c>
      <c r="E47" s="11">
        <v>89</v>
      </c>
      <c r="F47" s="11" t="s">
        <v>14</v>
      </c>
      <c r="G47" s="11">
        <v>157</v>
      </c>
      <c r="H47" s="11">
        <v>183</v>
      </c>
      <c r="I47" s="7" t="s">
        <v>12</v>
      </c>
      <c r="J47" s="11"/>
    </row>
    <row r="48" spans="1:10" x14ac:dyDescent="0.25">
      <c r="A48" s="7">
        <v>47</v>
      </c>
      <c r="B48" s="7" t="s">
        <v>9</v>
      </c>
      <c r="C48" s="11">
        <v>82.3</v>
      </c>
      <c r="D48" s="11">
        <v>87.2</v>
      </c>
      <c r="E48" s="11">
        <v>13</v>
      </c>
      <c r="F48" s="11" t="s">
        <v>10</v>
      </c>
      <c r="G48" s="11">
        <v>402</v>
      </c>
      <c r="H48" s="11">
        <v>481</v>
      </c>
      <c r="I48" s="7" t="s">
        <v>11</v>
      </c>
      <c r="J48" s="14">
        <v>103500</v>
      </c>
    </row>
    <row r="49" spans="1:10" x14ac:dyDescent="0.25">
      <c r="A49" s="7">
        <v>48</v>
      </c>
      <c r="B49" s="7" t="s">
        <v>9</v>
      </c>
      <c r="C49" s="11">
        <v>71.400000000000006</v>
      </c>
      <c r="D49" s="11">
        <v>82.9</v>
      </c>
      <c r="E49" s="11">
        <v>33</v>
      </c>
      <c r="F49" s="11" t="s">
        <v>10</v>
      </c>
      <c r="G49" s="11">
        <v>323</v>
      </c>
      <c r="H49" s="11">
        <v>349</v>
      </c>
      <c r="I49" s="7" t="s">
        <v>12</v>
      </c>
      <c r="J49" s="11"/>
    </row>
    <row r="50" spans="1:10" x14ac:dyDescent="0.25">
      <c r="A50" s="7">
        <v>49</v>
      </c>
      <c r="B50" s="7" t="s">
        <v>15</v>
      </c>
      <c r="C50" s="11">
        <v>71.900000000000006</v>
      </c>
      <c r="D50" s="11">
        <v>73.5</v>
      </c>
      <c r="E50" s="11">
        <v>81</v>
      </c>
      <c r="F50" s="11" t="s">
        <v>10</v>
      </c>
      <c r="G50" s="11">
        <v>181</v>
      </c>
      <c r="H50" s="11">
        <v>225</v>
      </c>
      <c r="I50" s="7" t="s">
        <v>11</v>
      </c>
      <c r="J50" s="14">
        <v>205500</v>
      </c>
    </row>
    <row r="51" spans="1:10" x14ac:dyDescent="0.25">
      <c r="A51" s="7">
        <v>50</v>
      </c>
      <c r="B51" s="7" t="s">
        <v>17</v>
      </c>
      <c r="C51" s="11">
        <v>79.099999999999994</v>
      </c>
      <c r="D51" s="11">
        <v>74.599999999999994</v>
      </c>
      <c r="E51" s="11">
        <v>78</v>
      </c>
      <c r="F51" s="11" t="s">
        <v>10</v>
      </c>
      <c r="G51" s="11">
        <v>157</v>
      </c>
      <c r="H51" s="11">
        <v>217</v>
      </c>
      <c r="I51" s="7" t="s">
        <v>11</v>
      </c>
      <c r="J51" s="14">
        <v>103500</v>
      </c>
    </row>
    <row r="52" spans="1:10" x14ac:dyDescent="0.25">
      <c r="A52" s="7">
        <v>51</v>
      </c>
      <c r="B52" s="7" t="s">
        <v>9</v>
      </c>
      <c r="C52" s="11">
        <v>88.7</v>
      </c>
      <c r="D52" s="11">
        <v>75.099999999999994</v>
      </c>
      <c r="E52" s="11">
        <v>74</v>
      </c>
      <c r="F52" s="11" t="s">
        <v>14</v>
      </c>
      <c r="G52" s="11">
        <v>266</v>
      </c>
      <c r="H52" s="11">
        <v>353</v>
      </c>
      <c r="I52" s="7" t="s">
        <v>11</v>
      </c>
      <c r="J52" s="14">
        <v>340000</v>
      </c>
    </row>
    <row r="53" spans="1:10" x14ac:dyDescent="0.25">
      <c r="A53" s="7">
        <v>52</v>
      </c>
      <c r="B53" s="7" t="s">
        <v>15</v>
      </c>
      <c r="C53" s="11">
        <v>69.400000000000006</v>
      </c>
      <c r="D53" s="11">
        <v>85.1</v>
      </c>
      <c r="E53" s="11">
        <v>20</v>
      </c>
      <c r="F53" s="11" t="s">
        <v>10</v>
      </c>
      <c r="G53" s="11">
        <v>268</v>
      </c>
      <c r="H53" s="11">
        <v>314</v>
      </c>
      <c r="I53" s="7" t="s">
        <v>12</v>
      </c>
      <c r="J53" s="11"/>
    </row>
    <row r="54" spans="1:10" x14ac:dyDescent="0.25">
      <c r="A54" s="7">
        <v>53</v>
      </c>
      <c r="B54" s="7" t="s">
        <v>9</v>
      </c>
      <c r="C54" s="11">
        <v>80.3</v>
      </c>
      <c r="D54" s="11">
        <v>74.900000000000006</v>
      </c>
      <c r="E54" s="11">
        <v>76</v>
      </c>
      <c r="F54" s="11" t="s">
        <v>14</v>
      </c>
      <c r="G54" s="11">
        <v>167</v>
      </c>
      <c r="H54" s="11">
        <v>247</v>
      </c>
      <c r="I54" s="7" t="s">
        <v>11</v>
      </c>
      <c r="J54" s="14">
        <v>103500</v>
      </c>
    </row>
    <row r="55" spans="1:10" x14ac:dyDescent="0.25">
      <c r="A55" s="7">
        <v>54</v>
      </c>
      <c r="B55" s="7" t="s">
        <v>16</v>
      </c>
      <c r="C55" s="11">
        <v>83</v>
      </c>
      <c r="D55" s="11">
        <v>84.6</v>
      </c>
      <c r="E55" s="11">
        <v>25</v>
      </c>
      <c r="F55" s="11" t="s">
        <v>14</v>
      </c>
      <c r="G55" s="11">
        <v>342</v>
      </c>
      <c r="H55" s="11">
        <v>410</v>
      </c>
      <c r="I55" s="7" t="s">
        <v>11</v>
      </c>
      <c r="J55" s="14">
        <v>99500</v>
      </c>
    </row>
    <row r="56" spans="1:10" x14ac:dyDescent="0.25">
      <c r="A56" s="7">
        <v>55</v>
      </c>
      <c r="B56" s="7" t="s">
        <v>9</v>
      </c>
      <c r="C56" s="11">
        <v>74.099999999999994</v>
      </c>
      <c r="D56" s="11">
        <v>81.7</v>
      </c>
      <c r="E56" s="11">
        <v>39</v>
      </c>
      <c r="F56" s="11" t="s">
        <v>14</v>
      </c>
      <c r="G56" s="11">
        <v>349</v>
      </c>
      <c r="H56" s="11">
        <v>395</v>
      </c>
      <c r="I56" s="7" t="s">
        <v>11</v>
      </c>
      <c r="J56" s="14">
        <v>103000</v>
      </c>
    </row>
    <row r="57" spans="1:10" x14ac:dyDescent="0.25">
      <c r="A57" s="7">
        <v>56</v>
      </c>
      <c r="B57" s="7" t="s">
        <v>15</v>
      </c>
      <c r="C57" s="11">
        <v>79.400000000000006</v>
      </c>
      <c r="D57" s="11">
        <v>81.400000000000006</v>
      </c>
      <c r="E57" s="11">
        <v>40</v>
      </c>
      <c r="F57" s="11" t="s">
        <v>10</v>
      </c>
      <c r="G57" s="11">
        <v>340</v>
      </c>
      <c r="H57" s="11">
        <v>416</v>
      </c>
      <c r="I57" s="7" t="s">
        <v>11</v>
      </c>
      <c r="J57" s="14">
        <v>103500</v>
      </c>
    </row>
    <row r="58" spans="1:10" x14ac:dyDescent="0.25">
      <c r="A58" s="7">
        <v>57</v>
      </c>
      <c r="B58" s="7" t="s">
        <v>9</v>
      </c>
      <c r="C58" s="11">
        <v>88.1</v>
      </c>
      <c r="D58" s="11">
        <v>83.8</v>
      </c>
      <c r="E58" s="11">
        <v>29</v>
      </c>
      <c r="F58" s="11" t="s">
        <v>14</v>
      </c>
      <c r="G58" s="11">
        <v>227</v>
      </c>
      <c r="H58" s="11">
        <v>342</v>
      </c>
      <c r="I58" s="7" t="s">
        <v>11</v>
      </c>
      <c r="J58" s="14">
        <v>165000</v>
      </c>
    </row>
    <row r="59" spans="1:10" x14ac:dyDescent="0.25">
      <c r="A59" s="7">
        <v>58</v>
      </c>
      <c r="B59" s="7" t="s">
        <v>13</v>
      </c>
      <c r="C59" s="11">
        <v>74.599999999999994</v>
      </c>
      <c r="D59" s="11">
        <v>88.5</v>
      </c>
      <c r="E59" s="11">
        <v>9</v>
      </c>
      <c r="F59" s="11" t="s">
        <v>14</v>
      </c>
      <c r="G59" s="11">
        <v>409</v>
      </c>
      <c r="H59" s="11">
        <v>446</v>
      </c>
      <c r="I59" s="7" t="s">
        <v>11</v>
      </c>
      <c r="J59" s="14">
        <v>124500</v>
      </c>
    </row>
    <row r="60" spans="1:10" x14ac:dyDescent="0.25">
      <c r="A60" s="7">
        <v>59</v>
      </c>
      <c r="B60" s="7" t="s">
        <v>13</v>
      </c>
      <c r="C60" s="11">
        <v>87.1</v>
      </c>
      <c r="D60" s="11">
        <v>84.9</v>
      </c>
      <c r="E60" s="11">
        <v>22</v>
      </c>
      <c r="F60" s="11" t="s">
        <v>14</v>
      </c>
      <c r="G60" s="11">
        <v>400</v>
      </c>
      <c r="H60" s="11">
        <v>477</v>
      </c>
      <c r="I60" s="7" t="s">
        <v>11</v>
      </c>
      <c r="J60" s="14">
        <v>103500</v>
      </c>
    </row>
    <row r="61" spans="1:10" x14ac:dyDescent="0.25">
      <c r="A61" s="7">
        <v>60</v>
      </c>
      <c r="B61" s="7" t="s">
        <v>13</v>
      </c>
      <c r="C61" s="11">
        <v>79.7</v>
      </c>
      <c r="D61" s="11">
        <v>84.3</v>
      </c>
      <c r="E61" s="11">
        <v>26</v>
      </c>
      <c r="F61" s="11" t="s">
        <v>10</v>
      </c>
      <c r="G61" s="11">
        <v>374</v>
      </c>
      <c r="H61" s="11">
        <v>444</v>
      </c>
      <c r="I61" s="7" t="s">
        <v>11</v>
      </c>
      <c r="J61" s="14">
        <v>82500</v>
      </c>
    </row>
    <row r="62" spans="1:10" x14ac:dyDescent="0.25">
      <c r="A62" s="7">
        <v>61</v>
      </c>
      <c r="B62" s="7" t="s">
        <v>13</v>
      </c>
      <c r="C62" s="11">
        <v>82.1</v>
      </c>
      <c r="D62" s="11">
        <v>78.23</v>
      </c>
      <c r="E62" s="11">
        <v>62</v>
      </c>
      <c r="F62" s="11" t="s">
        <v>10</v>
      </c>
      <c r="G62" s="11">
        <v>255</v>
      </c>
      <c r="H62" s="11">
        <v>351</v>
      </c>
      <c r="I62" s="7" t="s">
        <v>11</v>
      </c>
      <c r="J62" s="14">
        <v>93000</v>
      </c>
    </row>
    <row r="63" spans="1:10" x14ac:dyDescent="0.25">
      <c r="A63" s="7">
        <v>62</v>
      </c>
      <c r="B63" s="7" t="s">
        <v>16</v>
      </c>
      <c r="C63" s="11">
        <v>70.2</v>
      </c>
      <c r="D63" s="11">
        <v>80</v>
      </c>
      <c r="E63" s="11">
        <v>50</v>
      </c>
      <c r="F63" s="11" t="s">
        <v>10</v>
      </c>
      <c r="G63" s="11">
        <v>146</v>
      </c>
      <c r="H63" s="11">
        <v>165</v>
      </c>
      <c r="I63" s="7" t="s">
        <v>12</v>
      </c>
      <c r="J63" s="11"/>
    </row>
    <row r="64" spans="1:10" x14ac:dyDescent="0.25">
      <c r="A64" s="7">
        <v>63</v>
      </c>
      <c r="B64" s="7" t="s">
        <v>9</v>
      </c>
      <c r="C64" s="11">
        <v>81.7</v>
      </c>
      <c r="D64" s="11">
        <v>74.8</v>
      </c>
      <c r="E64" s="11">
        <v>77</v>
      </c>
      <c r="F64" s="11" t="s">
        <v>10</v>
      </c>
      <c r="G64" s="11">
        <v>248</v>
      </c>
      <c r="H64" s="11">
        <v>317</v>
      </c>
      <c r="I64" s="7" t="s">
        <v>11</v>
      </c>
      <c r="J64" s="14">
        <v>168000</v>
      </c>
    </row>
    <row r="65" spans="1:10" x14ac:dyDescent="0.25">
      <c r="A65" s="7">
        <v>64</v>
      </c>
      <c r="B65" s="7" t="s">
        <v>13</v>
      </c>
      <c r="C65" s="11">
        <v>76.099999999999994</v>
      </c>
      <c r="D65" s="11">
        <v>78.53</v>
      </c>
      <c r="E65" s="11">
        <v>60</v>
      </c>
      <c r="F65" s="11" t="s">
        <v>10</v>
      </c>
      <c r="G65" s="11">
        <v>198</v>
      </c>
      <c r="H65" s="11">
        <v>250</v>
      </c>
      <c r="I65" s="7" t="s">
        <v>11</v>
      </c>
      <c r="J65" s="14">
        <v>96000</v>
      </c>
    </row>
    <row r="66" spans="1:10" x14ac:dyDescent="0.25">
      <c r="A66" s="7">
        <v>65</v>
      </c>
      <c r="B66" s="7" t="s">
        <v>15</v>
      </c>
      <c r="C66" s="11">
        <v>65.400000000000006</v>
      </c>
      <c r="D66" s="11">
        <v>71.8</v>
      </c>
      <c r="E66" s="11">
        <v>86</v>
      </c>
      <c r="F66" s="11" t="s">
        <v>14</v>
      </c>
      <c r="G66" s="11">
        <v>210</v>
      </c>
      <c r="H66" s="11">
        <v>217</v>
      </c>
      <c r="I66" s="7" t="s">
        <v>12</v>
      </c>
      <c r="J66" s="11"/>
    </row>
    <row r="67" spans="1:10" x14ac:dyDescent="0.25">
      <c r="A67" s="7">
        <v>66</v>
      </c>
      <c r="B67" s="7" t="s">
        <v>15</v>
      </c>
      <c r="C67" s="11">
        <v>70.099999999999994</v>
      </c>
      <c r="D67" s="11">
        <v>69.900000000000006</v>
      </c>
      <c r="E67" s="11">
        <v>92</v>
      </c>
      <c r="F67" s="11" t="s">
        <v>14</v>
      </c>
      <c r="G67" s="11">
        <v>107</v>
      </c>
      <c r="H67" s="11">
        <v>138</v>
      </c>
      <c r="I67" s="7" t="s">
        <v>12</v>
      </c>
      <c r="J67" s="11"/>
    </row>
    <row r="68" spans="1:10" x14ac:dyDescent="0.25">
      <c r="A68" s="7">
        <v>67</v>
      </c>
      <c r="B68" s="7" t="s">
        <v>9</v>
      </c>
      <c r="C68" s="11">
        <v>75.3</v>
      </c>
      <c r="D68" s="11">
        <v>82.7</v>
      </c>
      <c r="E68" s="11">
        <v>34</v>
      </c>
      <c r="F68" s="11" t="s">
        <v>14</v>
      </c>
      <c r="G68" s="11">
        <v>239</v>
      </c>
      <c r="H68" s="11">
        <v>302</v>
      </c>
      <c r="I68" s="7" t="s">
        <v>11</v>
      </c>
      <c r="J68" s="14">
        <v>80000</v>
      </c>
    </row>
    <row r="69" spans="1:10" x14ac:dyDescent="0.25">
      <c r="A69" s="7">
        <v>68</v>
      </c>
      <c r="B69" s="7" t="s">
        <v>13</v>
      </c>
      <c r="C69" s="11">
        <v>68.7</v>
      </c>
      <c r="D69" s="11">
        <v>74</v>
      </c>
      <c r="E69" s="11">
        <v>80</v>
      </c>
      <c r="F69" s="11" t="s">
        <v>10</v>
      </c>
      <c r="G69" s="11">
        <v>287</v>
      </c>
      <c r="H69" s="11">
        <v>311</v>
      </c>
      <c r="I69" s="7" t="s">
        <v>12</v>
      </c>
      <c r="J69" s="11"/>
    </row>
    <row r="70" spans="1:10" x14ac:dyDescent="0.25">
      <c r="A70" s="7">
        <v>69</v>
      </c>
      <c r="B70" s="7" t="s">
        <v>9</v>
      </c>
      <c r="C70" s="11">
        <v>75.7</v>
      </c>
      <c r="D70" s="11">
        <v>84</v>
      </c>
      <c r="E70" s="11">
        <v>28</v>
      </c>
      <c r="F70" s="11" t="s">
        <v>14</v>
      </c>
      <c r="G70" s="11">
        <v>340</v>
      </c>
      <c r="H70" s="11">
        <v>373</v>
      </c>
      <c r="I70" s="7" t="s">
        <v>11</v>
      </c>
      <c r="J70" s="14">
        <v>124500</v>
      </c>
    </row>
    <row r="71" spans="1:10" x14ac:dyDescent="0.25">
      <c r="A71" s="7">
        <v>70</v>
      </c>
      <c r="B71" s="7" t="s">
        <v>13</v>
      </c>
      <c r="C71" s="11">
        <v>68.7</v>
      </c>
      <c r="D71" s="11">
        <v>84.72</v>
      </c>
      <c r="E71" s="11">
        <v>23</v>
      </c>
      <c r="F71" s="11" t="s">
        <v>10</v>
      </c>
      <c r="G71" s="11">
        <v>155</v>
      </c>
      <c r="H71" s="11">
        <v>196</v>
      </c>
      <c r="I71" s="7" t="s">
        <v>12</v>
      </c>
      <c r="J71" s="11"/>
    </row>
    <row r="72" spans="1:10" x14ac:dyDescent="0.25">
      <c r="A72" s="7">
        <v>71</v>
      </c>
      <c r="B72" s="7" t="s">
        <v>15</v>
      </c>
      <c r="C72" s="11">
        <v>70.400000000000006</v>
      </c>
      <c r="D72" s="11">
        <v>78.2</v>
      </c>
      <c r="E72" s="11">
        <v>63</v>
      </c>
      <c r="F72" s="11" t="s">
        <v>14</v>
      </c>
      <c r="G72" s="11">
        <v>263</v>
      </c>
      <c r="H72" s="11">
        <v>306</v>
      </c>
      <c r="I72" s="7" t="s">
        <v>11</v>
      </c>
      <c r="J72" s="14">
        <v>99000</v>
      </c>
    </row>
    <row r="73" spans="1:10" x14ac:dyDescent="0.25">
      <c r="A73" s="7">
        <v>72</v>
      </c>
      <c r="B73" s="7" t="s">
        <v>15</v>
      </c>
      <c r="C73" s="11">
        <v>68.3</v>
      </c>
      <c r="D73" s="11">
        <v>85</v>
      </c>
      <c r="E73" s="11">
        <v>21</v>
      </c>
      <c r="F73" s="11" t="s">
        <v>14</v>
      </c>
      <c r="G73" s="11">
        <v>265</v>
      </c>
      <c r="H73" s="11">
        <v>302</v>
      </c>
      <c r="I73" s="7" t="s">
        <v>12</v>
      </c>
      <c r="J73" s="11"/>
    </row>
    <row r="74" spans="1:10" x14ac:dyDescent="0.25">
      <c r="A74" s="7">
        <v>73</v>
      </c>
      <c r="B74" s="7" t="s">
        <v>9</v>
      </c>
      <c r="C74" s="11">
        <v>71.7</v>
      </c>
      <c r="D74" s="11">
        <v>80.099999999999994</v>
      </c>
      <c r="E74" s="11">
        <v>49</v>
      </c>
      <c r="F74" s="11" t="s">
        <v>10</v>
      </c>
      <c r="G74" s="11">
        <v>249</v>
      </c>
      <c r="H74" s="11">
        <v>278</v>
      </c>
      <c r="I74" s="7" t="s">
        <v>12</v>
      </c>
      <c r="J74" s="11"/>
    </row>
    <row r="75" spans="1:10" x14ac:dyDescent="0.25">
      <c r="A75" s="7">
        <v>74</v>
      </c>
      <c r="B75" s="7" t="s">
        <v>13</v>
      </c>
      <c r="C75" s="11">
        <v>70.900000000000006</v>
      </c>
      <c r="D75" s="11">
        <v>85.3</v>
      </c>
      <c r="E75" s="11">
        <v>18</v>
      </c>
      <c r="F75" s="11" t="s">
        <v>10</v>
      </c>
      <c r="G75" s="11">
        <v>377</v>
      </c>
      <c r="H75" s="11">
        <v>429</v>
      </c>
      <c r="I75" s="7" t="s">
        <v>12</v>
      </c>
      <c r="J75" s="11"/>
    </row>
    <row r="76" spans="1:10" x14ac:dyDescent="0.25">
      <c r="A76" s="7">
        <v>75</v>
      </c>
      <c r="B76" s="7" t="s">
        <v>15</v>
      </c>
      <c r="C76" s="11">
        <v>66.3</v>
      </c>
      <c r="D76" s="11">
        <v>79.7</v>
      </c>
      <c r="E76" s="11">
        <v>52</v>
      </c>
      <c r="F76" s="11" t="s">
        <v>10</v>
      </c>
      <c r="G76" s="11">
        <v>301</v>
      </c>
      <c r="H76" s="11">
        <v>338</v>
      </c>
      <c r="I76" s="7" t="s">
        <v>11</v>
      </c>
      <c r="J76" s="14">
        <v>124000</v>
      </c>
    </row>
    <row r="77" spans="1:10" x14ac:dyDescent="0.25">
      <c r="A77" s="7">
        <v>76</v>
      </c>
      <c r="B77" s="7" t="s">
        <v>9</v>
      </c>
      <c r="C77" s="11">
        <v>65.3</v>
      </c>
      <c r="D77" s="11">
        <v>79.599999999999994</v>
      </c>
      <c r="E77" s="11">
        <v>54</v>
      </c>
      <c r="F77" s="11" t="s">
        <v>10</v>
      </c>
      <c r="G77" s="11">
        <v>242</v>
      </c>
      <c r="H77" s="11">
        <v>261</v>
      </c>
      <c r="I77" s="7" t="s">
        <v>12</v>
      </c>
      <c r="J77" s="11"/>
    </row>
    <row r="78" spans="1:10" x14ac:dyDescent="0.25">
      <c r="A78" s="7">
        <v>77</v>
      </c>
      <c r="B78" s="7" t="s">
        <v>9</v>
      </c>
      <c r="C78" s="11">
        <v>75.7</v>
      </c>
      <c r="D78" s="11">
        <v>78.900000000000006</v>
      </c>
      <c r="E78" s="11">
        <v>58</v>
      </c>
      <c r="F78" s="11" t="s">
        <v>10</v>
      </c>
      <c r="G78" s="11">
        <v>211</v>
      </c>
      <c r="H78" s="11">
        <v>256</v>
      </c>
      <c r="I78" s="7" t="s">
        <v>12</v>
      </c>
      <c r="J78" s="11"/>
    </row>
    <row r="79" spans="1:10" x14ac:dyDescent="0.25">
      <c r="A79" s="7">
        <v>78</v>
      </c>
      <c r="B79" s="7" t="s">
        <v>16</v>
      </c>
      <c r="C79" s="11">
        <v>66</v>
      </c>
      <c r="D79" s="11">
        <v>78.5</v>
      </c>
      <c r="E79" s="11">
        <v>61</v>
      </c>
      <c r="F79" s="11" t="s">
        <v>10</v>
      </c>
      <c r="G79" s="11">
        <v>160</v>
      </c>
      <c r="H79" s="11">
        <v>183</v>
      </c>
      <c r="I79" s="7" t="s">
        <v>11</v>
      </c>
      <c r="J79" s="14">
        <v>91500</v>
      </c>
    </row>
    <row r="80" spans="1:10" x14ac:dyDescent="0.25">
      <c r="A80" s="7">
        <v>79</v>
      </c>
      <c r="B80" s="7" t="s">
        <v>9</v>
      </c>
      <c r="C80" s="11">
        <v>78.900000000000006</v>
      </c>
      <c r="D80" s="11">
        <v>72</v>
      </c>
      <c r="E80" s="11">
        <v>85</v>
      </c>
      <c r="F80" s="11" t="s">
        <v>10</v>
      </c>
      <c r="G80" s="11">
        <v>218</v>
      </c>
      <c r="H80" s="11">
        <v>274</v>
      </c>
      <c r="I80" s="7" t="s">
        <v>11</v>
      </c>
      <c r="J80" s="14">
        <v>144500</v>
      </c>
    </row>
    <row r="81" spans="1:10" x14ac:dyDescent="0.25">
      <c r="A81" s="7">
        <v>80</v>
      </c>
      <c r="B81" s="7" t="s">
        <v>9</v>
      </c>
      <c r="C81" s="11">
        <v>74</v>
      </c>
      <c r="D81" s="11">
        <v>74.2</v>
      </c>
      <c r="E81" s="11">
        <v>79</v>
      </c>
      <c r="F81" s="11" t="s">
        <v>10</v>
      </c>
      <c r="G81" s="11">
        <v>133</v>
      </c>
      <c r="H81" s="11">
        <v>182</v>
      </c>
      <c r="I81" s="7" t="s">
        <v>12</v>
      </c>
      <c r="J81" s="11"/>
    </row>
    <row r="82" spans="1:10" x14ac:dyDescent="0.25">
      <c r="A82" s="7">
        <v>81</v>
      </c>
      <c r="B82" s="7" t="s">
        <v>9</v>
      </c>
      <c r="C82" s="11">
        <v>74.599999999999994</v>
      </c>
      <c r="D82" s="11">
        <v>71.7</v>
      </c>
      <c r="E82" s="11">
        <v>87</v>
      </c>
      <c r="F82" s="11" t="s">
        <v>10</v>
      </c>
      <c r="G82" s="11">
        <v>122</v>
      </c>
      <c r="H82" s="11">
        <v>183</v>
      </c>
      <c r="I82" s="7" t="s">
        <v>12</v>
      </c>
      <c r="J82" s="11"/>
    </row>
    <row r="83" spans="1:10" x14ac:dyDescent="0.25">
      <c r="A83" s="7">
        <v>82</v>
      </c>
      <c r="B83" s="7" t="s">
        <v>15</v>
      </c>
      <c r="C83" s="11">
        <v>79.3</v>
      </c>
      <c r="D83" s="11">
        <v>80.7</v>
      </c>
      <c r="E83" s="11">
        <v>45</v>
      </c>
      <c r="F83" s="11" t="s">
        <v>10</v>
      </c>
      <c r="G83" s="11">
        <v>236</v>
      </c>
      <c r="H83" s="11">
        <v>309</v>
      </c>
      <c r="I83" s="7" t="s">
        <v>11</v>
      </c>
      <c r="J83" s="14">
        <v>114500</v>
      </c>
    </row>
    <row r="84" spans="1:10" x14ac:dyDescent="0.25">
      <c r="A84" s="7">
        <v>83</v>
      </c>
      <c r="B84" s="7" t="s">
        <v>15</v>
      </c>
      <c r="C84" s="11">
        <v>70.099999999999994</v>
      </c>
      <c r="D84" s="11">
        <v>84.1</v>
      </c>
      <c r="E84" s="11">
        <v>27</v>
      </c>
      <c r="F84" s="11" t="s">
        <v>10</v>
      </c>
      <c r="G84" s="11">
        <v>143</v>
      </c>
      <c r="H84" s="11">
        <v>178</v>
      </c>
      <c r="I84" s="7" t="s">
        <v>12</v>
      </c>
      <c r="J84" s="11"/>
    </row>
    <row r="85" spans="1:10" x14ac:dyDescent="0.25">
      <c r="A85" s="7">
        <v>84</v>
      </c>
      <c r="B85" s="7" t="s">
        <v>9</v>
      </c>
      <c r="C85" s="11">
        <v>88.8</v>
      </c>
      <c r="D85" s="11">
        <v>87.4</v>
      </c>
      <c r="E85" s="11">
        <v>12</v>
      </c>
      <c r="F85" s="11" t="s">
        <v>10</v>
      </c>
      <c r="G85" s="11">
        <v>354</v>
      </c>
      <c r="H85" s="11">
        <v>458</v>
      </c>
      <c r="I85" s="7" t="s">
        <v>11</v>
      </c>
      <c r="J85" s="14">
        <v>104500</v>
      </c>
    </row>
    <row r="86" spans="1:10" x14ac:dyDescent="0.25">
      <c r="A86" s="7">
        <v>85</v>
      </c>
      <c r="B86" s="7" t="s">
        <v>9</v>
      </c>
      <c r="C86" s="11">
        <v>66</v>
      </c>
      <c r="D86" s="11">
        <v>77.400000000000006</v>
      </c>
      <c r="E86" s="11">
        <v>68</v>
      </c>
      <c r="F86" s="11" t="s">
        <v>14</v>
      </c>
      <c r="G86" s="11">
        <v>214</v>
      </c>
      <c r="H86" s="11">
        <v>234</v>
      </c>
      <c r="I86" s="7" t="s">
        <v>11</v>
      </c>
      <c r="J86" s="14">
        <v>124000</v>
      </c>
    </row>
    <row r="87" spans="1:10" x14ac:dyDescent="0.25">
      <c r="A87" s="7">
        <v>86</v>
      </c>
      <c r="B87" s="7" t="s">
        <v>17</v>
      </c>
      <c r="C87" s="11">
        <v>82.9</v>
      </c>
      <c r="D87" s="11">
        <v>84.7</v>
      </c>
      <c r="E87" s="11">
        <v>24</v>
      </c>
      <c r="F87" s="11" t="s">
        <v>14</v>
      </c>
      <c r="G87" s="11">
        <v>225</v>
      </c>
      <c r="H87" s="11">
        <v>306</v>
      </c>
      <c r="I87" s="7" t="s">
        <v>11</v>
      </c>
      <c r="J87" s="14">
        <v>113000</v>
      </c>
    </row>
    <row r="88" spans="1:10" x14ac:dyDescent="0.25">
      <c r="A88" s="7">
        <v>87</v>
      </c>
      <c r="B88" s="7" t="s">
        <v>9</v>
      </c>
      <c r="C88" s="11">
        <v>100</v>
      </c>
      <c r="D88" s="11">
        <v>78.8</v>
      </c>
      <c r="E88" s="11">
        <v>59</v>
      </c>
      <c r="F88" s="11" t="s">
        <v>10</v>
      </c>
      <c r="G88" s="11">
        <v>261</v>
      </c>
      <c r="H88" s="11">
        <v>400</v>
      </c>
      <c r="I88" s="7" t="s">
        <v>11</v>
      </c>
      <c r="J88" s="14">
        <v>78000</v>
      </c>
    </row>
    <row r="89" spans="1:10" x14ac:dyDescent="0.25">
      <c r="A89" s="7">
        <v>88</v>
      </c>
      <c r="B89" s="7" t="s">
        <v>9</v>
      </c>
      <c r="C89" s="11">
        <v>75.599999999999994</v>
      </c>
      <c r="D89" s="11">
        <v>92.7</v>
      </c>
      <c r="E89" s="11">
        <v>3</v>
      </c>
      <c r="F89" s="11" t="s">
        <v>10</v>
      </c>
      <c r="G89" s="11">
        <v>277</v>
      </c>
      <c r="H89" s="11">
        <v>337</v>
      </c>
      <c r="I89" s="7" t="s">
        <v>12</v>
      </c>
      <c r="J89" s="11"/>
    </row>
    <row r="90" spans="1:10" x14ac:dyDescent="0.25">
      <c r="A90" s="7">
        <v>89</v>
      </c>
      <c r="B90" s="7" t="s">
        <v>16</v>
      </c>
      <c r="C90" s="11">
        <v>67.5</v>
      </c>
      <c r="D90" s="11">
        <v>88.8</v>
      </c>
      <c r="E90" s="11">
        <v>7</v>
      </c>
      <c r="F90" s="11" t="s">
        <v>10</v>
      </c>
      <c r="G90" s="11">
        <v>282</v>
      </c>
      <c r="H90" s="11">
        <v>325</v>
      </c>
      <c r="I90" s="7" t="s">
        <v>11</v>
      </c>
      <c r="J90" s="14">
        <v>109000</v>
      </c>
    </row>
    <row r="91" spans="1:10" x14ac:dyDescent="0.25">
      <c r="A91" s="7">
        <v>90</v>
      </c>
      <c r="B91" s="7" t="s">
        <v>13</v>
      </c>
      <c r="C91" s="11">
        <v>68.7</v>
      </c>
      <c r="D91" s="11">
        <v>86.6</v>
      </c>
      <c r="E91" s="11">
        <v>14</v>
      </c>
      <c r="F91" s="11" t="s">
        <v>10</v>
      </c>
      <c r="G91" s="11">
        <v>322</v>
      </c>
      <c r="H91" s="11">
        <v>329</v>
      </c>
      <c r="I91" s="7" t="s">
        <v>12</v>
      </c>
      <c r="J91" s="11"/>
    </row>
    <row r="92" spans="1:10" x14ac:dyDescent="0.25">
      <c r="A92" s="7">
        <v>91</v>
      </c>
      <c r="B92" s="7" t="s">
        <v>9</v>
      </c>
      <c r="C92" s="11">
        <v>76</v>
      </c>
      <c r="D92" s="11">
        <v>77.900000000000006</v>
      </c>
      <c r="E92" s="11">
        <v>64</v>
      </c>
      <c r="F92" s="11" t="s">
        <v>10</v>
      </c>
      <c r="G92" s="11">
        <v>326</v>
      </c>
      <c r="H92" s="11">
        <v>369</v>
      </c>
      <c r="I92" s="7" t="s">
        <v>11</v>
      </c>
      <c r="J92" s="14">
        <v>99500</v>
      </c>
    </row>
    <row r="93" spans="1:10" x14ac:dyDescent="0.25">
      <c r="A93" s="7">
        <v>92</v>
      </c>
      <c r="B93" s="7" t="s">
        <v>13</v>
      </c>
      <c r="C93" s="11">
        <v>67.7</v>
      </c>
      <c r="D93" s="11">
        <v>86.1</v>
      </c>
      <c r="E93" s="11">
        <v>16</v>
      </c>
      <c r="F93" s="11" t="s">
        <v>10</v>
      </c>
      <c r="G93" s="11">
        <v>421</v>
      </c>
      <c r="H93" s="11">
        <v>457</v>
      </c>
      <c r="I93" s="7" t="s">
        <v>11</v>
      </c>
      <c r="J93" s="14">
        <v>107000</v>
      </c>
    </row>
    <row r="94" spans="1:10" x14ac:dyDescent="0.25">
      <c r="A94" s="7">
        <v>93</v>
      </c>
      <c r="B94" s="7" t="s">
        <v>15</v>
      </c>
      <c r="C94" s="11">
        <v>75.3</v>
      </c>
      <c r="D94" s="11">
        <v>89.9</v>
      </c>
      <c r="E94" s="11">
        <v>5</v>
      </c>
      <c r="F94" s="11" t="s">
        <v>10</v>
      </c>
      <c r="G94" s="11">
        <v>368</v>
      </c>
      <c r="H94" s="11">
        <v>421</v>
      </c>
      <c r="I94" s="7" t="s">
        <v>12</v>
      </c>
      <c r="J94" s="11"/>
    </row>
    <row r="95" spans="1:10" x14ac:dyDescent="0.25">
      <c r="A95" s="7">
        <v>94</v>
      </c>
      <c r="B95" s="7" t="s">
        <v>15</v>
      </c>
      <c r="C95" s="11">
        <v>68.099999999999994</v>
      </c>
      <c r="D95" s="11">
        <v>83.1</v>
      </c>
      <c r="E95" s="11">
        <v>32</v>
      </c>
      <c r="F95" s="11" t="s">
        <v>10</v>
      </c>
      <c r="G95" s="11">
        <v>279</v>
      </c>
      <c r="H95" s="11">
        <v>282</v>
      </c>
      <c r="I95" s="7" t="s">
        <v>11</v>
      </c>
      <c r="J95" s="14">
        <v>84000</v>
      </c>
    </row>
    <row r="96" spans="1:10" x14ac:dyDescent="0.25">
      <c r="A96" s="8">
        <v>95</v>
      </c>
      <c r="B96" s="8" t="s">
        <v>16</v>
      </c>
      <c r="C96" s="12">
        <v>63.3</v>
      </c>
      <c r="D96" s="12">
        <v>82.6</v>
      </c>
      <c r="E96" s="12">
        <v>35</v>
      </c>
      <c r="F96" s="12" t="s">
        <v>10</v>
      </c>
      <c r="G96" s="12">
        <v>268</v>
      </c>
      <c r="H96" s="12">
        <v>256</v>
      </c>
      <c r="I96" s="8" t="s">
        <v>12</v>
      </c>
      <c r="J96" s="12"/>
    </row>
    <row r="101" spans="4:4" x14ac:dyDescent="0.25">
      <c r="D101" s="4">
        <f>MIN(D2:D96)</f>
        <v>62.6</v>
      </c>
    </row>
  </sheetData>
  <autoFilter ref="A1:J97" xr:uid="{1FD57AD2-90E4-4A1A-B28E-C239A8B3F91B}"/>
  <conditionalFormatting sqref="D2:D96">
    <cfRule type="expression" dxfId="7" priority="1">
      <formula>COUNTIF($D$2:$D$96,$D2)&gt;1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5BFF-D1A1-4D71-9F3B-8EC287B679A0}">
  <dimension ref="C2:N27"/>
  <sheetViews>
    <sheetView showGridLines="0" workbookViewId="0">
      <selection activeCell="O21" sqref="O21"/>
    </sheetView>
  </sheetViews>
  <sheetFormatPr defaultRowHeight="15" x14ac:dyDescent="0.25"/>
  <cols>
    <col min="2" max="2" width="8.28515625" customWidth="1"/>
    <col min="3" max="3" width="9.28515625" bestFit="1" customWidth="1"/>
    <col min="4" max="4" width="8.85546875" bestFit="1" customWidth="1"/>
    <col min="5" max="8" width="18.5703125" bestFit="1" customWidth="1"/>
    <col min="9" max="9" width="14.5703125" customWidth="1"/>
    <col min="10" max="10" width="22.140625" bestFit="1" customWidth="1"/>
    <col min="11" max="11" width="5.7109375" customWidth="1"/>
    <col min="12" max="12" width="7.7109375" customWidth="1"/>
    <col min="13" max="13" width="23" customWidth="1"/>
  </cols>
  <sheetData>
    <row r="2" spans="3:14" x14ac:dyDescent="0.25">
      <c r="H2" s="92" t="s">
        <v>83</v>
      </c>
      <c r="I2" s="92"/>
      <c r="J2" s="92"/>
      <c r="K2" s="92"/>
    </row>
    <row r="3" spans="3:14" x14ac:dyDescent="0.25">
      <c r="H3" s="82" t="s">
        <v>85</v>
      </c>
    </row>
    <row r="4" spans="3:14" ht="15" customHeight="1" x14ac:dyDescent="0.25">
      <c r="D4" s="104" t="s">
        <v>75</v>
      </c>
      <c r="E4" s="104"/>
      <c r="F4" s="104"/>
      <c r="G4" s="104"/>
      <c r="H4" s="105" t="s">
        <v>84</v>
      </c>
      <c r="I4" s="106">
        <v>1</v>
      </c>
      <c r="J4" s="107"/>
      <c r="K4" s="107"/>
      <c r="L4" s="107"/>
    </row>
    <row r="5" spans="3:14" ht="15" customHeight="1" x14ac:dyDescent="0.25">
      <c r="D5" s="104"/>
      <c r="E5" s="104"/>
      <c r="F5" s="104"/>
      <c r="G5" s="104"/>
      <c r="H5" s="105"/>
      <c r="I5" s="106"/>
      <c r="J5" s="107"/>
      <c r="K5" s="107"/>
      <c r="L5" s="107"/>
    </row>
    <row r="6" spans="3:14" x14ac:dyDescent="0.25">
      <c r="D6" s="60"/>
      <c r="E6" s="60"/>
      <c r="F6" s="60"/>
      <c r="G6" s="60"/>
      <c r="H6" s="60"/>
      <c r="I6" s="60"/>
      <c r="J6" s="60"/>
      <c r="K6" s="60"/>
      <c r="L6" s="60"/>
    </row>
    <row r="7" spans="3:14" ht="15.75" thickBot="1" x14ac:dyDescent="0.3">
      <c r="D7" s="108" t="s">
        <v>74</v>
      </c>
      <c r="E7" s="109"/>
      <c r="F7" s="109"/>
      <c r="G7" s="110"/>
      <c r="H7" s="60"/>
      <c r="I7" s="60"/>
      <c r="J7" s="100" t="str">
        <f>IF(H4="Class Rank:", "Student ID","Class Rank")</f>
        <v>Student ID</v>
      </c>
    </row>
    <row r="8" spans="3:14" ht="16.5" thickTop="1" thickBot="1" x14ac:dyDescent="0.3">
      <c r="C8" s="79" t="s">
        <v>0</v>
      </c>
      <c r="D8" s="111" t="s">
        <v>1</v>
      </c>
      <c r="E8" s="112"/>
      <c r="F8" s="62" t="s">
        <v>2</v>
      </c>
      <c r="G8" s="63" t="s">
        <v>3</v>
      </c>
      <c r="H8" s="60"/>
      <c r="I8" s="60"/>
      <c r="J8" s="101"/>
    </row>
    <row r="9" spans="3:14" ht="15.75" thickTop="1" x14ac:dyDescent="0.25">
      <c r="C9" s="78">
        <f>IF(H4="Student ID:",I4,J9)</f>
        <v>19</v>
      </c>
      <c r="D9" s="93" t="str">
        <f>IF(H4="Student ID:",_xlfn.XLOOKUP(I4,'Raw Data'!A2:A96,'Raw Data'!B2:B96),_xlfn.XLOOKUP(I4,'Raw Data'!E1:E96,'Raw Data'!B1:B96))</f>
        <v>Business</v>
      </c>
      <c r="E9" s="94"/>
      <c r="F9" s="83">
        <f>IF(H4="Student ID:",_xlfn.XLOOKUP($I$4,'Raw Data'!A2:A96,'Raw Data'!C2:C96),_xlfn.XLOOKUP(I4,'Raw Data'!E1:E96,Undergrad_Grade))/100</f>
        <v>0.82400000000000007</v>
      </c>
      <c r="G9" s="83">
        <f>IFERROR(_xlfn.XLOOKUP(I4,'Raw Data'!A2:A96,'Raw Data'!D2:D96),INDEX(Raw_data,MATCH('Interactive Scorecard'!I4,Student_ID,0),MATCH('Interactive Scorecard'!G8,'Raw Data'!A1:J1,0)))/100</f>
        <v>0.90200000000000002</v>
      </c>
      <c r="H9" s="60"/>
      <c r="I9" s="60"/>
      <c r="J9" s="95" cm="1">
        <f t="array" ref="J9">IF(H4="Student ID:",_xlfn.XLOOKUP(I4,'Raw Data'!A2:A96,_xlfn.ANCHORARRAY('Raw Data'!E2)),_xlfn.XLOOKUP(I4,'Raw Data'!E1:E96,'Raw Data'!A1:A96,,-1))</f>
        <v>19</v>
      </c>
    </row>
    <row r="10" spans="3:14" x14ac:dyDescent="0.25">
      <c r="D10" s="60"/>
      <c r="E10" s="60"/>
      <c r="F10" s="67"/>
      <c r="G10" s="60"/>
      <c r="H10" s="60"/>
      <c r="I10" s="60"/>
      <c r="J10" s="96"/>
    </row>
    <row r="11" spans="3:14" ht="15.75" thickBot="1" x14ac:dyDescent="0.3">
      <c r="D11" s="97" t="s">
        <v>92</v>
      </c>
      <c r="E11" s="98"/>
      <c r="F11" s="99"/>
      <c r="G11" s="125" t="s">
        <v>91</v>
      </c>
      <c r="H11" s="126"/>
      <c r="I11" s="60"/>
      <c r="J11" s="96"/>
    </row>
    <row r="12" spans="3:14" ht="16.5" thickTop="1" thickBot="1" x14ac:dyDescent="0.3">
      <c r="C12" s="68" t="s">
        <v>0</v>
      </c>
      <c r="D12" s="68" t="s">
        <v>73</v>
      </c>
      <c r="E12" s="68" t="s">
        <v>86</v>
      </c>
      <c r="F12" s="68" t="s">
        <v>5</v>
      </c>
      <c r="G12" s="68" t="s">
        <v>6</v>
      </c>
      <c r="H12" s="68" t="s">
        <v>1</v>
      </c>
      <c r="I12" s="60"/>
      <c r="J12" s="60"/>
    </row>
    <row r="13" spans="3:14" ht="15.75" thickBot="1" x14ac:dyDescent="0.3">
      <c r="C13" s="85" cm="1">
        <f t="array" ref="C13:C23">_xlfn.XLOOKUP($D$13:$D$23,_xlfn.ANCHORARRAY('Raw Data'!E2),'Raw Data'!$A$2:$A$96,,1)</f>
        <v>19</v>
      </c>
      <c r="D13" s="86">
        <f>IF(H4="Student ID:",IF(J9&lt;=5,1,IF(J9&gt;=91,85,(J9)-5)),IF(I4&lt;=5,1,IF(I4&gt;=91,85,(I4)-5)))</f>
        <v>1</v>
      </c>
      <c r="E13" s="89" cm="1">
        <f t="array" ref="E13:H23">IFERROR(INDEX(Raw_data,MATCH('Interactive Scorecard'!D13:D23,'Raw Data'!E1:E96,),MATCH('Interactive Scorecard'!E12:H12,'Raw Data'!A1:J1,0)),"No Entry- TIED")</f>
        <v>82.4</v>
      </c>
      <c r="F13" s="87">
        <v>277</v>
      </c>
      <c r="G13" s="84">
        <v>366</v>
      </c>
      <c r="H13" s="84" t="str">
        <v>Business</v>
      </c>
      <c r="I13" s="60"/>
      <c r="J13" s="100" t="s">
        <v>3</v>
      </c>
    </row>
    <row r="14" spans="3:14" ht="15.75" thickBot="1" x14ac:dyDescent="0.3">
      <c r="C14" s="85">
        <v>2</v>
      </c>
      <c r="D14" s="86">
        <f>D13+1</f>
        <v>2</v>
      </c>
      <c r="E14" s="89">
        <v>62.1</v>
      </c>
      <c r="F14" s="87">
        <v>423</v>
      </c>
      <c r="G14" s="84">
        <v>410</v>
      </c>
      <c r="H14" s="84" t="str">
        <v>Business</v>
      </c>
      <c r="I14" s="60"/>
      <c r="J14" s="101"/>
    </row>
    <row r="15" spans="3:14" ht="16.5" thickTop="1" thickBot="1" x14ac:dyDescent="0.3">
      <c r="C15" s="85">
        <v>88</v>
      </c>
      <c r="D15" s="86">
        <f t="shared" ref="D15:D23" si="0">D14+1</f>
        <v>3</v>
      </c>
      <c r="E15" s="89">
        <v>75.599999999999994</v>
      </c>
      <c r="F15" s="87">
        <v>277</v>
      </c>
      <c r="G15" s="84">
        <v>337</v>
      </c>
      <c r="H15" s="84" t="str">
        <v>Business</v>
      </c>
      <c r="I15" s="60"/>
      <c r="J15" s="102">
        <f>IF(H4="Student ID:",_xlfn.XLOOKUP(I4,'Raw Data'!A1:A96,'Raw Data'!D1:D96),_xlfn.XLOOKUP(I4,'Raw Data'!E1:E96,'Raw Data'!D1:D96))/100</f>
        <v>0.96099999999999997</v>
      </c>
      <c r="N15" s="4"/>
    </row>
    <row r="16" spans="3:14" ht="15.75" thickBot="1" x14ac:dyDescent="0.3">
      <c r="C16" s="85">
        <v>1</v>
      </c>
      <c r="D16" s="86">
        <f t="shared" si="0"/>
        <v>4</v>
      </c>
      <c r="E16" s="89">
        <v>68.400000000000006</v>
      </c>
      <c r="F16" s="87">
        <v>252</v>
      </c>
      <c r="G16" s="84">
        <v>276</v>
      </c>
      <c r="H16" s="84" t="str">
        <v>Business</v>
      </c>
      <c r="I16" s="60"/>
      <c r="J16" s="103"/>
    </row>
    <row r="17" spans="3:10" ht="15.75" thickBot="1" x14ac:dyDescent="0.3">
      <c r="C17" s="85">
        <v>93</v>
      </c>
      <c r="D17" s="86">
        <f t="shared" si="0"/>
        <v>5</v>
      </c>
      <c r="E17" s="89">
        <v>75.3</v>
      </c>
      <c r="F17" s="87">
        <v>368</v>
      </c>
      <c r="G17" s="84">
        <v>421</v>
      </c>
      <c r="H17" s="84" t="str">
        <v>Engineering</v>
      </c>
      <c r="I17" s="60"/>
      <c r="J17" s="103"/>
    </row>
    <row r="18" spans="3:10" ht="15.75" thickBot="1" x14ac:dyDescent="0.3">
      <c r="C18" s="85">
        <v>35</v>
      </c>
      <c r="D18" s="86">
        <f t="shared" si="0"/>
        <v>6</v>
      </c>
      <c r="E18" s="89">
        <v>70.400000000000006</v>
      </c>
      <c r="F18" s="87">
        <v>239</v>
      </c>
      <c r="G18" s="84">
        <v>263</v>
      </c>
      <c r="H18" s="84" t="str">
        <v>Business</v>
      </c>
      <c r="I18" s="60"/>
      <c r="J18" s="60"/>
    </row>
    <row r="19" spans="3:10" ht="15.75" thickBot="1" x14ac:dyDescent="0.3">
      <c r="C19" s="85">
        <v>89</v>
      </c>
      <c r="D19" s="86">
        <f t="shared" si="0"/>
        <v>7</v>
      </c>
      <c r="E19" s="89">
        <v>67.5</v>
      </c>
      <c r="F19" s="87">
        <v>282</v>
      </c>
      <c r="G19" s="84">
        <v>325</v>
      </c>
      <c r="H19" s="84" t="str">
        <v>Finance</v>
      </c>
      <c r="I19" s="60"/>
      <c r="J19" s="100" t="s">
        <v>76</v>
      </c>
    </row>
    <row r="20" spans="3:10" ht="15.75" thickBot="1" x14ac:dyDescent="0.3">
      <c r="C20" s="85">
        <v>8</v>
      </c>
      <c r="D20" s="86">
        <f t="shared" si="0"/>
        <v>8</v>
      </c>
      <c r="E20" s="89">
        <v>82.6</v>
      </c>
      <c r="F20" s="87">
        <v>287</v>
      </c>
      <c r="G20" s="84">
        <v>342</v>
      </c>
      <c r="H20" s="84" t="str">
        <v>Business</v>
      </c>
      <c r="I20" s="60"/>
      <c r="J20" s="101"/>
    </row>
    <row r="21" spans="3:10" ht="16.5" thickTop="1" thickBot="1" x14ac:dyDescent="0.3">
      <c r="C21" s="85">
        <v>58</v>
      </c>
      <c r="D21" s="86">
        <f t="shared" si="0"/>
        <v>9</v>
      </c>
      <c r="E21" s="89">
        <v>74.599999999999994</v>
      </c>
      <c r="F21" s="87">
        <v>409</v>
      </c>
      <c r="G21" s="84">
        <v>446</v>
      </c>
      <c r="H21" s="84" t="str">
        <v>Computer Science</v>
      </c>
      <c r="I21" s="60"/>
      <c r="J21" s="90" t="str">
        <f>IF(H4="Student ID:",_xlfn.XLOOKUP(I4,'Raw Data'!A1:A96,'Raw Data'!I1:I96),_xlfn.XLOOKUP(I4,'Raw Data'!E1:E96,'Raw Data'!I1:I96))</f>
        <v>Not Placed</v>
      </c>
    </row>
    <row r="22" spans="3:10" ht="15.75" thickBot="1" x14ac:dyDescent="0.3">
      <c r="C22" s="85">
        <v>11</v>
      </c>
      <c r="D22" s="86">
        <f t="shared" si="0"/>
        <v>10</v>
      </c>
      <c r="E22" s="89">
        <v>75.8</v>
      </c>
      <c r="F22" s="87">
        <v>182</v>
      </c>
      <c r="G22" s="84">
        <v>232</v>
      </c>
      <c r="H22" s="84" t="str">
        <v>Business</v>
      </c>
      <c r="I22" s="60"/>
      <c r="J22" s="91"/>
    </row>
    <row r="23" spans="3:10" ht="15.75" thickBot="1" x14ac:dyDescent="0.3">
      <c r="C23" s="85">
        <v>31</v>
      </c>
      <c r="D23" s="86">
        <f t="shared" si="0"/>
        <v>11</v>
      </c>
      <c r="E23" s="89">
        <v>83</v>
      </c>
      <c r="F23" s="87">
        <v>183</v>
      </c>
      <c r="G23" s="84">
        <v>247</v>
      </c>
      <c r="H23" s="84" t="str">
        <v>Business</v>
      </c>
      <c r="I23" s="60"/>
      <c r="J23" s="91"/>
    </row>
    <row r="27" spans="3:10" x14ac:dyDescent="0.25">
      <c r="F27" s="77"/>
    </row>
  </sheetData>
  <mergeCells count="15">
    <mergeCell ref="J21:J23"/>
    <mergeCell ref="H2:K2"/>
    <mergeCell ref="D9:E9"/>
    <mergeCell ref="J9:J11"/>
    <mergeCell ref="D11:F11"/>
    <mergeCell ref="J13:J14"/>
    <mergeCell ref="J15:J17"/>
    <mergeCell ref="J19:J20"/>
    <mergeCell ref="D4:G5"/>
    <mergeCell ref="H4:H5"/>
    <mergeCell ref="I4:L5"/>
    <mergeCell ref="D7:G7"/>
    <mergeCell ref="J7:J8"/>
    <mergeCell ref="D8:E8"/>
    <mergeCell ref="G11:H11"/>
  </mergeCells>
  <conditionalFormatting sqref="C13:H23">
    <cfRule type="expression" dxfId="6" priority="1">
      <formula>$C13=$C$9</formula>
    </cfRule>
  </conditionalFormatting>
  <conditionalFormatting sqref="J21:J23">
    <cfRule type="beginsWith" dxfId="5" priority="8" operator="beginsWith" text="P">
      <formula>LEFT(J21,LEN("P"))="P"</formula>
    </cfRule>
    <cfRule type="containsText" dxfId="4" priority="9" operator="containsText" text="Not Placed">
      <formula>NOT(ISERROR(SEARCH("Not Placed",J21)))</formula>
    </cfRule>
  </conditionalFormatting>
  <dataValidations count="1">
    <dataValidation type="list" allowBlank="1" showInputMessage="1" showErrorMessage="1" sqref="H4:H5" xr:uid="{8AA5822E-7539-4BE3-A97B-1125B8B96A43}">
      <formula1>"Student ID:,Class Rank:"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EA67DF-2CBB-4F4F-ACD5-AC5FD3F20819}">
          <x14:formula1>
            <xm:f>'Raw Data'!$A$2:$A$96</xm:f>
          </x14:formula1>
          <xm:sqref>I4:L5</xm:sqref>
        </x14:dataValidation>
        <x14:dataValidation type="list" allowBlank="1" showInputMessage="1" showErrorMessage="1" xr:uid="{AECF5F51-77E1-47DE-8F71-567ECFA3E378}">
          <x14:formula1>
            <xm:f>'Raw Data'!$B$1:$J$1</xm:f>
          </x14:formula1>
          <xm:sqref>E12:H12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E36F-14B8-4D54-834E-C1196C65D445}">
  <dimension ref="A1:P36"/>
  <sheetViews>
    <sheetView showGridLines="0" workbookViewId="0">
      <selection activeCell="Q27" sqref="Q27"/>
    </sheetView>
  </sheetViews>
  <sheetFormatPr defaultRowHeight="15" x14ac:dyDescent="0.25"/>
  <cols>
    <col min="2" max="2" width="17.85546875" bestFit="1" customWidth="1"/>
    <col min="3" max="3" width="10.28515625" bestFit="1" customWidth="1"/>
    <col min="4" max="4" width="18.28515625" bestFit="1" customWidth="1"/>
    <col min="15" max="15" width="13.85546875" bestFit="1" customWidth="1"/>
    <col min="16" max="16" width="10.28515625" bestFit="1" customWidth="1"/>
    <col min="17" max="17" width="18.28515625" bestFit="1" customWidth="1"/>
  </cols>
  <sheetData>
    <row r="1" spans="1:16" x14ac:dyDescent="0.25">
      <c r="A1" s="113" t="s">
        <v>71</v>
      </c>
      <c r="B1" s="113"/>
      <c r="C1" s="113"/>
      <c r="D1" s="113"/>
      <c r="E1" s="113"/>
      <c r="F1" s="113"/>
    </row>
    <row r="2" spans="1:16" x14ac:dyDescent="0.25">
      <c r="A2" s="113"/>
      <c r="B2" s="113"/>
      <c r="C2" s="113"/>
      <c r="D2" s="113"/>
      <c r="E2" s="113"/>
      <c r="F2" s="113"/>
    </row>
    <row r="3" spans="1:16" x14ac:dyDescent="0.25">
      <c r="A3" s="113"/>
      <c r="B3" s="113"/>
      <c r="C3" s="113"/>
      <c r="D3" s="113"/>
      <c r="E3" s="113"/>
      <c r="F3" s="113"/>
      <c r="O3" s="18" t="s">
        <v>31</v>
      </c>
      <c r="P3" t="s">
        <v>18</v>
      </c>
    </row>
    <row r="4" spans="1:16" x14ac:dyDescent="0.25">
      <c r="B4" s="117" t="s">
        <v>52</v>
      </c>
      <c r="C4" s="118"/>
      <c r="D4" s="118"/>
      <c r="O4" s="19" t="s">
        <v>20</v>
      </c>
      <c r="P4">
        <v>7</v>
      </c>
    </row>
    <row r="5" spans="1:16" x14ac:dyDescent="0.25">
      <c r="B5" s="20" t="s">
        <v>11</v>
      </c>
      <c r="C5" s="17" t="s">
        <v>18</v>
      </c>
      <c r="D5" s="16" t="s">
        <v>19</v>
      </c>
      <c r="O5" s="19" t="s">
        <v>21</v>
      </c>
      <c r="P5">
        <v>12</v>
      </c>
    </row>
    <row r="6" spans="1:16" x14ac:dyDescent="0.25">
      <c r="B6" s="1" t="s">
        <v>12</v>
      </c>
      <c r="C6" s="1" cm="1">
        <f t="array" ref="C6:C7">COUNTIF(Placement,B6:B7)</f>
        <v>42</v>
      </c>
      <c r="D6" s="15" cm="1">
        <f t="array" ref="D6:D7">_xlfn.ANCHORARRAY(C6)/SUM(_xlfn.ANCHORARRAY(C6))</f>
        <v>0.44210526315789472</v>
      </c>
      <c r="O6" s="19" t="s">
        <v>22</v>
      </c>
      <c r="P6">
        <v>17</v>
      </c>
    </row>
    <row r="7" spans="1:16" x14ac:dyDescent="0.25">
      <c r="B7" s="1" t="s">
        <v>11</v>
      </c>
      <c r="C7" s="1">
        <v>53</v>
      </c>
      <c r="D7" s="15">
        <v>0.55789473684210522</v>
      </c>
      <c r="O7" s="19" t="s">
        <v>23</v>
      </c>
      <c r="P7">
        <v>6</v>
      </c>
    </row>
    <row r="8" spans="1:16" x14ac:dyDescent="0.25">
      <c r="O8" s="19" t="s">
        <v>24</v>
      </c>
      <c r="P8">
        <v>2</v>
      </c>
    </row>
    <row r="9" spans="1:16" x14ac:dyDescent="0.25">
      <c r="O9" s="19" t="s">
        <v>25</v>
      </c>
      <c r="P9">
        <v>3</v>
      </c>
    </row>
    <row r="10" spans="1:16" x14ac:dyDescent="0.25">
      <c r="O10" s="19" t="s">
        <v>26</v>
      </c>
      <c r="P10">
        <v>2</v>
      </c>
    </row>
    <row r="11" spans="1:16" x14ac:dyDescent="0.25">
      <c r="O11" s="19" t="s">
        <v>27</v>
      </c>
      <c r="P11">
        <v>1</v>
      </c>
    </row>
    <row r="12" spans="1:16" x14ac:dyDescent="0.25">
      <c r="O12" s="19" t="s">
        <v>28</v>
      </c>
      <c r="P12">
        <v>1</v>
      </c>
    </row>
    <row r="13" spans="1:16" x14ac:dyDescent="0.25">
      <c r="O13" s="19" t="s">
        <v>29</v>
      </c>
      <c r="P13">
        <v>1</v>
      </c>
    </row>
    <row r="14" spans="1:16" x14ac:dyDescent="0.25">
      <c r="O14" s="19" t="s">
        <v>30</v>
      </c>
      <c r="P14">
        <v>1</v>
      </c>
    </row>
    <row r="17" spans="2:16" x14ac:dyDescent="0.25">
      <c r="B17" s="117" t="s">
        <v>1</v>
      </c>
      <c r="C17" s="118"/>
      <c r="D17" s="118"/>
    </row>
    <row r="18" spans="2:16" x14ac:dyDescent="0.25">
      <c r="B18" s="20" t="s">
        <v>1</v>
      </c>
      <c r="C18" s="17" t="s">
        <v>18</v>
      </c>
      <c r="D18" s="16" t="s">
        <v>19</v>
      </c>
      <c r="O18" s="127" t="s">
        <v>88</v>
      </c>
      <c r="P18" s="130">
        <f>COUNT(Student_ID)</f>
        <v>95</v>
      </c>
    </row>
    <row r="19" spans="2:16" x14ac:dyDescent="0.25">
      <c r="B19" s="1" t="s">
        <v>17</v>
      </c>
      <c r="C19" s="3">
        <f>COUNTIF(Undergrad_Degree,B19)</f>
        <v>9</v>
      </c>
      <c r="D19" s="37">
        <f>C19/$C$24</f>
        <v>9.4736842105263161E-2</v>
      </c>
      <c r="O19" s="128" t="s">
        <v>89</v>
      </c>
      <c r="P19" s="131">
        <f>MAX(MBA_Grade)/100</f>
        <v>0.96099999999999997</v>
      </c>
    </row>
    <row r="20" spans="2:16" x14ac:dyDescent="0.25">
      <c r="B20" s="1" t="s">
        <v>16</v>
      </c>
      <c r="C20" s="3">
        <f>COUNTIF(Undergrad_Degree,B20)</f>
        <v>13</v>
      </c>
      <c r="D20" s="37">
        <f>C20/$C$24</f>
        <v>0.1368421052631579</v>
      </c>
      <c r="O20" s="129" t="s">
        <v>90</v>
      </c>
      <c r="P20" s="132">
        <f>AVERAGE(MBA_Grade)/100</f>
        <v>0.80175999999999992</v>
      </c>
    </row>
    <row r="21" spans="2:16" x14ac:dyDescent="0.25">
      <c r="B21" s="1" t="s">
        <v>15</v>
      </c>
      <c r="C21" s="3">
        <f>COUNTIF(Undergrad_Degree,B21)</f>
        <v>18</v>
      </c>
      <c r="D21" s="37">
        <f>C21/$C$24</f>
        <v>0.18947368421052632</v>
      </c>
    </row>
    <row r="22" spans="2:16" x14ac:dyDescent="0.25">
      <c r="B22" s="1" t="s">
        <v>48</v>
      </c>
      <c r="C22" s="3">
        <f>COUNTIF(Undergrad_Degree,B22)</f>
        <v>19</v>
      </c>
      <c r="D22" s="37">
        <f>C22/$C$24</f>
        <v>0.2</v>
      </c>
    </row>
    <row r="23" spans="2:16" ht="15.75" thickBot="1" x14ac:dyDescent="0.3">
      <c r="B23" s="38" t="s">
        <v>9</v>
      </c>
      <c r="C23" s="39">
        <f>COUNTIF(Undergrad_Degree,B23)</f>
        <v>36</v>
      </c>
      <c r="D23" s="37">
        <f>C23/$C$24</f>
        <v>0.37894736842105264</v>
      </c>
    </row>
    <row r="24" spans="2:16" ht="15.75" thickBot="1" x14ac:dyDescent="0.3">
      <c r="B24" s="40" t="s">
        <v>50</v>
      </c>
      <c r="C24" s="41">
        <f>SUM(C19:C23)</f>
        <v>95</v>
      </c>
    </row>
    <row r="31" spans="2:16" ht="15.75" thickBot="1" x14ac:dyDescent="0.3"/>
    <row r="32" spans="2:16" ht="15.75" thickBot="1" x14ac:dyDescent="0.3">
      <c r="B32" s="114" t="s">
        <v>53</v>
      </c>
      <c r="C32" s="115"/>
      <c r="D32" s="116"/>
    </row>
    <row r="33" spans="2:4" x14ac:dyDescent="0.25">
      <c r="B33" s="42" t="s">
        <v>51</v>
      </c>
      <c r="C33" s="43" t="s">
        <v>18</v>
      </c>
      <c r="D33" s="44" t="s">
        <v>19</v>
      </c>
    </row>
    <row r="34" spans="2:4" x14ac:dyDescent="0.25">
      <c r="B34" s="1" t="s">
        <v>14</v>
      </c>
      <c r="C34" s="1">
        <f>COUNTIF(Work_Experience,B34)</f>
        <v>23</v>
      </c>
      <c r="D34" s="15" cm="1">
        <f t="array" ref="D34">_xlfn.ANCHORARRAY(C34)/$C$36</f>
        <v>0.24210526315789474</v>
      </c>
    </row>
    <row r="35" spans="2:4" x14ac:dyDescent="0.25">
      <c r="B35" s="1" t="s">
        <v>10</v>
      </c>
      <c r="C35" s="1">
        <f>COUNTIF(Work_Experience,B35)</f>
        <v>72</v>
      </c>
      <c r="D35" s="15" cm="1">
        <f t="array" ref="D35">_xlfn.ANCHORARRAY(C35)/$C$36</f>
        <v>0.75789473684210529</v>
      </c>
    </row>
    <row r="36" spans="2:4" x14ac:dyDescent="0.25">
      <c r="B36" s="36" t="s">
        <v>50</v>
      </c>
      <c r="C36">
        <f>SUM(C34:C35)</f>
        <v>95</v>
      </c>
    </row>
  </sheetData>
  <sortState xmlns:xlrd2="http://schemas.microsoft.com/office/spreadsheetml/2017/richdata2" ref="B19:D24">
    <sortCondition ref="C19:C24"/>
  </sortState>
  <mergeCells count="4">
    <mergeCell ref="A1:F3"/>
    <mergeCell ref="B32:D32"/>
    <mergeCell ref="B17:D17"/>
    <mergeCell ref="B4:D4"/>
  </mergeCell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A485-E36F-497F-A093-BA95FA77BFA3}">
  <dimension ref="B3:N26"/>
  <sheetViews>
    <sheetView showGridLines="0" workbookViewId="0">
      <selection activeCell="C12" sqref="C12"/>
    </sheetView>
  </sheetViews>
  <sheetFormatPr defaultRowHeight="15" x14ac:dyDescent="0.25"/>
  <cols>
    <col min="2" max="3" width="10" customWidth="1"/>
    <col min="4" max="4" width="16.5703125" customWidth="1"/>
    <col min="5" max="5" width="16.85546875" customWidth="1"/>
    <col min="6" max="6" width="1.28515625" customWidth="1"/>
    <col min="7" max="7" width="15.7109375" customWidth="1"/>
    <col min="8" max="8" width="13.7109375" customWidth="1"/>
    <col min="9" max="9" width="0.7109375" customWidth="1"/>
    <col min="10" max="10" width="23" customWidth="1"/>
  </cols>
  <sheetData>
    <row r="3" spans="2:14" ht="15" customHeight="1" x14ac:dyDescent="0.25">
      <c r="B3" s="104" t="s">
        <v>75</v>
      </c>
      <c r="C3" s="104"/>
      <c r="D3" s="104"/>
      <c r="E3" s="104"/>
      <c r="F3" s="60"/>
      <c r="G3" s="119" t="s">
        <v>72</v>
      </c>
      <c r="H3" s="106">
        <v>85</v>
      </c>
      <c r="I3" s="107"/>
      <c r="J3" s="107"/>
    </row>
    <row r="4" spans="2:14" ht="15" customHeight="1" x14ac:dyDescent="0.25">
      <c r="B4" s="104"/>
      <c r="C4" s="104"/>
      <c r="D4" s="104"/>
      <c r="E4" s="104"/>
      <c r="F4" s="60"/>
      <c r="G4" s="119"/>
      <c r="H4" s="106"/>
      <c r="I4" s="107"/>
      <c r="J4" s="107"/>
    </row>
    <row r="5" spans="2:14" x14ac:dyDescent="0.25">
      <c r="B5" s="60"/>
      <c r="C5" s="60"/>
      <c r="D5" s="60"/>
      <c r="E5" s="60"/>
      <c r="F5" s="60"/>
      <c r="G5" s="60"/>
      <c r="H5" s="60"/>
      <c r="I5" s="60"/>
      <c r="J5" s="60"/>
    </row>
    <row r="6" spans="2:14" ht="15.75" thickBot="1" x14ac:dyDescent="0.3">
      <c r="B6" s="108" t="s">
        <v>74</v>
      </c>
      <c r="C6" s="109"/>
      <c r="D6" s="109"/>
      <c r="E6" s="110"/>
      <c r="F6" s="61"/>
      <c r="G6" s="120" t="s">
        <v>78</v>
      </c>
      <c r="H6" s="121"/>
      <c r="I6" s="60"/>
      <c r="J6" s="100" t="s">
        <v>73</v>
      </c>
    </row>
    <row r="7" spans="2:14" ht="16.5" thickTop="1" thickBot="1" x14ac:dyDescent="0.3">
      <c r="B7" s="111" t="s">
        <v>1</v>
      </c>
      <c r="C7" s="112"/>
      <c r="D7" s="62" t="s">
        <v>2</v>
      </c>
      <c r="E7" s="63" t="s">
        <v>3</v>
      </c>
      <c r="F7" s="64"/>
      <c r="G7" s="66" t="s">
        <v>79</v>
      </c>
      <c r="H7" s="65" t="s">
        <v>80</v>
      </c>
      <c r="I7" s="60"/>
      <c r="J7" s="101"/>
    </row>
    <row r="8" spans="2:14" ht="15.75" thickTop="1" x14ac:dyDescent="0.25">
      <c r="B8" s="93" t="str">
        <f>_xlfn.XLOOKUP(H3,'Raw Data'!A2:A96,'Raw Data'!B2:B96)</f>
        <v>Business</v>
      </c>
      <c r="C8" s="94"/>
      <c r="D8" s="72">
        <f>_xlfn.XLOOKUP($H$3,'Raw Data'!A2:A96,'Raw Data'!C2:C96)/100</f>
        <v>0.66</v>
      </c>
      <c r="E8" s="72">
        <f>IFERROR(_xlfn.XLOOKUP(H3,'Raw Data'!A2:A96,'Raw Data'!D2:D96),INDEX(Raw_data,MATCH(Sheet2!H3,Student_ID,0),MATCH(Sheet2!E7,'Raw Data'!A1:J1,0)))/100</f>
        <v>0.77400000000000002</v>
      </c>
      <c r="F8" s="70"/>
      <c r="G8" s="71">
        <f>_xlfn.XLOOKUP(H3,'Raw Data'!A2:A96,'Raw Data'!G2:G96)</f>
        <v>214</v>
      </c>
      <c r="H8" s="73">
        <f>_xlfn.XLOOKUP(H3,'Raw Data'!A2:A96,'Raw Data'!H2:H96)</f>
        <v>234</v>
      </c>
      <c r="I8" s="60"/>
      <c r="J8" s="95" cm="1">
        <f t="array" ref="J8">_xlfn.XLOOKUP(H3,'Raw Data'!A2:A96,_xlfn.ANCHORARRAY('Raw Data'!E2))</f>
        <v>68</v>
      </c>
    </row>
    <row r="9" spans="2:14" x14ac:dyDescent="0.25">
      <c r="B9" s="60"/>
      <c r="C9" s="60"/>
      <c r="D9" s="67"/>
      <c r="E9" s="60"/>
      <c r="F9" s="60"/>
      <c r="G9" s="60"/>
      <c r="H9" s="60"/>
      <c r="I9" s="60"/>
      <c r="J9" s="96"/>
    </row>
    <row r="10" spans="2:14" ht="15.75" thickBot="1" x14ac:dyDescent="0.3">
      <c r="B10" s="97" t="s">
        <v>81</v>
      </c>
      <c r="C10" s="98"/>
      <c r="D10" s="99"/>
      <c r="F10" s="60"/>
      <c r="G10" s="60"/>
      <c r="H10" s="60"/>
      <c r="I10" s="60"/>
      <c r="J10" s="96"/>
    </row>
    <row r="11" spans="2:14" ht="16.5" thickTop="1" thickBot="1" x14ac:dyDescent="0.3">
      <c r="B11" s="68" t="s">
        <v>77</v>
      </c>
      <c r="C11" s="68" t="s">
        <v>0</v>
      </c>
      <c r="D11" s="68" t="s">
        <v>3</v>
      </c>
      <c r="E11" s="68" t="s">
        <v>76</v>
      </c>
      <c r="F11" s="60"/>
      <c r="G11" s="60"/>
      <c r="H11" s="60"/>
      <c r="I11" s="60"/>
      <c r="J11" s="60"/>
    </row>
    <row r="12" spans="2:14" ht="15.75" thickBot="1" x14ac:dyDescent="0.3">
      <c r="B12" s="74">
        <f>IF(J8&lt;=5,1,IF(J8&gt;=91,85,(J8)-5))</f>
        <v>63</v>
      </c>
      <c r="C12" s="75" cm="1">
        <f t="array" ref="C12:C22">_xlfn.XLOOKUP($B$12:$B$22,_xlfn.ANCHORARRAY('Raw Data'!E2),'Raw Data'!$A$2:$A$96,,1)</f>
        <v>71</v>
      </c>
      <c r="D12" s="76" cm="1">
        <f t="array" ref="D12:D22">_xlfn.XLOOKUP(_xlfn.ANCHORARRAY(C12),'Raw Data'!A2:A96,'Raw Data'!D2:D96)/100</f>
        <v>0.78200000000000003</v>
      </c>
      <c r="E12" s="69" t="str" cm="1">
        <f t="array" ref="E12:E22">_xlfn.XLOOKUP(_xlfn.ANCHORARRAY(C12),'Raw Data'!A2:A96,'Raw Data'!I2:I96)</f>
        <v>Placed</v>
      </c>
      <c r="F12" s="60"/>
      <c r="G12" s="60"/>
      <c r="H12" s="60"/>
      <c r="I12" s="60"/>
      <c r="J12" s="100" t="s">
        <v>3</v>
      </c>
    </row>
    <row r="13" spans="2:14" ht="15.75" thickBot="1" x14ac:dyDescent="0.3">
      <c r="B13" s="74">
        <f>B12+1</f>
        <v>64</v>
      </c>
      <c r="C13" s="75">
        <v>91</v>
      </c>
      <c r="D13" s="76">
        <v>0.77900000000000003</v>
      </c>
      <c r="E13" s="69" t="str">
        <v>Placed</v>
      </c>
      <c r="F13" s="60"/>
      <c r="G13" s="60"/>
      <c r="H13" s="60"/>
      <c r="I13" s="60"/>
      <c r="J13" s="101"/>
    </row>
    <row r="14" spans="2:14" ht="16.5" thickTop="1" thickBot="1" x14ac:dyDescent="0.3">
      <c r="B14" s="74">
        <f t="shared" ref="B14:B22" si="0">B13+1</f>
        <v>65</v>
      </c>
      <c r="C14" s="75">
        <v>22</v>
      </c>
      <c r="D14" s="76">
        <v>0.77839999999999998</v>
      </c>
      <c r="E14" s="69" t="str">
        <v>Placed</v>
      </c>
      <c r="F14" s="60"/>
      <c r="G14" s="60"/>
      <c r="H14" s="60"/>
      <c r="I14" s="60"/>
      <c r="J14" s="102">
        <f>E8</f>
        <v>0.77400000000000002</v>
      </c>
      <c r="N14" s="4"/>
    </row>
    <row r="15" spans="2:14" ht="15.75" thickBot="1" x14ac:dyDescent="0.3">
      <c r="B15" s="74">
        <f t="shared" si="0"/>
        <v>66</v>
      </c>
      <c r="C15" s="75">
        <v>26</v>
      </c>
      <c r="D15" s="76">
        <v>0.77829999999999999</v>
      </c>
      <c r="E15" s="69" t="str">
        <v>Placed</v>
      </c>
      <c r="F15" s="60"/>
      <c r="G15" s="60"/>
      <c r="H15" s="60"/>
      <c r="I15" s="60"/>
      <c r="J15" s="103"/>
    </row>
    <row r="16" spans="2:14" ht="15.75" thickBot="1" x14ac:dyDescent="0.3">
      <c r="B16" s="74">
        <f t="shared" si="0"/>
        <v>67</v>
      </c>
      <c r="C16" s="75">
        <v>44</v>
      </c>
      <c r="D16" s="76">
        <v>0.77800000000000002</v>
      </c>
      <c r="E16" s="69" t="str">
        <v>Not Placed</v>
      </c>
      <c r="F16" s="60"/>
      <c r="G16" s="60"/>
      <c r="H16" s="60"/>
      <c r="I16" s="60"/>
      <c r="J16" s="103"/>
    </row>
    <row r="17" spans="2:10" ht="15.75" thickBot="1" x14ac:dyDescent="0.3">
      <c r="B17" s="74">
        <f t="shared" si="0"/>
        <v>68</v>
      </c>
      <c r="C17" s="75">
        <v>85</v>
      </c>
      <c r="D17" s="76">
        <v>0.77400000000000002</v>
      </c>
      <c r="E17" s="69" t="str">
        <v>Placed</v>
      </c>
      <c r="F17" s="60"/>
      <c r="G17" s="60"/>
      <c r="H17" s="60"/>
      <c r="I17" s="60"/>
      <c r="J17" s="60"/>
    </row>
    <row r="18" spans="2:10" ht="15.75" thickBot="1" x14ac:dyDescent="0.3">
      <c r="B18" s="74">
        <f t="shared" si="0"/>
        <v>69</v>
      </c>
      <c r="C18" s="75">
        <v>14</v>
      </c>
      <c r="D18" s="76">
        <v>0.76800000000000002</v>
      </c>
      <c r="E18" s="69" t="str">
        <v>Placed</v>
      </c>
      <c r="F18" s="60"/>
      <c r="G18" s="60"/>
      <c r="H18" s="60"/>
      <c r="I18" s="60"/>
      <c r="J18" s="100" t="s">
        <v>76</v>
      </c>
    </row>
    <row r="19" spans="2:10" ht="15.75" thickBot="1" x14ac:dyDescent="0.3">
      <c r="B19" s="74">
        <f t="shared" si="0"/>
        <v>70</v>
      </c>
      <c r="C19" s="75">
        <v>20</v>
      </c>
      <c r="D19" s="76">
        <v>0.76749999999999996</v>
      </c>
      <c r="E19" s="69" t="str">
        <v>Not Placed</v>
      </c>
      <c r="F19" s="60"/>
      <c r="G19" s="60"/>
      <c r="H19" s="60"/>
      <c r="I19" s="60"/>
      <c r="J19" s="101"/>
    </row>
    <row r="20" spans="2:10" ht="16.5" thickTop="1" thickBot="1" x14ac:dyDescent="0.3">
      <c r="B20" s="74">
        <f t="shared" si="0"/>
        <v>71</v>
      </c>
      <c r="C20" s="75">
        <v>38</v>
      </c>
      <c r="D20" s="76">
        <v>0.76700000000000002</v>
      </c>
      <c r="E20" s="69" t="str">
        <v>Not Placed</v>
      </c>
      <c r="F20" s="60"/>
      <c r="G20" s="60"/>
      <c r="H20" s="60"/>
      <c r="I20" s="60"/>
      <c r="J20" s="90" t="str">
        <f>_xlfn.XLOOKUP(H3,'Raw Data'!A2:A96,'Raw Data'!I2:I96)</f>
        <v>Placed</v>
      </c>
    </row>
    <row r="21" spans="2:10" ht="15.75" thickBot="1" x14ac:dyDescent="0.3">
      <c r="B21" s="74">
        <f t="shared" si="0"/>
        <v>72</v>
      </c>
      <c r="C21" s="75">
        <v>9</v>
      </c>
      <c r="D21" s="76">
        <v>0.754</v>
      </c>
      <c r="E21" s="69" t="str">
        <v>Placed</v>
      </c>
      <c r="F21" s="60"/>
      <c r="G21" s="60"/>
      <c r="H21" s="60"/>
      <c r="I21" s="60"/>
      <c r="J21" s="91"/>
    </row>
    <row r="22" spans="2:10" ht="15.75" thickBot="1" x14ac:dyDescent="0.3">
      <c r="B22" s="74">
        <f t="shared" si="0"/>
        <v>73</v>
      </c>
      <c r="C22" s="75">
        <v>27</v>
      </c>
      <c r="D22" s="76">
        <v>0.75129999999999997</v>
      </c>
      <c r="E22" s="69" t="str">
        <v>Placed</v>
      </c>
      <c r="F22" s="60"/>
      <c r="G22" s="60"/>
      <c r="H22" s="60"/>
      <c r="I22" s="60"/>
      <c r="J22" s="91"/>
    </row>
    <row r="26" spans="2:10" x14ac:dyDescent="0.25">
      <c r="D26" s="77"/>
    </row>
  </sheetData>
  <mergeCells count="14">
    <mergeCell ref="B3:E4"/>
    <mergeCell ref="J20:J22"/>
    <mergeCell ref="B8:C8"/>
    <mergeCell ref="J8:J10"/>
    <mergeCell ref="B10:D10"/>
    <mergeCell ref="J12:J13"/>
    <mergeCell ref="J14:J16"/>
    <mergeCell ref="J18:J19"/>
    <mergeCell ref="G3:G4"/>
    <mergeCell ref="H3:J4"/>
    <mergeCell ref="B6:E6"/>
    <mergeCell ref="G6:H6"/>
    <mergeCell ref="J6:J7"/>
    <mergeCell ref="B7:C7"/>
  </mergeCells>
  <conditionalFormatting sqref="B12:E22">
    <cfRule type="expression" dxfId="3" priority="1">
      <formula>$C12=$H$3</formula>
    </cfRule>
    <cfRule type="expression" dxfId="2" priority="6">
      <formula>$L12=$R$2</formula>
    </cfRule>
  </conditionalFormatting>
  <conditionalFormatting sqref="J20:J22">
    <cfRule type="beginsWith" dxfId="1" priority="3" operator="beginsWith" text="P">
      <formula>LEFT(J20,LEN("P"))="P"</formula>
    </cfRule>
    <cfRule type="containsText" dxfId="0" priority="5" operator="containsText" text="Not Placed">
      <formula>NOT(ISERROR(SEARCH("Not Placed",J20)))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C7D96-EFFA-4D86-9075-75DC1C651C74}">
          <x14:formula1>
            <xm:f>'Raw Data'!$A$2:$A$96</xm:f>
          </x14:formula1>
          <xm:sqref>H3:J4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9246-09F1-49B7-A2D3-D6E0730E76F6}">
  <dimension ref="A2:I8"/>
  <sheetViews>
    <sheetView workbookViewId="0">
      <selection activeCell="F6" sqref="F6"/>
    </sheetView>
  </sheetViews>
  <sheetFormatPr defaultRowHeight="15" x14ac:dyDescent="0.25"/>
  <cols>
    <col min="1" max="1" width="10.28515625" bestFit="1" customWidth="1"/>
    <col min="3" max="9" width="26.85546875" customWidth="1"/>
  </cols>
  <sheetData>
    <row r="2" spans="1:9" x14ac:dyDescent="0.25">
      <c r="C2" s="122" t="s">
        <v>82</v>
      </c>
      <c r="D2" s="122"/>
      <c r="E2" s="122"/>
      <c r="F2" s="122"/>
      <c r="G2" s="122"/>
      <c r="H2" s="122"/>
    </row>
    <row r="3" spans="1:9" x14ac:dyDescent="0.25">
      <c r="A3" t="s">
        <v>0</v>
      </c>
      <c r="B3" s="81">
        <v>85</v>
      </c>
      <c r="C3" s="80" t="s">
        <v>87</v>
      </c>
      <c r="D3" s="80" t="s">
        <v>86</v>
      </c>
      <c r="E3" s="80" t="s">
        <v>7</v>
      </c>
      <c r="F3" s="80" t="s">
        <v>87</v>
      </c>
      <c r="G3" s="80" t="s">
        <v>87</v>
      </c>
      <c r="H3" s="80" t="s">
        <v>4</v>
      </c>
      <c r="I3" s="80"/>
    </row>
    <row r="6" spans="1:9" x14ac:dyDescent="0.25">
      <c r="C6">
        <f>IF($A$3="Student ID",INDEX(Raw_data,MATCH(Sheet4!$B$3,Student_ID,0),MATCH(Sheet4!C3,'Raw Data'!A1:J1,0)),INDEX(Raw_data,MATCH(Sheet4!$B$3,'Raw Data'!E1:E96,0),MATCH(Sheet4!C3,'Raw Data'!A1:J1,0)))</f>
        <v>77.400000000000006</v>
      </c>
      <c r="D6">
        <f>IF($A$3="Student ID",INDEX(Raw_data,MATCH(Sheet4!$B$3,Student_ID,0),MATCH(Sheet4!D$3,'Raw Data'!A1:J1,0)),INDEX(Raw_data,MATCH(Sheet4!$B$3,'Raw Data'!E1:E96,0),MATCH(Sheet4!D$3,'Raw Data'!A1:J1,0)))</f>
        <v>66</v>
      </c>
      <c r="E6" t="str">
        <f>IF($A$3="Student ID",INDEX(Raw_data,MATCH(Sheet4!$B$3,Student_ID,0),MATCH(Sheet4!E$3,'Raw Data'!A1:J1,0)),INDEX(Raw_data,MATCH(Sheet4!$B$3,'Raw Data'!E1:E96,0),MATCH(Sheet4!E$3,'Raw Data'!A1:J1,0)))</f>
        <v>Placed</v>
      </c>
      <c r="F6">
        <f>IF($A$3="Student ID",INDEX(Raw_data,MATCH(Sheet4!$B$3,Student_ID,0),MATCH(Sheet4!F$3,'Raw Data'!A1:J1,0)),INDEX(Raw_data,MATCH(Sheet4!$B$3,'Raw Data'!E1:E96,0),MATCH(Sheet4!F$3,'Raw Data'!A1:J1,0)))</f>
        <v>77.400000000000006</v>
      </c>
      <c r="G6">
        <f>IFERROR(IF($A$3="Student ID",INDEX(Raw_data,MATCH(Sheet4!$B$3,Student_ID,0),MATCH(Sheet4!G$3,'Raw Data'!A1:J1,0)),INDEX(Raw_data,MATCH(Sheet4!$B$3,'Raw Data'!E1:E96,0),MATCH(Sheet4!G$3,'Raw Data'!A1:J1,0)))," ")</f>
        <v>77.400000000000006</v>
      </c>
      <c r="H6" t="str">
        <f>IFERROR(IF($A$3="Student ID",INDEX(Raw_data,MATCH(Sheet4!$B$3,Student_ID,0),MATCH(Sheet4!H$3,'Raw Data'!A1:J1,0)),INDEX(Raw_data,MATCH(Sheet4!$B$3,'Raw Data'!E1:E96,0),MATCH(Sheet4!H$3,'Raw Data'!A1:J1,0)))," ")</f>
        <v>Yes</v>
      </c>
      <c r="I6" t="str">
        <f>IFERROR(IF($A$3="Student ID",INDEX(Raw_data,MATCH(Sheet4!$B$3,Student_ID,0),MATCH(Sheet4!I$3,'Raw Data'!A1:J1,0)),INDEX(Raw_data,MATCH(Sheet4!$B$3,'Raw Data'!E1:E96,0),MATCH(Sheet4!I$3,'Raw Data'!A1:J1,0)))," ")</f>
        <v xml:space="preserve"> </v>
      </c>
    </row>
    <row r="8" spans="1:9" x14ac:dyDescent="0.25">
      <c r="C8">
        <f>_xlfn.XLOOKUP(B3,Student_ID,MBA_Grade)</f>
        <v>77.400000000000006</v>
      </c>
    </row>
  </sheetData>
  <mergeCells count="1">
    <mergeCell ref="C2:H2"/>
  </mergeCells>
  <dataValidations count="1">
    <dataValidation type="list" allowBlank="1" showInputMessage="1" showErrorMessage="1" sqref="A3" xr:uid="{E2F587B3-240D-49BF-A2D0-D9E7F6E6E54C}">
      <formula1>"Student ID, Class Rank"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E68FC1-E2C9-4AA5-99E9-6B1A30B34795}">
          <x14:formula1>
            <xm:f>'Raw Data'!$B$1:$J$1</xm:f>
          </x14:formula1>
          <xm:sqref>C3:I3</xm:sqref>
        </x14:dataValidation>
        <x14:dataValidation type="list" allowBlank="1" showInputMessage="1" showErrorMessage="1" xr:uid="{2B6DA236-25AB-421D-8A83-A9B148423F3B}">
          <x14:formula1>
            <xm:f>'Raw Data'!$A$2:$A$96</xm:f>
          </x14:formula1>
          <xm:sqref>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AB5-6867-41DC-ACCD-4E9FBD19E83D}">
  <dimension ref="A1:L100"/>
  <sheetViews>
    <sheetView showGridLines="0" workbookViewId="0">
      <selection activeCell="G21" sqref="G21:G22"/>
    </sheetView>
  </sheetViews>
  <sheetFormatPr defaultRowHeight="15" x14ac:dyDescent="0.25"/>
  <cols>
    <col min="1" max="1" width="16.42578125" bestFit="1" customWidth="1"/>
    <col min="2" max="3" width="16.42578125" customWidth="1"/>
    <col min="5" max="5" width="13.140625" bestFit="1" customWidth="1"/>
    <col min="6" max="6" width="10.28515625" bestFit="1" customWidth="1"/>
    <col min="11" max="11" width="34.7109375" customWidth="1"/>
    <col min="12" max="12" width="22.28515625" customWidth="1"/>
    <col min="14" max="15" width="25.140625" customWidth="1"/>
    <col min="17" max="17" width="11.5703125" customWidth="1"/>
  </cols>
  <sheetData>
    <row r="1" spans="1:12" x14ac:dyDescent="0.25">
      <c r="A1" s="123" t="s">
        <v>54</v>
      </c>
      <c r="B1" s="123"/>
      <c r="C1" s="123"/>
      <c r="D1" s="123"/>
      <c r="E1" s="123"/>
      <c r="F1" s="123"/>
      <c r="G1" s="123"/>
      <c r="H1" s="123"/>
    </row>
    <row r="2" spans="1:12" x14ac:dyDescent="0.25">
      <c r="A2" s="123"/>
      <c r="B2" s="123"/>
      <c r="C2" s="123"/>
      <c r="D2" s="123"/>
      <c r="E2" s="123"/>
      <c r="F2" s="123"/>
      <c r="G2" s="123"/>
      <c r="H2" s="123"/>
    </row>
    <row r="3" spans="1:12" x14ac:dyDescent="0.25">
      <c r="A3" s="123"/>
      <c r="B3" s="123"/>
      <c r="C3" s="123"/>
      <c r="D3" s="123"/>
      <c r="E3" s="123"/>
      <c r="F3" s="123"/>
      <c r="G3" s="123"/>
      <c r="H3" s="123"/>
    </row>
    <row r="5" spans="1:12" x14ac:dyDescent="0.25">
      <c r="A5" s="9" t="s">
        <v>2</v>
      </c>
      <c r="B5" s="4"/>
      <c r="C5" s="4"/>
      <c r="J5" s="124" t="s">
        <v>36</v>
      </c>
      <c r="K5" s="124"/>
    </row>
    <row r="6" spans="1:12" x14ac:dyDescent="0.25">
      <c r="A6" s="10">
        <v>68.400000000000006</v>
      </c>
      <c r="B6" s="45" t="s">
        <v>55</v>
      </c>
      <c r="C6" s="29" cm="1">
        <f t="array" ref="C6:C10">_xlfn.QUARTILE.INC(A6:A100,_xlfn.SEQUENCE(5,,0,1))</f>
        <v>60.9</v>
      </c>
      <c r="J6" s="23" t="s">
        <v>32</v>
      </c>
      <c r="K6" s="22">
        <f>AVERAGE(A6:A100)</f>
        <v>74.973684210526329</v>
      </c>
    </row>
    <row r="7" spans="1:12" x14ac:dyDescent="0.25">
      <c r="A7" s="11">
        <v>62.1</v>
      </c>
      <c r="B7" s="45" t="s">
        <v>56</v>
      </c>
      <c r="C7" s="29">
        <v>68.7</v>
      </c>
      <c r="J7" s="24" t="s">
        <v>33</v>
      </c>
      <c r="K7" s="22">
        <f>MEDIAN(A6:A100)</f>
        <v>75.599999999999994</v>
      </c>
    </row>
    <row r="8" spans="1:12" x14ac:dyDescent="0.25">
      <c r="A8" s="11">
        <v>70.2</v>
      </c>
      <c r="B8" s="45" t="s">
        <v>33</v>
      </c>
      <c r="C8" s="29">
        <v>75.599999999999994</v>
      </c>
      <c r="J8" s="24" t="s">
        <v>34</v>
      </c>
      <c r="K8" s="22">
        <f>_xlfn.STDEV.S(A6:A100)</f>
        <v>7.5417308601740229</v>
      </c>
    </row>
    <row r="9" spans="1:12" x14ac:dyDescent="0.25">
      <c r="A9" s="11">
        <v>75.099999999999994</v>
      </c>
      <c r="B9" s="45" t="s">
        <v>57</v>
      </c>
      <c r="C9" s="29">
        <v>79.349999999999994</v>
      </c>
      <c r="J9" s="25" t="s">
        <v>35</v>
      </c>
      <c r="K9" s="26">
        <f>SKEW(A6:A100)</f>
        <v>0.41754818266724358</v>
      </c>
    </row>
    <row r="10" spans="1:12" x14ac:dyDescent="0.25">
      <c r="A10" s="11">
        <v>60.9</v>
      </c>
      <c r="B10" s="45" t="s">
        <v>58</v>
      </c>
      <c r="C10" s="48">
        <v>100</v>
      </c>
    </row>
    <row r="11" spans="1:12" x14ac:dyDescent="0.25">
      <c r="A11" s="11">
        <v>74.5</v>
      </c>
      <c r="B11" s="4"/>
      <c r="C11" s="4"/>
    </row>
    <row r="12" spans="1:12" x14ac:dyDescent="0.25">
      <c r="A12" s="11">
        <v>76.400000000000006</v>
      </c>
      <c r="B12" s="4"/>
      <c r="C12" s="4"/>
    </row>
    <row r="13" spans="1:12" x14ac:dyDescent="0.25">
      <c r="A13" s="11">
        <v>82.6</v>
      </c>
      <c r="B13" s="4"/>
      <c r="C13" s="4"/>
    </row>
    <row r="14" spans="1:12" x14ac:dyDescent="0.25">
      <c r="A14" s="11">
        <v>76.900000000000006</v>
      </c>
      <c r="B14" s="4"/>
      <c r="C14" s="4"/>
    </row>
    <row r="15" spans="1:12" x14ac:dyDescent="0.25">
      <c r="A15" s="11">
        <v>83.3</v>
      </c>
      <c r="B15" s="4"/>
      <c r="C15" s="4"/>
    </row>
    <row r="16" spans="1:12" x14ac:dyDescent="0.25">
      <c r="A16" s="11">
        <v>75.8</v>
      </c>
      <c r="B16" s="4"/>
      <c r="C16" s="4"/>
      <c r="J16" s="124" t="s">
        <v>59</v>
      </c>
      <c r="K16" s="124"/>
      <c r="L16" s="124"/>
    </row>
    <row r="17" spans="1:12" x14ac:dyDescent="0.25">
      <c r="A17" s="11">
        <v>76</v>
      </c>
      <c r="B17" s="4"/>
      <c r="C17" s="4"/>
      <c r="K17" s="88" t="s">
        <v>18</v>
      </c>
      <c r="L17" s="88" t="s">
        <v>19</v>
      </c>
    </row>
    <row r="18" spans="1:12" x14ac:dyDescent="0.25">
      <c r="A18" s="11">
        <v>62.8</v>
      </c>
      <c r="B18" s="4"/>
      <c r="C18" s="4"/>
      <c r="J18" s="47" t="s">
        <v>60</v>
      </c>
      <c r="K18" s="48">
        <f>COUNTIF(A6:A100,"&gt;="&amp; 80)</f>
        <v>21</v>
      </c>
      <c r="L18" s="30">
        <f>K18/K20</f>
        <v>0.22105263157894736</v>
      </c>
    </row>
    <row r="19" spans="1:12" x14ac:dyDescent="0.25">
      <c r="A19" s="11">
        <v>82.8</v>
      </c>
      <c r="B19" s="4"/>
      <c r="C19" s="4"/>
      <c r="J19" s="51" t="s">
        <v>61</v>
      </c>
      <c r="K19" s="49">
        <f>COUNTIFS(A6:A100,"&lt;"&amp; 80)</f>
        <v>74</v>
      </c>
      <c r="L19" s="30">
        <f>K19/K20</f>
        <v>0.77894736842105261</v>
      </c>
    </row>
    <row r="20" spans="1:12" x14ac:dyDescent="0.25">
      <c r="A20" s="11">
        <v>76</v>
      </c>
      <c r="B20" s="4"/>
      <c r="C20" s="4"/>
      <c r="J20" s="52" t="s">
        <v>49</v>
      </c>
      <c r="K20" s="53">
        <f>SUM(K18:K19)</f>
        <v>95</v>
      </c>
      <c r="L20" s="50"/>
    </row>
    <row r="21" spans="1:12" x14ac:dyDescent="0.25">
      <c r="A21" s="11">
        <v>76.900000000000006</v>
      </c>
      <c r="B21" s="4"/>
      <c r="C21" s="4"/>
    </row>
    <row r="22" spans="1:12" x14ac:dyDescent="0.25">
      <c r="A22" s="11">
        <v>75.8</v>
      </c>
      <c r="B22" s="4"/>
      <c r="C22" s="4"/>
    </row>
    <row r="23" spans="1:12" x14ac:dyDescent="0.25">
      <c r="A23" s="11">
        <v>78</v>
      </c>
      <c r="B23" s="4"/>
      <c r="C23" s="4"/>
    </row>
    <row r="24" spans="1:12" x14ac:dyDescent="0.25">
      <c r="A24" s="11">
        <v>82.4</v>
      </c>
      <c r="B24" s="4"/>
      <c r="C24" s="4"/>
    </row>
    <row r="25" spans="1:12" x14ac:dyDescent="0.25">
      <c r="A25" s="11">
        <v>76.2</v>
      </c>
      <c r="B25" s="4"/>
      <c r="C25" s="4"/>
    </row>
    <row r="26" spans="1:12" x14ac:dyDescent="0.25">
      <c r="A26" s="11">
        <v>62.5</v>
      </c>
      <c r="B26" s="4"/>
      <c r="C26" s="4"/>
    </row>
    <row r="27" spans="1:12" x14ac:dyDescent="0.25">
      <c r="A27" s="11">
        <v>78</v>
      </c>
      <c r="B27" s="4"/>
      <c r="C27" s="4"/>
    </row>
    <row r="28" spans="1:12" x14ac:dyDescent="0.25">
      <c r="A28" s="11">
        <v>66.5</v>
      </c>
      <c r="B28" s="4"/>
      <c r="C28" s="4"/>
    </row>
    <row r="29" spans="1:12" x14ac:dyDescent="0.25">
      <c r="A29" s="11">
        <v>63.5</v>
      </c>
      <c r="B29" s="4"/>
      <c r="C29" s="4"/>
    </row>
    <row r="30" spans="1:12" x14ac:dyDescent="0.25">
      <c r="A30" s="11">
        <v>82.6</v>
      </c>
      <c r="B30" s="4"/>
      <c r="C30" s="4"/>
    </row>
    <row r="31" spans="1:12" x14ac:dyDescent="0.25">
      <c r="A31" s="11">
        <v>79.2</v>
      </c>
      <c r="B31" s="4"/>
      <c r="C31" s="4"/>
    </row>
    <row r="32" spans="1:12" x14ac:dyDescent="0.25">
      <c r="A32" s="11">
        <v>75</v>
      </c>
      <c r="B32" s="4"/>
      <c r="C32" s="4"/>
    </row>
    <row r="33" spans="1:3" x14ac:dyDescent="0.25">
      <c r="A33" s="11">
        <v>74.400000000000006</v>
      </c>
      <c r="B33" s="4"/>
      <c r="C33" s="4"/>
    </row>
    <row r="34" spans="1:3" x14ac:dyDescent="0.25">
      <c r="A34" s="11">
        <v>67.900000000000006</v>
      </c>
      <c r="B34" s="4"/>
      <c r="C34" s="4"/>
    </row>
    <row r="35" spans="1:3" x14ac:dyDescent="0.25">
      <c r="A35" s="11">
        <v>76.8</v>
      </c>
      <c r="B35" s="4"/>
      <c r="C35" s="4"/>
    </row>
    <row r="36" spans="1:3" x14ac:dyDescent="0.25">
      <c r="A36" s="11">
        <v>83</v>
      </c>
      <c r="B36" s="4"/>
      <c r="C36" s="4"/>
    </row>
    <row r="37" spans="1:3" x14ac:dyDescent="0.25">
      <c r="A37" s="11">
        <v>88.9</v>
      </c>
      <c r="B37" s="4"/>
      <c r="C37" s="4"/>
    </row>
    <row r="38" spans="1:3" x14ac:dyDescent="0.25">
      <c r="A38" s="11">
        <v>76.5</v>
      </c>
      <c r="B38" s="4"/>
      <c r="C38" s="4"/>
    </row>
    <row r="39" spans="1:3" x14ac:dyDescent="0.25">
      <c r="A39" s="11">
        <v>79.900000000000006</v>
      </c>
      <c r="B39" s="4"/>
      <c r="C39" s="4"/>
    </row>
    <row r="40" spans="1:3" x14ac:dyDescent="0.25">
      <c r="A40" s="11">
        <v>70.400000000000006</v>
      </c>
      <c r="B40" s="4"/>
      <c r="C40" s="4"/>
    </row>
    <row r="41" spans="1:3" x14ac:dyDescent="0.25">
      <c r="A41" s="11">
        <v>83.4</v>
      </c>
      <c r="B41" s="4"/>
      <c r="C41" s="4"/>
    </row>
    <row r="42" spans="1:3" x14ac:dyDescent="0.25">
      <c r="A42" s="11">
        <v>79.2</v>
      </c>
      <c r="B42" s="4"/>
      <c r="C42" s="4"/>
    </row>
    <row r="43" spans="1:3" x14ac:dyDescent="0.25">
      <c r="A43" s="11">
        <v>61.2</v>
      </c>
      <c r="B43" s="4"/>
      <c r="C43" s="4"/>
    </row>
    <row r="44" spans="1:3" x14ac:dyDescent="0.25">
      <c r="A44" s="11">
        <v>64</v>
      </c>
      <c r="B44" s="4"/>
      <c r="C44" s="4"/>
    </row>
    <row r="45" spans="1:3" x14ac:dyDescent="0.25">
      <c r="A45" s="11">
        <v>68</v>
      </c>
      <c r="B45" s="4"/>
      <c r="C45" s="4"/>
    </row>
    <row r="46" spans="1:3" x14ac:dyDescent="0.25">
      <c r="A46" s="11">
        <v>78.5</v>
      </c>
      <c r="B46" s="4"/>
      <c r="C46" s="4"/>
    </row>
    <row r="47" spans="1:3" x14ac:dyDescent="0.25">
      <c r="A47" s="11">
        <v>83</v>
      </c>
      <c r="B47" s="4"/>
      <c r="C47" s="4"/>
    </row>
    <row r="48" spans="1:3" x14ac:dyDescent="0.25">
      <c r="A48" s="11">
        <v>75.2</v>
      </c>
      <c r="B48" s="4"/>
      <c r="C48" s="4"/>
    </row>
    <row r="49" spans="1:3" x14ac:dyDescent="0.25">
      <c r="A49" s="11">
        <v>68.099999999999994</v>
      </c>
      <c r="B49" s="4"/>
      <c r="C49" s="4"/>
    </row>
    <row r="50" spans="1:3" x14ac:dyDescent="0.25">
      <c r="A50" s="11">
        <v>93.6</v>
      </c>
      <c r="B50" s="4"/>
      <c r="C50" s="4"/>
    </row>
    <row r="51" spans="1:3" x14ac:dyDescent="0.25">
      <c r="A51" s="11">
        <v>75.599999999999994</v>
      </c>
      <c r="B51" s="4"/>
      <c r="C51" s="4"/>
    </row>
    <row r="52" spans="1:3" x14ac:dyDescent="0.25">
      <c r="A52" s="11">
        <v>82.3</v>
      </c>
      <c r="B52" s="4"/>
      <c r="C52" s="4"/>
    </row>
    <row r="53" spans="1:3" x14ac:dyDescent="0.25">
      <c r="A53" s="11">
        <v>71.400000000000006</v>
      </c>
      <c r="B53" s="4"/>
      <c r="C53" s="4"/>
    </row>
    <row r="54" spans="1:3" x14ac:dyDescent="0.25">
      <c r="A54" s="11">
        <v>71.900000000000006</v>
      </c>
      <c r="B54" s="4"/>
      <c r="C54" s="4"/>
    </row>
    <row r="55" spans="1:3" x14ac:dyDescent="0.25">
      <c r="A55" s="11">
        <v>79.099999999999994</v>
      </c>
      <c r="B55" s="4"/>
      <c r="C55" s="4"/>
    </row>
    <row r="56" spans="1:3" x14ac:dyDescent="0.25">
      <c r="A56" s="11">
        <v>88.7</v>
      </c>
      <c r="B56" s="4"/>
      <c r="C56" s="4"/>
    </row>
    <row r="57" spans="1:3" x14ac:dyDescent="0.25">
      <c r="A57" s="11">
        <v>69.400000000000006</v>
      </c>
      <c r="B57" s="4"/>
      <c r="C57" s="4"/>
    </row>
    <row r="58" spans="1:3" x14ac:dyDescent="0.25">
      <c r="A58" s="11">
        <v>80.3</v>
      </c>
      <c r="B58" s="4"/>
      <c r="C58" s="4"/>
    </row>
    <row r="59" spans="1:3" x14ac:dyDescent="0.25">
      <c r="A59" s="11">
        <v>83</v>
      </c>
      <c r="B59" s="4"/>
      <c r="C59" s="4"/>
    </row>
    <row r="60" spans="1:3" x14ac:dyDescent="0.25">
      <c r="A60" s="11">
        <v>74.099999999999994</v>
      </c>
      <c r="B60" s="4"/>
      <c r="C60" s="4"/>
    </row>
    <row r="61" spans="1:3" x14ac:dyDescent="0.25">
      <c r="A61" s="11">
        <v>79.400000000000006</v>
      </c>
      <c r="B61" s="4"/>
      <c r="C61" s="4"/>
    </row>
    <row r="62" spans="1:3" x14ac:dyDescent="0.25">
      <c r="A62" s="11">
        <v>88.1</v>
      </c>
      <c r="B62" s="4"/>
      <c r="C62" s="4"/>
    </row>
    <row r="63" spans="1:3" x14ac:dyDescent="0.25">
      <c r="A63" s="11">
        <v>74.599999999999994</v>
      </c>
      <c r="B63" s="4"/>
      <c r="C63" s="4"/>
    </row>
    <row r="64" spans="1:3" x14ac:dyDescent="0.25">
      <c r="A64" s="11">
        <v>87.1</v>
      </c>
      <c r="B64" s="4"/>
      <c r="C64" s="4"/>
    </row>
    <row r="65" spans="1:3" x14ac:dyDescent="0.25">
      <c r="A65" s="11">
        <v>79.7</v>
      </c>
      <c r="B65" s="4"/>
      <c r="C65" s="4"/>
    </row>
    <row r="66" spans="1:3" x14ac:dyDescent="0.25">
      <c r="A66" s="11">
        <v>82.1</v>
      </c>
      <c r="B66" s="4"/>
      <c r="C66" s="4"/>
    </row>
    <row r="67" spans="1:3" x14ac:dyDescent="0.25">
      <c r="A67" s="11">
        <v>70.2</v>
      </c>
      <c r="B67" s="4"/>
      <c r="C67" s="4"/>
    </row>
    <row r="68" spans="1:3" x14ac:dyDescent="0.25">
      <c r="A68" s="11">
        <v>81.7</v>
      </c>
      <c r="B68" s="4"/>
      <c r="C68" s="4"/>
    </row>
    <row r="69" spans="1:3" x14ac:dyDescent="0.25">
      <c r="A69" s="11">
        <v>76.099999999999994</v>
      </c>
      <c r="B69" s="4"/>
      <c r="C69" s="4"/>
    </row>
    <row r="70" spans="1:3" x14ac:dyDescent="0.25">
      <c r="A70" s="11">
        <v>65.400000000000006</v>
      </c>
      <c r="B70" s="4"/>
      <c r="C70" s="4"/>
    </row>
    <row r="71" spans="1:3" x14ac:dyDescent="0.25">
      <c r="A71" s="11">
        <v>70.099999999999994</v>
      </c>
      <c r="B71" s="4"/>
      <c r="C71" s="4"/>
    </row>
    <row r="72" spans="1:3" x14ac:dyDescent="0.25">
      <c r="A72" s="11">
        <v>75.3</v>
      </c>
      <c r="B72" s="4"/>
      <c r="C72" s="4"/>
    </row>
    <row r="73" spans="1:3" x14ac:dyDescent="0.25">
      <c r="A73" s="11">
        <v>68.7</v>
      </c>
      <c r="B73" s="4"/>
      <c r="C73" s="4"/>
    </row>
    <row r="74" spans="1:3" x14ac:dyDescent="0.25">
      <c r="A74" s="11">
        <v>75.7</v>
      </c>
      <c r="B74" s="4"/>
      <c r="C74" s="4"/>
    </row>
    <row r="75" spans="1:3" x14ac:dyDescent="0.25">
      <c r="A75" s="11">
        <v>68.7</v>
      </c>
      <c r="B75" s="4"/>
      <c r="C75" s="4"/>
    </row>
    <row r="76" spans="1:3" x14ac:dyDescent="0.25">
      <c r="A76" s="11">
        <v>70.400000000000006</v>
      </c>
      <c r="B76" s="4"/>
      <c r="C76" s="4"/>
    </row>
    <row r="77" spans="1:3" x14ac:dyDescent="0.25">
      <c r="A77" s="11">
        <v>68.3</v>
      </c>
      <c r="B77" s="4"/>
      <c r="C77" s="4"/>
    </row>
    <row r="78" spans="1:3" x14ac:dyDescent="0.25">
      <c r="A78" s="11">
        <v>71.7</v>
      </c>
      <c r="B78" s="4"/>
      <c r="C78" s="4"/>
    </row>
    <row r="79" spans="1:3" x14ac:dyDescent="0.25">
      <c r="A79" s="11">
        <v>70.900000000000006</v>
      </c>
      <c r="B79" s="4"/>
      <c r="C79" s="4"/>
    </row>
    <row r="80" spans="1:3" x14ac:dyDescent="0.25">
      <c r="A80" s="11">
        <v>66.3</v>
      </c>
      <c r="B80" s="4"/>
      <c r="C80" s="4"/>
    </row>
    <row r="81" spans="1:3" x14ac:dyDescent="0.25">
      <c r="A81" s="11">
        <v>65.3</v>
      </c>
      <c r="B81" s="4"/>
      <c r="C81" s="4"/>
    </row>
    <row r="82" spans="1:3" x14ac:dyDescent="0.25">
      <c r="A82" s="11">
        <v>75.7</v>
      </c>
      <c r="B82" s="4"/>
      <c r="C82" s="4"/>
    </row>
    <row r="83" spans="1:3" x14ac:dyDescent="0.25">
      <c r="A83" s="11">
        <v>66</v>
      </c>
      <c r="B83" s="4"/>
      <c r="C83" s="4"/>
    </row>
    <row r="84" spans="1:3" x14ac:dyDescent="0.25">
      <c r="A84" s="11">
        <v>78.900000000000006</v>
      </c>
      <c r="B84" s="4"/>
      <c r="C84" s="4"/>
    </row>
    <row r="85" spans="1:3" x14ac:dyDescent="0.25">
      <c r="A85" s="11">
        <v>74</v>
      </c>
      <c r="B85" s="4"/>
      <c r="C85" s="4"/>
    </row>
    <row r="86" spans="1:3" x14ac:dyDescent="0.25">
      <c r="A86" s="11">
        <v>74.599999999999994</v>
      </c>
      <c r="B86" s="4"/>
      <c r="C86" s="4"/>
    </row>
    <row r="87" spans="1:3" x14ac:dyDescent="0.25">
      <c r="A87" s="11">
        <v>79.3</v>
      </c>
      <c r="B87" s="4"/>
      <c r="C87" s="4"/>
    </row>
    <row r="88" spans="1:3" x14ac:dyDescent="0.25">
      <c r="A88" s="11">
        <v>70.099999999999994</v>
      </c>
      <c r="B88" s="4"/>
      <c r="C88" s="4"/>
    </row>
    <row r="89" spans="1:3" x14ac:dyDescent="0.25">
      <c r="A89" s="11">
        <v>88.8</v>
      </c>
      <c r="B89" s="4"/>
      <c r="C89" s="4"/>
    </row>
    <row r="90" spans="1:3" x14ac:dyDescent="0.25">
      <c r="A90" s="11">
        <v>66</v>
      </c>
      <c r="B90" s="4"/>
      <c r="C90" s="4"/>
    </row>
    <row r="91" spans="1:3" x14ac:dyDescent="0.25">
      <c r="A91" s="11">
        <v>82.9</v>
      </c>
      <c r="B91" s="4"/>
      <c r="C91" s="4"/>
    </row>
    <row r="92" spans="1:3" x14ac:dyDescent="0.25">
      <c r="A92" s="11">
        <v>100</v>
      </c>
      <c r="B92" s="4"/>
      <c r="C92" s="4"/>
    </row>
    <row r="93" spans="1:3" x14ac:dyDescent="0.25">
      <c r="A93" s="11">
        <v>75.599999999999994</v>
      </c>
      <c r="B93" s="4"/>
      <c r="C93" s="4"/>
    </row>
    <row r="94" spans="1:3" x14ac:dyDescent="0.25">
      <c r="A94" s="11">
        <v>67.5</v>
      </c>
      <c r="B94" s="4"/>
      <c r="C94" s="4"/>
    </row>
    <row r="95" spans="1:3" x14ac:dyDescent="0.25">
      <c r="A95" s="11">
        <v>68.7</v>
      </c>
      <c r="B95" s="4"/>
      <c r="C95" s="4"/>
    </row>
    <row r="96" spans="1:3" x14ac:dyDescent="0.25">
      <c r="A96" s="11">
        <v>76</v>
      </c>
      <c r="B96" s="4"/>
      <c r="C96" s="4"/>
    </row>
    <row r="97" spans="1:3" x14ac:dyDescent="0.25">
      <c r="A97" s="11">
        <v>67.7</v>
      </c>
      <c r="B97" s="4"/>
      <c r="C97" s="4"/>
    </row>
    <row r="98" spans="1:3" x14ac:dyDescent="0.25">
      <c r="A98" s="11">
        <v>75.3</v>
      </c>
      <c r="B98" s="4"/>
      <c r="C98" s="4"/>
    </row>
    <row r="99" spans="1:3" x14ac:dyDescent="0.25">
      <c r="A99" s="11">
        <v>68.099999999999994</v>
      </c>
      <c r="B99" s="4"/>
      <c r="C99" s="4"/>
    </row>
    <row r="100" spans="1:3" x14ac:dyDescent="0.25">
      <c r="A100" s="12">
        <v>63.3</v>
      </c>
      <c r="B100" s="4"/>
      <c r="C100" s="4"/>
    </row>
  </sheetData>
  <mergeCells count="3">
    <mergeCell ref="A1:H3"/>
    <mergeCell ref="J5:K5"/>
    <mergeCell ref="J16:L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77F6-F4C3-4628-862A-7298C052B87A}">
  <dimension ref="A1:P100"/>
  <sheetViews>
    <sheetView workbookViewId="0">
      <selection activeCell="M30" sqref="M30"/>
    </sheetView>
  </sheetViews>
  <sheetFormatPr defaultRowHeight="15" x14ac:dyDescent="0.25"/>
  <cols>
    <col min="1" max="1" width="13.140625" bestFit="1" customWidth="1"/>
    <col min="2" max="2" width="13.140625" customWidth="1"/>
    <col min="3" max="4" width="13.42578125" customWidth="1"/>
    <col min="5" max="5" width="13.42578125" bestFit="1" customWidth="1"/>
    <col min="6" max="6" width="10.28515625" bestFit="1" customWidth="1"/>
    <col min="10" max="10" width="17.7109375" customWidth="1"/>
    <col min="12" max="12" width="8.7109375" bestFit="1" customWidth="1"/>
    <col min="13" max="13" width="21.7109375" customWidth="1"/>
  </cols>
  <sheetData>
    <row r="1" spans="1:16" x14ac:dyDescent="0.25">
      <c r="A1" s="123" t="s">
        <v>37</v>
      </c>
      <c r="B1" s="123"/>
      <c r="C1" s="123"/>
      <c r="D1" s="123"/>
      <c r="E1" s="123"/>
      <c r="F1" s="123"/>
      <c r="G1" s="123"/>
      <c r="H1" s="123"/>
    </row>
    <row r="2" spans="1:16" x14ac:dyDescent="0.25">
      <c r="A2" s="123"/>
      <c r="B2" s="123"/>
      <c r="C2" s="123"/>
      <c r="D2" s="123"/>
      <c r="E2" s="123"/>
      <c r="F2" s="123"/>
      <c r="G2" s="123"/>
      <c r="H2" s="123"/>
    </row>
    <row r="3" spans="1:16" x14ac:dyDescent="0.25">
      <c r="A3" s="123"/>
      <c r="B3" s="123"/>
      <c r="C3" s="123"/>
      <c r="D3" s="123"/>
      <c r="E3" s="123"/>
      <c r="F3" s="123"/>
      <c r="G3" s="123"/>
      <c r="H3" s="123"/>
    </row>
    <row r="5" spans="1:16" x14ac:dyDescent="0.25">
      <c r="A5" s="46" t="s">
        <v>3</v>
      </c>
      <c r="I5" s="124" t="s">
        <v>36</v>
      </c>
      <c r="J5" s="124"/>
      <c r="M5" s="124" t="s">
        <v>43</v>
      </c>
      <c r="N5" s="124"/>
      <c r="O5" s="124"/>
      <c r="P5" s="124"/>
    </row>
    <row r="6" spans="1:16" x14ac:dyDescent="0.25">
      <c r="A6" s="2">
        <v>90.2</v>
      </c>
      <c r="B6" s="45" t="s">
        <v>55</v>
      </c>
      <c r="C6" s="3" cm="1">
        <f t="array" ref="C6:C10">_xlfn.QUARTILE.INC(A6:A100,_xlfn.SEQUENCE(5,,0,1))</f>
        <v>62.6</v>
      </c>
      <c r="I6" s="23" t="s">
        <v>32</v>
      </c>
      <c r="J6" s="22">
        <f>AVERAGE(A6:A100)</f>
        <v>80.169473684210516</v>
      </c>
      <c r="M6" s="27" t="s">
        <v>42</v>
      </c>
      <c r="N6" s="28">
        <v>1</v>
      </c>
      <c r="O6" s="28">
        <v>2</v>
      </c>
      <c r="P6" s="28">
        <v>3</v>
      </c>
    </row>
    <row r="7" spans="1:16" x14ac:dyDescent="0.25">
      <c r="A7" s="3">
        <v>92.8</v>
      </c>
      <c r="B7" s="45" t="s">
        <v>56</v>
      </c>
      <c r="C7" s="3">
        <v>76.050000000000011</v>
      </c>
      <c r="I7" s="24" t="s">
        <v>33</v>
      </c>
      <c r="J7" s="22">
        <f>MEDIAN(A6:A100)</f>
        <v>80.2</v>
      </c>
      <c r="M7" s="27" t="s">
        <v>38</v>
      </c>
      <c r="N7" s="29">
        <f>$J$6-N6*$J$8</f>
        <v>73.99869364309825</v>
      </c>
      <c r="O7" s="29">
        <f t="shared" ref="O7:P7" si="0">$J$6-O6*$J$8</f>
        <v>67.827913601985998</v>
      </c>
      <c r="P7" s="29">
        <f t="shared" si="0"/>
        <v>61.657133560873731</v>
      </c>
    </row>
    <row r="8" spans="1:16" x14ac:dyDescent="0.25">
      <c r="A8" s="3">
        <v>68.7</v>
      </c>
      <c r="B8" s="45" t="s">
        <v>33</v>
      </c>
      <c r="C8" s="3">
        <v>80.2</v>
      </c>
      <c r="I8" s="24" t="s">
        <v>34</v>
      </c>
      <c r="J8" s="22">
        <f>_xlfn.STDEV.S(A6:A100)</f>
        <v>6.1707800411122609</v>
      </c>
      <c r="M8" s="27" t="s">
        <v>39</v>
      </c>
      <c r="N8" s="29">
        <f>$J$6+N6*$J$8</f>
        <v>86.340253725322782</v>
      </c>
      <c r="O8" s="29">
        <f t="shared" ref="O8:P8" si="1">$J$6+O6*$J$8</f>
        <v>92.511033766435034</v>
      </c>
      <c r="P8" s="29">
        <f t="shared" si="1"/>
        <v>98.6818138075473</v>
      </c>
    </row>
    <row r="9" spans="1:16" x14ac:dyDescent="0.25">
      <c r="A9" s="3">
        <v>80.7</v>
      </c>
      <c r="B9" s="45" t="s">
        <v>57</v>
      </c>
      <c r="C9" s="3">
        <v>84.65</v>
      </c>
      <c r="I9" s="25" t="s">
        <v>35</v>
      </c>
      <c r="J9" s="26">
        <f>SKEW(A6:A100)</f>
        <v>-0.1206210828753851</v>
      </c>
      <c r="M9" s="57" t="s">
        <v>40</v>
      </c>
      <c r="N9" s="58">
        <v>0.68</v>
      </c>
      <c r="O9" s="58">
        <v>0.95</v>
      </c>
      <c r="P9" s="59">
        <v>0.997</v>
      </c>
    </row>
    <row r="10" spans="1:16" x14ac:dyDescent="0.25">
      <c r="A10" s="3">
        <v>74.900000000000006</v>
      </c>
      <c r="B10" s="45" t="s">
        <v>58</v>
      </c>
      <c r="C10" s="3">
        <v>96.1</v>
      </c>
      <c r="M10" s="27" t="s">
        <v>41</v>
      </c>
      <c r="N10" s="31">
        <f>COUNTIFS($A$6:$A$100,"&gt;="&amp;N7,$A$6:$A$100,"&lt;="&amp;N8)/COUNT($A$6:$A$100)</f>
        <v>0.69473684210526321</v>
      </c>
      <c r="O10" s="31">
        <f t="shared" ref="O10:P10" si="2">COUNTIFS($A$6:$A$100,"&gt;="&amp;O7,$A$6:$A$100,"&lt;="&amp;O8)/COUNT($A$6:$A$100)</f>
        <v>0.94736842105263153</v>
      </c>
      <c r="P10" s="31">
        <f t="shared" si="2"/>
        <v>1</v>
      </c>
    </row>
    <row r="11" spans="1:16" x14ac:dyDescent="0.25">
      <c r="A11" s="3">
        <v>80.7</v>
      </c>
      <c r="B11" s="4"/>
    </row>
    <row r="12" spans="1:16" x14ac:dyDescent="0.25">
      <c r="A12" s="3">
        <v>83.3</v>
      </c>
      <c r="B12" s="4"/>
    </row>
    <row r="13" spans="1:16" x14ac:dyDescent="0.25">
      <c r="A13" s="3">
        <v>88.7</v>
      </c>
      <c r="B13" s="4"/>
    </row>
    <row r="14" spans="1:16" x14ac:dyDescent="0.25">
      <c r="A14" s="3">
        <v>75.400000000000006</v>
      </c>
      <c r="B14" s="4"/>
    </row>
    <row r="15" spans="1:16" x14ac:dyDescent="0.25">
      <c r="A15" s="3">
        <v>82.1</v>
      </c>
      <c r="B15" s="4"/>
    </row>
    <row r="16" spans="1:16" x14ac:dyDescent="0.25">
      <c r="A16" s="3">
        <v>87.5</v>
      </c>
      <c r="B16" s="4"/>
      <c r="M16" s="124" t="s">
        <v>44</v>
      </c>
      <c r="N16" s="124"/>
    </row>
    <row r="17" spans="1:16" x14ac:dyDescent="0.25">
      <c r="A17" s="3">
        <v>66.900000000000006</v>
      </c>
      <c r="B17" s="4"/>
      <c r="M17" s="34" t="s">
        <v>47</v>
      </c>
      <c r="N17" s="35">
        <v>0.2</v>
      </c>
      <c r="O17" s="28"/>
      <c r="P17" s="28"/>
    </row>
    <row r="18" spans="1:16" x14ac:dyDescent="0.25">
      <c r="A18" s="3">
        <v>71.3</v>
      </c>
      <c r="B18" s="4"/>
      <c r="M18" s="27" t="s">
        <v>46</v>
      </c>
      <c r="N18" s="32">
        <f>1-N17</f>
        <v>0.8</v>
      </c>
    </row>
    <row r="19" spans="1:16" x14ac:dyDescent="0.25">
      <c r="A19" s="3">
        <v>76.8</v>
      </c>
      <c r="B19" s="4"/>
      <c r="M19" s="27" t="s">
        <v>45</v>
      </c>
      <c r="N19" s="33">
        <f>_xlfn.NORM.INV(N18,J6,J8)</f>
        <v>85.362933194518533</v>
      </c>
    </row>
    <row r="20" spans="1:16" x14ac:dyDescent="0.25">
      <c r="A20" s="3">
        <v>72.3</v>
      </c>
      <c r="B20" s="4"/>
      <c r="M20" s="27"/>
    </row>
    <row r="21" spans="1:16" x14ac:dyDescent="0.25">
      <c r="A21" s="3">
        <v>72.400000000000006</v>
      </c>
      <c r="B21" s="4"/>
      <c r="M21" s="27"/>
    </row>
    <row r="22" spans="1:16" x14ac:dyDescent="0.25">
      <c r="A22" s="3">
        <v>72</v>
      </c>
      <c r="B22" s="4"/>
      <c r="M22" s="27"/>
    </row>
    <row r="23" spans="1:16" x14ac:dyDescent="0.25">
      <c r="A23" s="3">
        <v>81</v>
      </c>
      <c r="B23" s="4"/>
    </row>
    <row r="24" spans="1:16" x14ac:dyDescent="0.25">
      <c r="A24" s="3">
        <v>96.1</v>
      </c>
      <c r="B24" s="4"/>
    </row>
    <row r="25" spans="1:16" x14ac:dyDescent="0.25">
      <c r="A25" s="3">
        <v>76.7</v>
      </c>
      <c r="B25" s="4"/>
    </row>
    <row r="26" spans="1:16" x14ac:dyDescent="0.25">
      <c r="A26" s="3">
        <v>80.3</v>
      </c>
      <c r="B26" s="4"/>
    </row>
    <row r="27" spans="1:16" x14ac:dyDescent="0.25">
      <c r="A27" s="3">
        <v>77.8</v>
      </c>
      <c r="B27" s="4"/>
    </row>
    <row r="28" spans="1:16" x14ac:dyDescent="0.25">
      <c r="A28" s="3">
        <v>62.6</v>
      </c>
      <c r="B28" s="4"/>
    </row>
    <row r="29" spans="1:16" x14ac:dyDescent="0.25">
      <c r="A29" s="3">
        <v>80.2</v>
      </c>
      <c r="B29" s="4"/>
    </row>
    <row r="30" spans="1:16" x14ac:dyDescent="0.25">
      <c r="A30" s="3">
        <v>79.099999999999994</v>
      </c>
      <c r="B30" s="4"/>
    </row>
    <row r="31" spans="1:16" x14ac:dyDescent="0.25">
      <c r="A31" s="3">
        <v>77.8</v>
      </c>
      <c r="B31" s="4"/>
    </row>
    <row r="32" spans="1:16" x14ac:dyDescent="0.25">
      <c r="A32" s="3">
        <v>75.099999999999994</v>
      </c>
      <c r="B32" s="4"/>
    </row>
    <row r="33" spans="1:2" x14ac:dyDescent="0.25">
      <c r="A33" s="3">
        <v>82.2</v>
      </c>
      <c r="B33" s="4"/>
    </row>
    <row r="34" spans="1:2" x14ac:dyDescent="0.25">
      <c r="A34" s="3">
        <v>70.5</v>
      </c>
      <c r="B34" s="4"/>
    </row>
    <row r="35" spans="1:2" x14ac:dyDescent="0.25">
      <c r="A35" s="3">
        <v>70.8</v>
      </c>
      <c r="B35" s="4"/>
    </row>
    <row r="36" spans="1:2" x14ac:dyDescent="0.25">
      <c r="A36" s="3">
        <v>87.5</v>
      </c>
      <c r="B36" s="4"/>
    </row>
    <row r="37" spans="1:2" x14ac:dyDescent="0.25">
      <c r="A37" s="3">
        <v>79.5</v>
      </c>
      <c r="B37" s="4"/>
    </row>
    <row r="38" spans="1:2" x14ac:dyDescent="0.25">
      <c r="A38" s="3">
        <v>80.8</v>
      </c>
      <c r="B38" s="4"/>
    </row>
    <row r="39" spans="1:2" x14ac:dyDescent="0.25">
      <c r="A39" s="3">
        <v>79.599999999999994</v>
      </c>
      <c r="B39" s="4"/>
    </row>
    <row r="40" spans="1:2" x14ac:dyDescent="0.25">
      <c r="A40" s="3">
        <v>88.9</v>
      </c>
      <c r="B40" s="4"/>
    </row>
    <row r="41" spans="1:2" x14ac:dyDescent="0.25">
      <c r="A41" s="3">
        <v>85.9</v>
      </c>
      <c r="B41" s="4"/>
    </row>
    <row r="42" spans="1:2" x14ac:dyDescent="0.25">
      <c r="A42" s="3">
        <v>82.3</v>
      </c>
      <c r="B42" s="4"/>
    </row>
    <row r="43" spans="1:2" x14ac:dyDescent="0.25">
      <c r="A43" s="3">
        <v>76.7</v>
      </c>
      <c r="B43" s="4"/>
    </row>
    <row r="44" spans="1:2" x14ac:dyDescent="0.25">
      <c r="A44" s="3">
        <v>79.900000000000006</v>
      </c>
      <c r="B44" s="4"/>
    </row>
    <row r="45" spans="1:2" x14ac:dyDescent="0.25">
      <c r="A45" s="3">
        <v>86.2</v>
      </c>
      <c r="B45" s="4"/>
    </row>
    <row r="46" spans="1:2" x14ac:dyDescent="0.25">
      <c r="A46" s="3">
        <v>79.2</v>
      </c>
      <c r="B46" s="4"/>
    </row>
    <row r="47" spans="1:2" x14ac:dyDescent="0.25">
      <c r="A47" s="3">
        <v>83.4</v>
      </c>
      <c r="B47" s="4"/>
    </row>
    <row r="48" spans="1:2" x14ac:dyDescent="0.25">
      <c r="A48" s="3">
        <v>85.2</v>
      </c>
      <c r="B48" s="4"/>
    </row>
    <row r="49" spans="1:2" x14ac:dyDescent="0.25">
      <c r="A49" s="3">
        <v>77.8</v>
      </c>
      <c r="B49" s="4"/>
    </row>
    <row r="50" spans="1:2" x14ac:dyDescent="0.25">
      <c r="A50" s="3">
        <v>80.2</v>
      </c>
      <c r="B50" s="4"/>
    </row>
    <row r="51" spans="1:2" x14ac:dyDescent="0.25">
      <c r="A51" s="3">
        <v>71</v>
      </c>
      <c r="B51" s="4"/>
    </row>
    <row r="52" spans="1:2" x14ac:dyDescent="0.25">
      <c r="A52" s="3">
        <v>87.2</v>
      </c>
      <c r="B52" s="4"/>
    </row>
    <row r="53" spans="1:2" x14ac:dyDescent="0.25">
      <c r="A53" s="3">
        <v>82.9</v>
      </c>
      <c r="B53" s="4"/>
    </row>
    <row r="54" spans="1:2" x14ac:dyDescent="0.25">
      <c r="A54" s="3">
        <v>73.5</v>
      </c>
      <c r="B54" s="4"/>
    </row>
    <row r="55" spans="1:2" x14ac:dyDescent="0.25">
      <c r="A55" s="3">
        <v>74.599999999999994</v>
      </c>
      <c r="B55" s="4"/>
    </row>
    <row r="56" spans="1:2" x14ac:dyDescent="0.25">
      <c r="A56" s="3">
        <v>75.099999999999994</v>
      </c>
      <c r="B56" s="4"/>
    </row>
    <row r="57" spans="1:2" x14ac:dyDescent="0.25">
      <c r="A57" s="3">
        <v>85.1</v>
      </c>
      <c r="B57" s="4"/>
    </row>
    <row r="58" spans="1:2" x14ac:dyDescent="0.25">
      <c r="A58" s="3">
        <v>74.900000000000006</v>
      </c>
      <c r="B58" s="4"/>
    </row>
    <row r="59" spans="1:2" x14ac:dyDescent="0.25">
      <c r="A59" s="3">
        <v>84.6</v>
      </c>
      <c r="B59" s="4"/>
    </row>
    <row r="60" spans="1:2" x14ac:dyDescent="0.25">
      <c r="A60" s="3">
        <v>81.7</v>
      </c>
      <c r="B60" s="4"/>
    </row>
    <row r="61" spans="1:2" x14ac:dyDescent="0.25">
      <c r="A61" s="3">
        <v>81.400000000000006</v>
      </c>
      <c r="B61" s="4"/>
    </row>
    <row r="62" spans="1:2" x14ac:dyDescent="0.25">
      <c r="A62" s="3">
        <v>83.8</v>
      </c>
      <c r="B62" s="4"/>
    </row>
    <row r="63" spans="1:2" x14ac:dyDescent="0.25">
      <c r="A63" s="3">
        <v>88.5</v>
      </c>
      <c r="B63" s="4"/>
    </row>
    <row r="64" spans="1:2" x14ac:dyDescent="0.25">
      <c r="A64" s="3">
        <v>84.9</v>
      </c>
      <c r="B64" s="4"/>
    </row>
    <row r="65" spans="1:2" x14ac:dyDescent="0.25">
      <c r="A65" s="3">
        <v>84.3</v>
      </c>
      <c r="B65" s="4"/>
    </row>
    <row r="66" spans="1:2" x14ac:dyDescent="0.25">
      <c r="A66" s="3">
        <v>78.2</v>
      </c>
      <c r="B66" s="4"/>
    </row>
    <row r="67" spans="1:2" x14ac:dyDescent="0.25">
      <c r="A67" s="3">
        <v>80</v>
      </c>
      <c r="B67" s="4"/>
    </row>
    <row r="68" spans="1:2" x14ac:dyDescent="0.25">
      <c r="A68" s="3">
        <v>74.8</v>
      </c>
      <c r="B68" s="4"/>
    </row>
    <row r="69" spans="1:2" x14ac:dyDescent="0.25">
      <c r="A69" s="3">
        <v>78.5</v>
      </c>
      <c r="B69" s="4"/>
    </row>
    <row r="70" spans="1:2" x14ac:dyDescent="0.25">
      <c r="A70" s="3">
        <v>71.8</v>
      </c>
      <c r="B70" s="4"/>
    </row>
    <row r="71" spans="1:2" x14ac:dyDescent="0.25">
      <c r="A71" s="3">
        <v>69.900000000000006</v>
      </c>
      <c r="B71" s="4"/>
    </row>
    <row r="72" spans="1:2" x14ac:dyDescent="0.25">
      <c r="A72" s="3">
        <v>82.7</v>
      </c>
      <c r="B72" s="4"/>
    </row>
    <row r="73" spans="1:2" x14ac:dyDescent="0.25">
      <c r="A73" s="3">
        <v>74</v>
      </c>
      <c r="B73" s="4"/>
    </row>
    <row r="74" spans="1:2" x14ac:dyDescent="0.25">
      <c r="A74" s="3">
        <v>84</v>
      </c>
      <c r="B74" s="4"/>
    </row>
    <row r="75" spans="1:2" x14ac:dyDescent="0.25">
      <c r="A75" s="3">
        <v>84.7</v>
      </c>
      <c r="B75" s="4"/>
    </row>
    <row r="76" spans="1:2" x14ac:dyDescent="0.25">
      <c r="A76" s="3">
        <v>78.2</v>
      </c>
      <c r="B76" s="4"/>
    </row>
    <row r="77" spans="1:2" x14ac:dyDescent="0.25">
      <c r="A77" s="3">
        <v>85</v>
      </c>
      <c r="B77" s="4"/>
    </row>
    <row r="78" spans="1:2" x14ac:dyDescent="0.25">
      <c r="A78" s="3">
        <v>80.099999999999994</v>
      </c>
      <c r="B78" s="4"/>
    </row>
    <row r="79" spans="1:2" x14ac:dyDescent="0.25">
      <c r="A79" s="3">
        <v>85.3</v>
      </c>
      <c r="B79" s="4"/>
    </row>
    <row r="80" spans="1:2" x14ac:dyDescent="0.25">
      <c r="A80" s="3">
        <v>79.7</v>
      </c>
      <c r="B80" s="4"/>
    </row>
    <row r="81" spans="1:2" x14ac:dyDescent="0.25">
      <c r="A81" s="3">
        <v>79.599999999999994</v>
      </c>
      <c r="B81" s="4"/>
    </row>
    <row r="82" spans="1:2" x14ac:dyDescent="0.25">
      <c r="A82" s="3">
        <v>78.900000000000006</v>
      </c>
      <c r="B82" s="4"/>
    </row>
    <row r="83" spans="1:2" x14ac:dyDescent="0.25">
      <c r="A83" s="3">
        <v>78.5</v>
      </c>
      <c r="B83" s="4"/>
    </row>
    <row r="84" spans="1:2" x14ac:dyDescent="0.25">
      <c r="A84" s="3">
        <v>72</v>
      </c>
      <c r="B84" s="4"/>
    </row>
    <row r="85" spans="1:2" x14ac:dyDescent="0.25">
      <c r="A85" s="3">
        <v>74.2</v>
      </c>
      <c r="B85" s="4"/>
    </row>
    <row r="86" spans="1:2" x14ac:dyDescent="0.25">
      <c r="A86" s="3">
        <v>71.7</v>
      </c>
      <c r="B86" s="4"/>
    </row>
    <row r="87" spans="1:2" x14ac:dyDescent="0.25">
      <c r="A87" s="3">
        <v>80.7</v>
      </c>
      <c r="B87" s="4"/>
    </row>
    <row r="88" spans="1:2" x14ac:dyDescent="0.25">
      <c r="A88" s="3">
        <v>84.1</v>
      </c>
      <c r="B88" s="4"/>
    </row>
    <row r="89" spans="1:2" x14ac:dyDescent="0.25">
      <c r="A89" s="3">
        <v>87.4</v>
      </c>
      <c r="B89" s="4"/>
    </row>
    <row r="90" spans="1:2" x14ac:dyDescent="0.25">
      <c r="A90" s="3">
        <v>77.400000000000006</v>
      </c>
      <c r="B90" s="4"/>
    </row>
    <row r="91" spans="1:2" x14ac:dyDescent="0.25">
      <c r="A91" s="3">
        <v>84.7</v>
      </c>
      <c r="B91" s="4"/>
    </row>
    <row r="92" spans="1:2" x14ac:dyDescent="0.25">
      <c r="A92" s="3">
        <v>78.8</v>
      </c>
      <c r="B92" s="4"/>
    </row>
    <row r="93" spans="1:2" x14ac:dyDescent="0.25">
      <c r="A93" s="3">
        <v>92.7</v>
      </c>
      <c r="B93" s="4"/>
    </row>
    <row r="94" spans="1:2" x14ac:dyDescent="0.25">
      <c r="A94" s="3">
        <v>88.8</v>
      </c>
      <c r="B94" s="4"/>
    </row>
    <row r="95" spans="1:2" x14ac:dyDescent="0.25">
      <c r="A95" s="3">
        <v>86.6</v>
      </c>
      <c r="B95" s="4"/>
    </row>
    <row r="96" spans="1:2" x14ac:dyDescent="0.25">
      <c r="A96" s="3">
        <v>77.900000000000006</v>
      </c>
      <c r="B96" s="4"/>
    </row>
    <row r="97" spans="1:2" x14ac:dyDescent="0.25">
      <c r="A97" s="3">
        <v>86.1</v>
      </c>
      <c r="B97" s="4"/>
    </row>
    <row r="98" spans="1:2" x14ac:dyDescent="0.25">
      <c r="A98" s="3">
        <v>89.9</v>
      </c>
      <c r="B98" s="4"/>
    </row>
    <row r="99" spans="1:2" x14ac:dyDescent="0.25">
      <c r="A99" s="3">
        <v>83.1</v>
      </c>
      <c r="B99" s="4"/>
    </row>
    <row r="100" spans="1:2" x14ac:dyDescent="0.25">
      <c r="A100" s="3">
        <v>82.6</v>
      </c>
      <c r="B100" s="4"/>
    </row>
  </sheetData>
  <mergeCells count="4">
    <mergeCell ref="I5:J5"/>
    <mergeCell ref="A1:H3"/>
    <mergeCell ref="M5:P5"/>
    <mergeCell ref="M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About</vt:lpstr>
      <vt:lpstr>Students Annual Salary</vt:lpstr>
      <vt:lpstr>Raw Data</vt:lpstr>
      <vt:lpstr>Interactive Scorecard</vt:lpstr>
      <vt:lpstr>Descriptive Statistics</vt:lpstr>
      <vt:lpstr>Sheet2</vt:lpstr>
      <vt:lpstr>Sheet4</vt:lpstr>
      <vt:lpstr>Distribution of Undergrad Grade</vt:lpstr>
      <vt:lpstr>Distribution of MBA Grades</vt:lpstr>
      <vt:lpstr>Annual_Salary</vt:lpstr>
      <vt:lpstr>Employability__After</vt:lpstr>
      <vt:lpstr>Employability__Before</vt:lpstr>
      <vt:lpstr>MBA_Grade</vt:lpstr>
      <vt:lpstr>Placement</vt:lpstr>
      <vt:lpstr>Raw_data</vt:lpstr>
      <vt:lpstr>Student_ID</vt:lpstr>
      <vt:lpstr>Undergrad_Degree</vt:lpstr>
      <vt:lpstr>Undergrad_Grade</vt:lpstr>
      <vt:lpstr>Work_Experience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Zaahid Allie</dc:creator>
  <cp:lastModifiedBy>Zaahid Allie</cp:lastModifiedBy>
  <dcterms:created xsi:type="dcterms:W3CDTF">2023-07-11T20:31:26Z</dcterms:created>
  <dcterms:modified xsi:type="dcterms:W3CDTF">2023-08-17T11:17:22Z</dcterms:modified>
</cp:coreProperties>
</file>