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Questa_cartella_di_lavoro" defaultThemeVersion="166925"/>
  <mc:AlternateContent xmlns:mc="http://schemas.openxmlformats.org/markup-compatibility/2006">
    <mc:Choice Requires="x15">
      <x15ac:absPath xmlns:x15ac="http://schemas.microsoft.com/office/spreadsheetml/2010/11/ac" url="/Users/danieledigrandi/Desktop/"/>
    </mc:Choice>
  </mc:AlternateContent>
  <xr:revisionPtr revIDLastSave="0" documentId="13_ncr:1_{82D20A4C-C795-134C-B3D7-4DCF1C8AF0AE}" xr6:coauthVersionLast="45" xr6:coauthVersionMax="45" xr10:uidLastSave="{00000000-0000-0000-0000-000000000000}"/>
  <bookViews>
    <workbookView xWindow="0" yWindow="460" windowWidth="28800" windowHeight="16280" activeTab="5" xr2:uid="{123AD872-BF72-FD4A-819E-A0C6C39E8AB6}"/>
  </bookViews>
  <sheets>
    <sheet name="FABRICS - retail" sheetId="1" r:id="rId1"/>
    <sheet name="FITTINGS - retail" sheetId="4" r:id="rId2"/>
    <sheet name="FURNITURE - retail" sheetId="3" r:id="rId3"/>
    <sheet name="ANALISI DOMANDA" sheetId="10" r:id="rId4"/>
    <sheet name="COMPETITORS" sheetId="13" r:id="rId5"/>
    <sheet name="PROFIT&amp;LOSS (Q0)" sheetId="9" r:id="rId6"/>
    <sheet name="PROFIT&amp;LOSS (Q0+1)" sheetId="14" r:id="rId7"/>
    <sheet name="Bilanci" sheetId="15" r:id="rId8"/>
  </sheets>
  <definedNames>
    <definedName name="solver_adj" localSheetId="3" hidden="1">'ANALISI DOMANDA'!$S$24:$S$25</definedName>
    <definedName name="solver_adj" localSheetId="0" hidden="1">'FABRICS - retail'!$B$31:$B$33</definedName>
    <definedName name="solver_adj" localSheetId="1" hidden="1">'FITTINGS - retail'!$B$31:$B$33</definedName>
    <definedName name="solver_adj" localSheetId="2" hidden="1">'FURNITURE - retail'!$B$31:$B$33</definedName>
    <definedName name="solver_adj" localSheetId="5" hidden="1">'PROFIT&amp;LOSS (Q0)'!$B$2,'PROFIT&amp;LOSS (Q0)'!$B$3,'PROFIT&amp;LOSS (Q0)'!$B$4,'PROFIT&amp;LOSS (Q0)'!$B$6,'PROFIT&amp;LOSS (Q0)'!$B$7,'PROFIT&amp;LOSS (Q0)'!$B$8</definedName>
    <definedName name="solver_adj" localSheetId="6" hidden="1">'PROFIT&amp;LOSS (Q0+1)'!$B$2,'PROFIT&amp;LOSS (Q0+1)'!$B$3,'PROFIT&amp;LOSS (Q0+1)'!$B$4,'PROFIT&amp;LOSS (Q0+1)'!$B$6,'PROFIT&amp;LOSS (Q0+1)'!$B$7,'PROFIT&amp;LOSS (Q0+1)'!$B$8</definedName>
    <definedName name="solver_cvg" localSheetId="3" hidden="1">0.0001</definedName>
    <definedName name="solver_cvg" localSheetId="0" hidden="1">0.0001</definedName>
    <definedName name="solver_cvg" localSheetId="1" hidden="1">0.0001</definedName>
    <definedName name="solver_cvg" localSheetId="2" hidden="1">0.0001</definedName>
    <definedName name="solver_cvg" localSheetId="5" hidden="1">0.0001</definedName>
    <definedName name="solver_cvg" localSheetId="6" hidden="1">0.0001</definedName>
    <definedName name="solver_drv" localSheetId="3" hidden="1">1</definedName>
    <definedName name="solver_drv" localSheetId="0" hidden="1">1</definedName>
    <definedName name="solver_drv" localSheetId="1" hidden="1">1</definedName>
    <definedName name="solver_drv" localSheetId="2" hidden="1">1</definedName>
    <definedName name="solver_drv" localSheetId="5" hidden="1">1</definedName>
    <definedName name="solver_drv" localSheetId="6" hidden="1">1</definedName>
    <definedName name="solver_eng" localSheetId="3" hidden="1">1</definedName>
    <definedName name="solver_eng" localSheetId="0" hidden="1">1</definedName>
    <definedName name="solver_eng" localSheetId="1" hidden="1">1</definedName>
    <definedName name="solver_eng" localSheetId="2" hidden="1">1</definedName>
    <definedName name="solver_eng" localSheetId="5" hidden="1">1</definedName>
    <definedName name="solver_eng" localSheetId="6" hidden="1">1</definedName>
    <definedName name="solver_itr" localSheetId="3" hidden="1">2147483647</definedName>
    <definedName name="solver_itr" localSheetId="0" hidden="1">2147483647</definedName>
    <definedName name="solver_itr" localSheetId="1" hidden="1">2147483647</definedName>
    <definedName name="solver_itr" localSheetId="2" hidden="1">2147483647</definedName>
    <definedName name="solver_itr" localSheetId="5" hidden="1">2147483647</definedName>
    <definedName name="solver_itr" localSheetId="6" hidden="1">2147483647</definedName>
    <definedName name="solver_lhs1" localSheetId="3" hidden="1">'ANALISI DOMANDA'!$S$24</definedName>
    <definedName name="solver_lhs1" localSheetId="0" hidden="1">'FABRICS - retail'!$B$31:$B$33</definedName>
    <definedName name="solver_lhs1" localSheetId="1" hidden="1">'FITTINGS - retail'!$B$31:$B$33</definedName>
    <definedName name="solver_lhs1" localSheetId="2" hidden="1">'FURNITURE - retail'!$B$31:$B$33</definedName>
    <definedName name="solver_lhs1" localSheetId="5" hidden="1">'PROFIT&amp;LOSS (Q0)'!$K$26</definedName>
    <definedName name="solver_lhs1" localSheetId="6" hidden="1">'PROFIT&amp;LOSS (Q0+1)'!$K$26</definedName>
    <definedName name="solver_lhs2" localSheetId="3" hidden="1">'ANALISI DOMANDA'!$S$24</definedName>
    <definedName name="solver_lhs2" localSheetId="0" hidden="1">'FABRICS - retail'!$B$31:$B$33</definedName>
    <definedName name="solver_lhs2" localSheetId="1" hidden="1">'FITTINGS - retail'!$B$31:$B$33</definedName>
    <definedName name="solver_lhs2" localSheetId="2" hidden="1">'FURNITURE - retail'!$B$31:$B$33</definedName>
    <definedName name="solver_lhs2" localSheetId="5" hidden="1">'PROFIT&amp;LOSS (Q0)'!$K$41</definedName>
    <definedName name="solver_lhs2" localSheetId="6" hidden="1">'PROFIT&amp;LOSS (Q0+1)'!$K$41</definedName>
    <definedName name="solver_lhs3" localSheetId="3" hidden="1">'ANALISI DOMANDA'!$S$25</definedName>
    <definedName name="solver_lhs4" localSheetId="3" hidden="1">'ANALISI DOMANDA'!$S$25</definedName>
    <definedName name="solver_lin" localSheetId="3" hidden="1">2</definedName>
    <definedName name="solver_lin" localSheetId="0" hidden="1">2</definedName>
    <definedName name="solver_lin" localSheetId="1" hidden="1">2</definedName>
    <definedName name="solver_lin" localSheetId="2" hidden="1">2</definedName>
    <definedName name="solver_lin" localSheetId="5" hidden="1">2</definedName>
    <definedName name="solver_lin" localSheetId="6" hidden="1">2</definedName>
    <definedName name="solver_mip" localSheetId="3" hidden="1">2147483647</definedName>
    <definedName name="solver_mip" localSheetId="0" hidden="1">2147483647</definedName>
    <definedName name="solver_mip" localSheetId="1" hidden="1">2147483647</definedName>
    <definedName name="solver_mip" localSheetId="2" hidden="1">2147483647</definedName>
    <definedName name="solver_mip" localSheetId="5" hidden="1">2147483647</definedName>
    <definedName name="solver_mip" localSheetId="6" hidden="1">2147483647</definedName>
    <definedName name="solver_mni" localSheetId="3" hidden="1">30</definedName>
    <definedName name="solver_mni" localSheetId="0" hidden="1">30</definedName>
    <definedName name="solver_mni" localSheetId="1" hidden="1">30</definedName>
    <definedName name="solver_mni" localSheetId="2" hidden="1">30</definedName>
    <definedName name="solver_mni" localSheetId="5" hidden="1">30</definedName>
    <definedName name="solver_mni" localSheetId="6" hidden="1">30</definedName>
    <definedName name="solver_mrt" localSheetId="3" hidden="1">0.075</definedName>
    <definedName name="solver_mrt" localSheetId="0" hidden="1">0.075</definedName>
    <definedName name="solver_mrt" localSheetId="1" hidden="1">0.075</definedName>
    <definedName name="solver_mrt" localSheetId="2" hidden="1">0.075</definedName>
    <definedName name="solver_mrt" localSheetId="5" hidden="1">0.075</definedName>
    <definedName name="solver_mrt" localSheetId="6" hidden="1">0.075</definedName>
    <definedName name="solver_msl" localSheetId="3" hidden="1">2</definedName>
    <definedName name="solver_msl" localSheetId="0" hidden="1">2</definedName>
    <definedName name="solver_msl" localSheetId="1" hidden="1">2</definedName>
    <definedName name="solver_msl" localSheetId="2" hidden="1">2</definedName>
    <definedName name="solver_msl" localSheetId="5" hidden="1">2</definedName>
    <definedName name="solver_msl" localSheetId="6" hidden="1">2</definedName>
    <definedName name="solver_neg" localSheetId="3" hidden="1">1</definedName>
    <definedName name="solver_neg" localSheetId="0" hidden="1">1</definedName>
    <definedName name="solver_neg" localSheetId="1" hidden="1">1</definedName>
    <definedName name="solver_neg" localSheetId="2" hidden="1">1</definedName>
    <definedName name="solver_neg" localSheetId="5" hidden="1">1</definedName>
    <definedName name="solver_neg" localSheetId="6" hidden="1">1</definedName>
    <definedName name="solver_nod" localSheetId="3" hidden="1">2147483647</definedName>
    <definedName name="solver_nod" localSheetId="0" hidden="1">2147483647</definedName>
    <definedName name="solver_nod" localSheetId="1" hidden="1">2147483647</definedName>
    <definedName name="solver_nod" localSheetId="2" hidden="1">2147483647</definedName>
    <definedName name="solver_nod" localSheetId="5" hidden="1">2147483647</definedName>
    <definedName name="solver_nod" localSheetId="6" hidden="1">2147483647</definedName>
    <definedName name="solver_num" localSheetId="3" hidden="1">4</definedName>
    <definedName name="solver_num" localSheetId="0" hidden="1">2</definedName>
    <definedName name="solver_num" localSheetId="1" hidden="1">2</definedName>
    <definedName name="solver_num" localSheetId="2" hidden="1">2</definedName>
    <definedName name="solver_num" localSheetId="5" hidden="1">2</definedName>
    <definedName name="solver_num" localSheetId="6" hidden="1">2</definedName>
    <definedName name="solver_opt" localSheetId="3" hidden="1">'ANALISI DOMANDA'!$B$28</definedName>
    <definedName name="solver_opt" localSheetId="0" hidden="1">'FABRICS - retail'!$B$34</definedName>
    <definedName name="solver_opt" localSheetId="1" hidden="1">'FITTINGS - retail'!$B$34</definedName>
    <definedName name="solver_opt" localSheetId="2" hidden="1">'FURNITURE - retail'!$B$34</definedName>
    <definedName name="solver_opt" localSheetId="5" hidden="1">'PROFIT&amp;LOSS (Q0)'!$K$22</definedName>
    <definedName name="solver_opt" localSheetId="6" hidden="1">'PROFIT&amp;LOSS (Q0+1)'!$K$22</definedName>
    <definedName name="solver_pre" localSheetId="3" hidden="1">0.000001</definedName>
    <definedName name="solver_pre" localSheetId="0" hidden="1">0.000001</definedName>
    <definedName name="solver_pre" localSheetId="1" hidden="1">0.000001</definedName>
    <definedName name="solver_pre" localSheetId="2" hidden="1">0.000001</definedName>
    <definedName name="solver_pre" localSheetId="5" hidden="1">0.000001</definedName>
    <definedName name="solver_pre" localSheetId="6" hidden="1">0.000001</definedName>
    <definedName name="solver_rbv" localSheetId="3" hidden="1">1</definedName>
    <definedName name="solver_rbv" localSheetId="0" hidden="1">1</definedName>
    <definedName name="solver_rbv" localSheetId="1" hidden="1">1</definedName>
    <definedName name="solver_rbv" localSheetId="2" hidden="1">1</definedName>
    <definedName name="solver_rbv" localSheetId="5" hidden="1">1</definedName>
    <definedName name="solver_rbv" localSheetId="6" hidden="1">1</definedName>
    <definedName name="solver_rel1" localSheetId="3" hidden="1">1</definedName>
    <definedName name="solver_rel1" localSheetId="0" hidden="1">1</definedName>
    <definedName name="solver_rel1" localSheetId="1" hidden="1">1</definedName>
    <definedName name="solver_rel1" localSheetId="2" hidden="1">1</definedName>
    <definedName name="solver_rel1" localSheetId="5" hidden="1">1</definedName>
    <definedName name="solver_rel1" localSheetId="6" hidden="1">1</definedName>
    <definedName name="solver_rel2" localSheetId="3" hidden="1">3</definedName>
    <definedName name="solver_rel2" localSheetId="0" hidden="1">3</definedName>
    <definedName name="solver_rel2" localSheetId="1" hidden="1">3</definedName>
    <definedName name="solver_rel2" localSheetId="2" hidden="1">3</definedName>
    <definedName name="solver_rel2" localSheetId="5" hidden="1">1</definedName>
    <definedName name="solver_rel2" localSheetId="6" hidden="1">1</definedName>
    <definedName name="solver_rel3" localSheetId="3" hidden="1">1</definedName>
    <definedName name="solver_rel4" localSheetId="3" hidden="1">3</definedName>
    <definedName name="solver_rhs1" localSheetId="3" hidden="1">1</definedName>
    <definedName name="solver_rhs1" localSheetId="0" hidden="1">1</definedName>
    <definedName name="solver_rhs1" localSheetId="1" hidden="1">1</definedName>
    <definedName name="solver_rhs1" localSheetId="2" hidden="1">1</definedName>
    <definedName name="solver_rhs1" localSheetId="5" hidden="1">'PROFIT&amp;LOSS (Q0)'!$K$25</definedName>
    <definedName name="solver_rhs1" localSheetId="6" hidden="1">'PROFIT&amp;LOSS (Q0+1)'!$K$25</definedName>
    <definedName name="solver_rhs2" localSheetId="3" hidden="1">0</definedName>
    <definedName name="solver_rhs2" localSheetId="0" hidden="1">0</definedName>
    <definedName name="solver_rhs2" localSheetId="1" hidden="1">0</definedName>
    <definedName name="solver_rhs2" localSheetId="2" hidden="1">0</definedName>
    <definedName name="solver_rhs2" localSheetId="5" hidden="1">'PROFIT&amp;LOSS (Q0)'!$K$30</definedName>
    <definedName name="solver_rhs2" localSheetId="6" hidden="1">'PROFIT&amp;LOSS (Q0+1)'!$K$30</definedName>
    <definedName name="solver_rhs3" localSheetId="3" hidden="1">1</definedName>
    <definedName name="solver_rhs4" localSheetId="3" hidden="1">0</definedName>
    <definedName name="solver_rlx" localSheetId="3" hidden="1">2</definedName>
    <definedName name="solver_rlx" localSheetId="0" hidden="1">1</definedName>
    <definedName name="solver_rlx" localSheetId="1" hidden="1">1</definedName>
    <definedName name="solver_rlx" localSheetId="2" hidden="1">1</definedName>
    <definedName name="solver_rlx" localSheetId="5" hidden="1">1</definedName>
    <definedName name="solver_rlx" localSheetId="6" hidden="1">1</definedName>
    <definedName name="solver_rsd" localSheetId="3" hidden="1">0</definedName>
    <definedName name="solver_rsd" localSheetId="0" hidden="1">0</definedName>
    <definedName name="solver_rsd" localSheetId="1" hidden="1">0</definedName>
    <definedName name="solver_rsd" localSheetId="2" hidden="1">0</definedName>
    <definedName name="solver_rsd" localSheetId="5" hidden="1">0</definedName>
    <definedName name="solver_rsd" localSheetId="6" hidden="1">0</definedName>
    <definedName name="solver_scl" localSheetId="3" hidden="1">1</definedName>
    <definedName name="solver_scl" localSheetId="0" hidden="1">2</definedName>
    <definedName name="solver_scl" localSheetId="1" hidden="1">2</definedName>
    <definedName name="solver_scl" localSheetId="2" hidden="1">2</definedName>
    <definedName name="solver_scl" localSheetId="5" hidden="1">2</definedName>
    <definedName name="solver_scl" localSheetId="6" hidden="1">2</definedName>
    <definedName name="solver_sho" localSheetId="3" hidden="1">2</definedName>
    <definedName name="solver_sho" localSheetId="0" hidden="1">2</definedName>
    <definedName name="solver_sho" localSheetId="1" hidden="1">2</definedName>
    <definedName name="solver_sho" localSheetId="2" hidden="1">2</definedName>
    <definedName name="solver_sho" localSheetId="5" hidden="1">2</definedName>
    <definedName name="solver_sho" localSheetId="6" hidden="1">2</definedName>
    <definedName name="solver_ssz" localSheetId="3" hidden="1">100</definedName>
    <definedName name="solver_ssz" localSheetId="0" hidden="1">100</definedName>
    <definedName name="solver_ssz" localSheetId="1" hidden="1">100</definedName>
    <definedName name="solver_ssz" localSheetId="2" hidden="1">100</definedName>
    <definedName name="solver_ssz" localSheetId="5" hidden="1">100</definedName>
    <definedName name="solver_ssz" localSheetId="6" hidden="1">100</definedName>
    <definedName name="solver_tim" localSheetId="3" hidden="1">2147483647</definedName>
    <definedName name="solver_tim" localSheetId="0" hidden="1">2147483647</definedName>
    <definedName name="solver_tim" localSheetId="1" hidden="1">2147483647</definedName>
    <definedName name="solver_tim" localSheetId="2" hidden="1">2147483647</definedName>
    <definedName name="solver_tim" localSheetId="5" hidden="1">2147483647</definedName>
    <definedName name="solver_tim" localSheetId="6" hidden="1">2147483647</definedName>
    <definedName name="solver_tol" localSheetId="3" hidden="1">0.01</definedName>
    <definedName name="solver_tol" localSheetId="0" hidden="1">0.01</definedName>
    <definedName name="solver_tol" localSheetId="1" hidden="1">0.01</definedName>
    <definedName name="solver_tol" localSheetId="2" hidden="1">0.01</definedName>
    <definedName name="solver_tol" localSheetId="5" hidden="1">0.01</definedName>
    <definedName name="solver_tol" localSheetId="6" hidden="1">0.01</definedName>
    <definedName name="solver_typ" localSheetId="3" hidden="1">3</definedName>
    <definedName name="solver_typ" localSheetId="0" hidden="1">2</definedName>
    <definedName name="solver_typ" localSheetId="1" hidden="1">2</definedName>
    <definedName name="solver_typ" localSheetId="2" hidden="1">2</definedName>
    <definedName name="solver_typ" localSheetId="5" hidden="1">1</definedName>
    <definedName name="solver_typ" localSheetId="6" hidden="1">1</definedName>
    <definedName name="solver_val" localSheetId="3" hidden="1">0</definedName>
    <definedName name="solver_val" localSheetId="0" hidden="1">0</definedName>
    <definedName name="solver_val" localSheetId="1" hidden="1">0</definedName>
    <definedName name="solver_val" localSheetId="2" hidden="1">0</definedName>
    <definedName name="solver_val" localSheetId="5" hidden="1">0</definedName>
    <definedName name="solver_val" localSheetId="6" hidden="1">0</definedName>
    <definedName name="solver_ver" localSheetId="3" hidden="1">2</definedName>
    <definedName name="solver_ver" localSheetId="0" hidden="1">2</definedName>
    <definedName name="solver_ver" localSheetId="1" hidden="1">2</definedName>
    <definedName name="solver_ver" localSheetId="2" hidden="1">2</definedName>
    <definedName name="solver_ver" localSheetId="5" hidden="1">2</definedName>
    <definedName name="solver_ver" localSheetId="6"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2" i="13" l="1"/>
  <c r="Q36" i="13"/>
  <c r="P36" i="13"/>
  <c r="P37" i="13"/>
  <c r="Q37" i="13"/>
  <c r="P38" i="13"/>
  <c r="Q38" i="13"/>
  <c r="P39" i="13"/>
  <c r="Q39" i="13"/>
  <c r="P40" i="13"/>
  <c r="Q40" i="13"/>
  <c r="P41" i="13"/>
  <c r="Q41" i="13"/>
  <c r="N37" i="13"/>
  <c r="N38" i="13"/>
  <c r="N39" i="13"/>
  <c r="N40" i="13"/>
  <c r="N41" i="13"/>
  <c r="N36" i="13"/>
  <c r="M37" i="13"/>
  <c r="M38" i="13"/>
  <c r="M39" i="13"/>
  <c r="M40" i="13"/>
  <c r="M41" i="13"/>
  <c r="M36" i="13"/>
  <c r="Z41" i="13"/>
  <c r="K30" i="9"/>
  <c r="G45" i="9"/>
  <c r="G37" i="9"/>
  <c r="B35" i="1"/>
  <c r="B34" i="1"/>
  <c r="F51" i="1"/>
  <c r="AQ95" i="15" l="1"/>
  <c r="AQ96" i="15"/>
  <c r="AQ97" i="15"/>
  <c r="AQ98" i="15"/>
  <c r="AQ99" i="15"/>
  <c r="AQ94" i="15"/>
  <c r="AQ87" i="15"/>
  <c r="AQ88" i="15"/>
  <c r="AQ89" i="15"/>
  <c r="AQ90" i="15"/>
  <c r="AQ91" i="15"/>
  <c r="AQ86" i="15"/>
  <c r="AQ79" i="15"/>
  <c r="AQ80" i="15"/>
  <c r="AQ81" i="15"/>
  <c r="AQ82" i="15"/>
  <c r="AQ83" i="15"/>
  <c r="AQ78" i="15"/>
  <c r="AB37" i="13" l="1"/>
  <c r="AB38" i="13"/>
  <c r="AB39" i="13"/>
  <c r="AB40" i="13"/>
  <c r="AB41" i="13"/>
  <c r="AB36" i="13"/>
  <c r="AA37" i="13"/>
  <c r="AA38" i="13"/>
  <c r="AC38" i="13" s="1"/>
  <c r="AA39" i="13"/>
  <c r="AA40" i="13"/>
  <c r="AA41" i="13"/>
  <c r="AA36" i="13"/>
  <c r="AA28" i="13"/>
  <c r="X42" i="13"/>
  <c r="V42" i="13"/>
  <c r="T42" i="13"/>
  <c r="S42" i="13"/>
  <c r="H42" i="13"/>
  <c r="G42" i="13"/>
  <c r="F42" i="13"/>
  <c r="E42" i="13"/>
  <c r="C42" i="13"/>
  <c r="W41" i="13"/>
  <c r="U41" i="13"/>
  <c r="K41" i="13"/>
  <c r="J41" i="13"/>
  <c r="I41" i="13"/>
  <c r="W40" i="13"/>
  <c r="U40" i="13"/>
  <c r="K40" i="13"/>
  <c r="J40" i="13"/>
  <c r="I40" i="13"/>
  <c r="W39" i="13"/>
  <c r="U39" i="13"/>
  <c r="K39" i="13"/>
  <c r="J39" i="13"/>
  <c r="I39" i="13"/>
  <c r="W38" i="13"/>
  <c r="U38" i="13"/>
  <c r="K38" i="13"/>
  <c r="J38" i="13"/>
  <c r="I38" i="13"/>
  <c r="W37" i="13"/>
  <c r="U37" i="13"/>
  <c r="K37" i="13"/>
  <c r="J37" i="13"/>
  <c r="I37" i="13"/>
  <c r="W36" i="13"/>
  <c r="U36" i="13"/>
  <c r="K36" i="13"/>
  <c r="J36" i="13"/>
  <c r="I36" i="13"/>
  <c r="U42" i="13" l="1"/>
  <c r="O40" i="13"/>
  <c r="O38" i="13"/>
  <c r="O39" i="13"/>
  <c r="O37" i="13"/>
  <c r="O41" i="13"/>
  <c r="O36" i="13"/>
  <c r="I42" i="13"/>
  <c r="L36" i="13"/>
  <c r="L40" i="13"/>
  <c r="K42" i="13"/>
  <c r="J42" i="13"/>
  <c r="AC36" i="13"/>
  <c r="AC39" i="13"/>
  <c r="AC41" i="13"/>
  <c r="W42" i="13"/>
  <c r="AC40" i="13"/>
  <c r="AC37" i="13"/>
  <c r="L39" i="13"/>
  <c r="L38" i="13"/>
  <c r="L37" i="13"/>
  <c r="L41" i="13"/>
  <c r="AQ71" i="15"/>
  <c r="AQ72" i="15"/>
  <c r="AQ73" i="15"/>
  <c r="AQ74" i="15"/>
  <c r="AQ75" i="15"/>
  <c r="AQ70" i="15"/>
  <c r="AQ46" i="15"/>
  <c r="AQ67" i="15"/>
  <c r="AQ66" i="15"/>
  <c r="AQ65" i="15"/>
  <c r="AQ64" i="15"/>
  <c r="AQ63" i="15"/>
  <c r="AQ62" i="15"/>
  <c r="AQ38" i="15"/>
  <c r="R37" i="13" l="1"/>
  <c r="R41" i="13"/>
  <c r="R38" i="13"/>
  <c r="R40" i="13"/>
  <c r="R39" i="13"/>
  <c r="R36" i="13"/>
  <c r="L42" i="13"/>
  <c r="W19" i="10"/>
  <c r="W20" i="10"/>
  <c r="W18" i="10"/>
  <c r="BB7" i="15" l="1"/>
  <c r="BB8" i="15"/>
  <c r="BB9" i="15"/>
  <c r="BB10" i="15"/>
  <c r="BB11" i="15"/>
  <c r="BB6" i="15"/>
  <c r="BA7" i="15"/>
  <c r="BA8" i="15"/>
  <c r="BA9" i="15"/>
  <c r="BA10" i="15"/>
  <c r="BA11" i="15"/>
  <c r="BA6" i="15"/>
  <c r="AZ7" i="15"/>
  <c r="AZ8" i="15"/>
  <c r="AZ9" i="15"/>
  <c r="AZ10" i="15"/>
  <c r="AZ11" i="15"/>
  <c r="AZ6" i="15"/>
  <c r="AY7" i="15"/>
  <c r="AY8" i="15"/>
  <c r="AY9" i="15"/>
  <c r="AY10" i="15"/>
  <c r="AY11" i="15"/>
  <c r="AY6" i="15"/>
  <c r="AX7" i="15"/>
  <c r="AX8" i="15"/>
  <c r="AX9" i="15"/>
  <c r="AX10" i="15"/>
  <c r="AX11" i="15"/>
  <c r="AX6" i="15"/>
  <c r="AW7" i="15"/>
  <c r="AW8" i="15"/>
  <c r="AW9" i="15"/>
  <c r="AW10" i="15"/>
  <c r="AW11" i="15"/>
  <c r="AW6" i="15"/>
  <c r="AV6" i="15"/>
  <c r="AV7" i="15"/>
  <c r="AV8" i="15"/>
  <c r="AV9" i="15"/>
  <c r="AV10" i="15"/>
  <c r="AV11" i="15"/>
  <c r="AU7" i="15"/>
  <c r="AU8" i="15"/>
  <c r="AU9" i="15"/>
  <c r="AU10" i="15"/>
  <c r="AU11" i="15"/>
  <c r="AU6" i="15"/>
  <c r="AQ7" i="15"/>
  <c r="AQ6" i="15"/>
  <c r="AQ47" i="15"/>
  <c r="AQ48" i="15"/>
  <c r="AQ49" i="15"/>
  <c r="AQ50" i="15"/>
  <c r="AQ51" i="15"/>
  <c r="AQ39" i="15"/>
  <c r="AQ40" i="15"/>
  <c r="AQ41" i="15"/>
  <c r="AQ42" i="15"/>
  <c r="AQ43" i="15"/>
  <c r="AQ31" i="15"/>
  <c r="AQ32" i="15"/>
  <c r="AQ33" i="15"/>
  <c r="AQ34" i="15"/>
  <c r="AQ35" i="15"/>
  <c r="AQ30" i="15"/>
  <c r="AQ23" i="15"/>
  <c r="AQ24" i="15"/>
  <c r="AQ25" i="15"/>
  <c r="AQ26" i="15"/>
  <c r="AQ27" i="15"/>
  <c r="AQ22" i="15"/>
  <c r="AQ15" i="15"/>
  <c r="AQ16" i="15"/>
  <c r="AQ17" i="15"/>
  <c r="AQ18" i="15"/>
  <c r="AQ19" i="15"/>
  <c r="AQ14" i="15"/>
  <c r="AQ8" i="15"/>
  <c r="AQ9" i="15"/>
  <c r="AQ10" i="15"/>
  <c r="AQ11" i="15"/>
  <c r="AQ54" i="15" l="1"/>
  <c r="AQ57" i="15"/>
  <c r="AQ58" i="15"/>
  <c r="AQ56" i="15"/>
  <c r="AQ59" i="15"/>
  <c r="AQ55" i="15"/>
  <c r="B48" i="3"/>
  <c r="B48" i="1"/>
  <c r="B48" i="4"/>
  <c r="E45" i="3"/>
  <c r="D45" i="3"/>
  <c r="E44" i="3"/>
  <c r="E43" i="3"/>
  <c r="E42" i="3"/>
  <c r="E45" i="4"/>
  <c r="D45" i="4"/>
  <c r="E44" i="4"/>
  <c r="E43" i="4"/>
  <c r="E42" i="4"/>
  <c r="D45" i="1"/>
  <c r="E43" i="1"/>
  <c r="E44" i="1"/>
  <c r="E45" i="1"/>
  <c r="E42" i="1"/>
  <c r="W33" i="13" l="1"/>
  <c r="M50" i="10"/>
  <c r="M49" i="10"/>
  <c r="M48" i="10"/>
  <c r="W25" i="13"/>
  <c r="F94" i="9" l="1"/>
  <c r="AA29" i="13" l="1"/>
  <c r="AA30" i="13"/>
  <c r="AA31" i="13"/>
  <c r="AA32" i="13"/>
  <c r="AA33" i="13"/>
  <c r="AA20" i="13"/>
  <c r="AA13" i="13" l="1"/>
  <c r="AA14" i="13"/>
  <c r="AA15" i="13"/>
  <c r="AA16" i="13"/>
  <c r="AA17" i="13"/>
  <c r="AA21" i="13"/>
  <c r="AA22" i="13"/>
  <c r="AA23" i="13"/>
  <c r="AA24" i="13"/>
  <c r="AA25" i="13"/>
  <c r="AA12" i="13"/>
  <c r="AA4" i="13"/>
  <c r="AA5" i="13"/>
  <c r="AA6" i="13"/>
  <c r="AA7" i="13"/>
  <c r="AA8" i="13"/>
  <c r="AA9" i="13"/>
  <c r="AB4" i="13"/>
  <c r="AB5" i="13"/>
  <c r="AB6" i="13"/>
  <c r="AB7" i="13"/>
  <c r="AC7" i="13" s="1"/>
  <c r="AB8" i="13"/>
  <c r="AC8" i="13" s="1"/>
  <c r="AB9" i="13"/>
  <c r="AC6" i="13" l="1"/>
  <c r="AC9" i="13"/>
  <c r="AC5" i="13"/>
  <c r="AC4" i="13"/>
  <c r="V34" i="13"/>
  <c r="T34" i="13"/>
  <c r="S34" i="13"/>
  <c r="H34" i="13"/>
  <c r="O29" i="13" s="1"/>
  <c r="G34" i="13"/>
  <c r="N28" i="13" s="1"/>
  <c r="F34" i="13"/>
  <c r="M30" i="13" s="1"/>
  <c r="E34" i="13"/>
  <c r="D34" i="13"/>
  <c r="C34" i="13"/>
  <c r="U33" i="13"/>
  <c r="K33" i="13"/>
  <c r="J33" i="13"/>
  <c r="I33" i="13"/>
  <c r="W32" i="13"/>
  <c r="U32" i="13"/>
  <c r="K32" i="13"/>
  <c r="J32" i="13"/>
  <c r="I32" i="13"/>
  <c r="W31" i="13"/>
  <c r="U31" i="13"/>
  <c r="K31" i="13"/>
  <c r="J31" i="13"/>
  <c r="I31" i="13"/>
  <c r="W30" i="13"/>
  <c r="U30" i="13"/>
  <c r="K30" i="13"/>
  <c r="J30" i="13"/>
  <c r="I30" i="13"/>
  <c r="W29" i="13"/>
  <c r="U29" i="13"/>
  <c r="K29" i="13"/>
  <c r="J29" i="13"/>
  <c r="I29" i="13"/>
  <c r="W28" i="13"/>
  <c r="U28" i="13"/>
  <c r="K28" i="13"/>
  <c r="J28" i="13"/>
  <c r="I28" i="13"/>
  <c r="U34" i="13" l="1"/>
  <c r="O33" i="13"/>
  <c r="N31" i="13"/>
  <c r="N29" i="13"/>
  <c r="I34" i="13"/>
  <c r="P33" i="13" s="1"/>
  <c r="W34" i="13"/>
  <c r="N33" i="13"/>
  <c r="M31" i="13"/>
  <c r="O30" i="13"/>
  <c r="M29" i="13"/>
  <c r="J34" i="13"/>
  <c r="Q31" i="13" s="1"/>
  <c r="O28" i="13"/>
  <c r="M33" i="13"/>
  <c r="O32" i="13"/>
  <c r="N30" i="13"/>
  <c r="N32" i="13"/>
  <c r="M28" i="13"/>
  <c r="M32" i="13"/>
  <c r="O31" i="13"/>
  <c r="K34" i="13"/>
  <c r="R28" i="13" s="1"/>
  <c r="L28" i="13"/>
  <c r="L29" i="13"/>
  <c r="L30" i="13"/>
  <c r="L31" i="13"/>
  <c r="L32" i="13"/>
  <c r="L33" i="13"/>
  <c r="Q72" i="15"/>
  <c r="V64" i="15" s="1"/>
  <c r="N72" i="15"/>
  <c r="V53" i="15" s="1"/>
  <c r="K72" i="15"/>
  <c r="V42" i="15" s="1"/>
  <c r="H72" i="15"/>
  <c r="V31" i="15" s="1"/>
  <c r="E72" i="15"/>
  <c r="V19" i="15" s="1"/>
  <c r="B72" i="15"/>
  <c r="V8" i="15" s="1"/>
  <c r="Q50" i="15"/>
  <c r="N50" i="15"/>
  <c r="K50" i="15"/>
  <c r="H50" i="15"/>
  <c r="E50" i="15"/>
  <c r="B50" i="15"/>
  <c r="Q47" i="15"/>
  <c r="Q75" i="15" s="1"/>
  <c r="V67" i="15" s="1"/>
  <c r="N47" i="15"/>
  <c r="N75" i="15" s="1"/>
  <c r="V56" i="15" s="1"/>
  <c r="K47" i="15"/>
  <c r="K75" i="15" s="1"/>
  <c r="V45" i="15" s="1"/>
  <c r="H47" i="15"/>
  <c r="H75" i="15" s="1"/>
  <c r="V34" i="15" s="1"/>
  <c r="E47" i="15"/>
  <c r="E75" i="15" s="1"/>
  <c r="V22" i="15" s="1"/>
  <c r="B47" i="15"/>
  <c r="B75" i="15" s="1"/>
  <c r="V11" i="15" s="1"/>
  <c r="Q40" i="15"/>
  <c r="N40" i="15"/>
  <c r="N76" i="15" s="1"/>
  <c r="V57" i="15" s="1"/>
  <c r="K40" i="15"/>
  <c r="H40" i="15"/>
  <c r="E40" i="15"/>
  <c r="B40" i="15"/>
  <c r="Q35" i="15"/>
  <c r="N35" i="15"/>
  <c r="K35" i="15"/>
  <c r="H35" i="15"/>
  <c r="E35" i="15"/>
  <c r="B35" i="15"/>
  <c r="Q29" i="15"/>
  <c r="N29" i="15"/>
  <c r="N74" i="15" s="1"/>
  <c r="V55" i="15" s="1"/>
  <c r="K29" i="15"/>
  <c r="K74" i="15" s="1"/>
  <c r="V44" i="15" s="1"/>
  <c r="H29" i="15"/>
  <c r="E29" i="15"/>
  <c r="B29" i="15"/>
  <c r="B74" i="15" s="1"/>
  <c r="V10" i="15" s="1"/>
  <c r="Q13" i="15"/>
  <c r="Q23" i="15" s="1"/>
  <c r="N13" i="15"/>
  <c r="N23" i="15" s="1"/>
  <c r="N70" i="15" s="1"/>
  <c r="V51" i="15" s="1"/>
  <c r="K13" i="15"/>
  <c r="K23" i="15" s="1"/>
  <c r="H13" i="15"/>
  <c r="H23" i="15" s="1"/>
  <c r="E13" i="15"/>
  <c r="E23" i="15" s="1"/>
  <c r="B13" i="15"/>
  <c r="B23" i="15" s="1"/>
  <c r="B70" i="15" s="1"/>
  <c r="V6" i="15" s="1"/>
  <c r="P29" i="13" l="1"/>
  <c r="P32" i="13"/>
  <c r="R33" i="13"/>
  <c r="P28" i="13"/>
  <c r="R31" i="13"/>
  <c r="P30" i="13"/>
  <c r="Q76" i="15"/>
  <c r="V68" i="15" s="1"/>
  <c r="Q69" i="15"/>
  <c r="V61" i="15" s="1"/>
  <c r="Q74" i="15"/>
  <c r="V66" i="15" s="1"/>
  <c r="K76" i="15"/>
  <c r="V46" i="15" s="1"/>
  <c r="H76" i="15"/>
  <c r="V35" i="15" s="1"/>
  <c r="H69" i="15"/>
  <c r="V28" i="15" s="1"/>
  <c r="E69" i="15"/>
  <c r="V16" i="15" s="1"/>
  <c r="E76" i="15"/>
  <c r="V23" i="15" s="1"/>
  <c r="E74" i="15"/>
  <c r="V21" i="15" s="1"/>
  <c r="B76" i="15"/>
  <c r="V12" i="15" s="1"/>
  <c r="Q32" i="13"/>
  <c r="P31" i="13"/>
  <c r="R30" i="13"/>
  <c r="Q33" i="13"/>
  <c r="Q29" i="13"/>
  <c r="R32" i="13"/>
  <c r="Q30" i="13"/>
  <c r="Q28" i="13"/>
  <c r="R29" i="13"/>
  <c r="L34" i="13"/>
  <c r="H73" i="15"/>
  <c r="V32" i="15" s="1"/>
  <c r="H71" i="15"/>
  <c r="V30" i="15" s="1"/>
  <c r="H70" i="15"/>
  <c r="V29" i="15" s="1"/>
  <c r="K71" i="15"/>
  <c r="V41" i="15" s="1"/>
  <c r="K70" i="15"/>
  <c r="V40" i="15" s="1"/>
  <c r="K73" i="15"/>
  <c r="V43" i="15" s="1"/>
  <c r="E73" i="15"/>
  <c r="V20" i="15" s="1"/>
  <c r="E71" i="15"/>
  <c r="V18" i="15" s="1"/>
  <c r="E70" i="15"/>
  <c r="V17" i="15" s="1"/>
  <c r="Q73" i="15"/>
  <c r="V65" i="15" s="1"/>
  <c r="Q71" i="15"/>
  <c r="V63" i="15" s="1"/>
  <c r="Q70" i="15"/>
  <c r="V62" i="15" s="1"/>
  <c r="B69" i="15"/>
  <c r="V5" i="15" s="1"/>
  <c r="N69" i="15"/>
  <c r="V50" i="15" s="1"/>
  <c r="B71" i="15"/>
  <c r="V7" i="15" s="1"/>
  <c r="N71" i="15"/>
  <c r="V52" i="15" s="1"/>
  <c r="B73" i="15"/>
  <c r="V9" i="15" s="1"/>
  <c r="N73" i="15"/>
  <c r="V54" i="15" s="1"/>
  <c r="H74" i="15"/>
  <c r="V33" i="15" s="1"/>
  <c r="K69" i="15"/>
  <c r="V39" i="15" s="1"/>
  <c r="K54" i="9"/>
  <c r="K71" i="9"/>
  <c r="K69" i="14"/>
  <c r="K68" i="14"/>
  <c r="K67" i="14"/>
  <c r="K66" i="14"/>
  <c r="K62" i="14"/>
  <c r="K52" i="14"/>
  <c r="K81" i="9" l="1"/>
  <c r="K79" i="9"/>
  <c r="K69" i="9"/>
  <c r="K68" i="9"/>
  <c r="K67" i="9"/>
  <c r="K66" i="9"/>
  <c r="Z9" i="13" l="1"/>
  <c r="Z17" i="13" s="1"/>
  <c r="Z25" i="13" s="1"/>
  <c r="Z33" i="13" l="1"/>
  <c r="U25" i="13"/>
  <c r="U21" i="13"/>
  <c r="U22" i="13"/>
  <c r="U23" i="13"/>
  <c r="U24" i="13"/>
  <c r="U20" i="13"/>
  <c r="V26" i="13"/>
  <c r="T26" i="13"/>
  <c r="S26" i="13"/>
  <c r="H26" i="13"/>
  <c r="G26" i="13"/>
  <c r="F26" i="13"/>
  <c r="E26" i="13"/>
  <c r="D26" i="13"/>
  <c r="C26" i="13"/>
  <c r="K25" i="13"/>
  <c r="J25" i="13"/>
  <c r="I25" i="13"/>
  <c r="W24" i="13"/>
  <c r="K24" i="13"/>
  <c r="J24" i="13"/>
  <c r="I24" i="13"/>
  <c r="W23" i="13"/>
  <c r="K23" i="13"/>
  <c r="J23" i="13"/>
  <c r="I23" i="13"/>
  <c r="W22" i="13"/>
  <c r="K22" i="13"/>
  <c r="J22" i="13"/>
  <c r="I22" i="13"/>
  <c r="W21" i="13"/>
  <c r="K21" i="13"/>
  <c r="J21" i="13"/>
  <c r="I21" i="13"/>
  <c r="W20" i="13"/>
  <c r="K20" i="13"/>
  <c r="J20" i="13"/>
  <c r="I20" i="13"/>
  <c r="E8" i="14"/>
  <c r="E7" i="14"/>
  <c r="E6" i="14"/>
  <c r="E8" i="9"/>
  <c r="E7" i="9"/>
  <c r="E6" i="9"/>
  <c r="F104" i="14"/>
  <c r="F99" i="14"/>
  <c r="F94" i="14"/>
  <c r="G86" i="14"/>
  <c r="D86" i="14"/>
  <c r="K11" i="14" s="1"/>
  <c r="K64" i="14" s="1"/>
  <c r="B86" i="14"/>
  <c r="C85" i="14"/>
  <c r="F85" i="14" s="1"/>
  <c r="I84" i="14"/>
  <c r="H84" i="14"/>
  <c r="C84" i="14"/>
  <c r="F84" i="14" s="1"/>
  <c r="I83" i="14"/>
  <c r="H83" i="14"/>
  <c r="C83" i="14"/>
  <c r="F83" i="14" s="1"/>
  <c r="I82" i="14"/>
  <c r="H82" i="14"/>
  <c r="C82" i="14"/>
  <c r="F82" i="14" s="1"/>
  <c r="I81" i="14"/>
  <c r="H81" i="14"/>
  <c r="C81" i="14"/>
  <c r="F81" i="14" s="1"/>
  <c r="I80" i="14"/>
  <c r="H80" i="14"/>
  <c r="C80" i="14"/>
  <c r="F80" i="14" s="1"/>
  <c r="I79" i="14"/>
  <c r="H79" i="14"/>
  <c r="C79" i="14"/>
  <c r="F79" i="14" s="1"/>
  <c r="I78" i="14"/>
  <c r="H78" i="14"/>
  <c r="C78" i="14"/>
  <c r="F78" i="14" s="1"/>
  <c r="I77" i="14"/>
  <c r="H77" i="14"/>
  <c r="E77" i="14"/>
  <c r="C77" i="14"/>
  <c r="I76" i="14"/>
  <c r="H76" i="14"/>
  <c r="E76" i="14"/>
  <c r="C76" i="14"/>
  <c r="I75" i="14"/>
  <c r="H75" i="14"/>
  <c r="E75" i="14"/>
  <c r="F75" i="14" s="1"/>
  <c r="C75" i="14"/>
  <c r="I74" i="14"/>
  <c r="H74" i="14"/>
  <c r="H86" i="14" s="1"/>
  <c r="K21" i="14" s="1"/>
  <c r="F74" i="14"/>
  <c r="E74" i="14"/>
  <c r="C74" i="14"/>
  <c r="B68" i="14"/>
  <c r="K14" i="14" s="1"/>
  <c r="C67" i="14"/>
  <c r="C66" i="14"/>
  <c r="C65" i="14"/>
  <c r="C64" i="14"/>
  <c r="C63" i="14"/>
  <c r="C62" i="14"/>
  <c r="C61" i="14"/>
  <c r="C60" i="14"/>
  <c r="C59" i="14"/>
  <c r="C58" i="14"/>
  <c r="C57" i="14"/>
  <c r="C56" i="14"/>
  <c r="B47" i="14"/>
  <c r="B46" i="14"/>
  <c r="K45" i="14"/>
  <c r="B45" i="14"/>
  <c r="K40" i="14"/>
  <c r="K39" i="14"/>
  <c r="K38" i="14"/>
  <c r="H38" i="14"/>
  <c r="K37" i="14"/>
  <c r="B37" i="14"/>
  <c r="C37" i="14" s="1"/>
  <c r="K36" i="14"/>
  <c r="B36" i="14"/>
  <c r="R35" i="14"/>
  <c r="Q35" i="14"/>
  <c r="P35" i="14"/>
  <c r="K35" i="14"/>
  <c r="B35" i="14"/>
  <c r="C35" i="14" s="1"/>
  <c r="R34" i="14"/>
  <c r="Q34" i="14"/>
  <c r="P34" i="14"/>
  <c r="K34" i="14"/>
  <c r="R33" i="14"/>
  <c r="Q33" i="14"/>
  <c r="P33" i="14"/>
  <c r="K32" i="14"/>
  <c r="R30" i="14"/>
  <c r="Q30" i="14"/>
  <c r="P30" i="14"/>
  <c r="R29" i="14"/>
  <c r="Q29" i="14"/>
  <c r="P29" i="14"/>
  <c r="R28" i="14"/>
  <c r="Q28" i="14"/>
  <c r="P28" i="14"/>
  <c r="B28" i="14"/>
  <c r="B27" i="14"/>
  <c r="B26" i="14"/>
  <c r="K18" i="14"/>
  <c r="K17" i="14"/>
  <c r="K16" i="14"/>
  <c r="Q14" i="14"/>
  <c r="O14" i="14"/>
  <c r="R14" i="14" s="1"/>
  <c r="Q13" i="14"/>
  <c r="O13" i="14"/>
  <c r="R13" i="14" s="1"/>
  <c r="Q12" i="14"/>
  <c r="O12" i="14"/>
  <c r="R12" i="14" s="1"/>
  <c r="D8" i="14"/>
  <c r="F8" i="14" s="1"/>
  <c r="P14" i="14" s="1"/>
  <c r="D7" i="14"/>
  <c r="F7" i="14" s="1"/>
  <c r="P13" i="14" s="1"/>
  <c r="D6" i="14"/>
  <c r="F6" i="14" s="1"/>
  <c r="C4" i="14"/>
  <c r="O8" i="14" s="1"/>
  <c r="R8" i="14" s="1"/>
  <c r="K3" i="14"/>
  <c r="C3" i="14"/>
  <c r="O7" i="14" s="1"/>
  <c r="R7" i="14" s="1"/>
  <c r="C2" i="14"/>
  <c r="O6" i="14" s="1"/>
  <c r="R6" i="14" s="1"/>
  <c r="P12" i="14" l="1"/>
  <c r="K53" i="14"/>
  <c r="K63" i="14"/>
  <c r="K82" i="14"/>
  <c r="O24" i="13"/>
  <c r="O21" i="13"/>
  <c r="O25" i="13"/>
  <c r="O22" i="13"/>
  <c r="O20" i="13"/>
  <c r="O23" i="13"/>
  <c r="M24" i="13"/>
  <c r="M23" i="13"/>
  <c r="M21" i="13"/>
  <c r="M25" i="13"/>
  <c r="M22" i="13"/>
  <c r="M20" i="13"/>
  <c r="N22" i="13"/>
  <c r="N20" i="13"/>
  <c r="N21" i="13"/>
  <c r="N23" i="13"/>
  <c r="N24" i="13"/>
  <c r="N25" i="13"/>
  <c r="U26" i="13"/>
  <c r="Q8" i="14"/>
  <c r="W26" i="13"/>
  <c r="L25" i="13"/>
  <c r="L21" i="13"/>
  <c r="L23" i="13"/>
  <c r="J26" i="13"/>
  <c r="Q23" i="13" s="1"/>
  <c r="L20" i="13"/>
  <c r="L22" i="13"/>
  <c r="L24" i="13"/>
  <c r="I26" i="13"/>
  <c r="P20" i="13" s="1"/>
  <c r="K26" i="13"/>
  <c r="R22" i="13" s="1"/>
  <c r="I86" i="14"/>
  <c r="Q7" i="14"/>
  <c r="F77" i="14"/>
  <c r="F76" i="14"/>
  <c r="F86" i="14" s="1"/>
  <c r="K25" i="14" s="1"/>
  <c r="K9" i="14"/>
  <c r="E86" i="14"/>
  <c r="C68" i="14"/>
  <c r="B70" i="14" s="1"/>
  <c r="C22" i="14"/>
  <c r="B89" i="14"/>
  <c r="K10" i="14" s="1"/>
  <c r="Q6" i="14"/>
  <c r="C36" i="14"/>
  <c r="D3" i="14"/>
  <c r="F3" i="14" s="1"/>
  <c r="P7" i="14" s="1"/>
  <c r="C24" i="14"/>
  <c r="K58" i="14" s="1"/>
  <c r="C86" i="14"/>
  <c r="D2" i="14"/>
  <c r="C10" i="14" s="1"/>
  <c r="D4" i="14"/>
  <c r="F4" i="14" s="1"/>
  <c r="P8" i="14" s="1"/>
  <c r="K45" i="9"/>
  <c r="K56" i="14" l="1"/>
  <c r="R24" i="13"/>
  <c r="R21" i="13"/>
  <c r="Q22" i="13"/>
  <c r="P23" i="13"/>
  <c r="R20" i="13"/>
  <c r="Q25" i="13"/>
  <c r="L49" i="10" s="1"/>
  <c r="Q21" i="13"/>
  <c r="P22" i="13"/>
  <c r="R25" i="13"/>
  <c r="L50" i="10" s="1"/>
  <c r="Q24" i="13"/>
  <c r="Q20" i="13"/>
  <c r="P25" i="13"/>
  <c r="L48" i="10" s="1"/>
  <c r="P21" i="13"/>
  <c r="R23" i="13"/>
  <c r="P24" i="13"/>
  <c r="L26" i="13"/>
  <c r="C11" i="14"/>
  <c r="C23" i="14"/>
  <c r="D22" i="14" s="1"/>
  <c r="F70" i="14"/>
  <c r="D70" i="14" s="1"/>
  <c r="K26" i="14"/>
  <c r="K27" i="14" s="1"/>
  <c r="F2" i="14"/>
  <c r="P17" i="14"/>
  <c r="P18" i="14" s="1"/>
  <c r="K4" i="14"/>
  <c r="C12" i="14"/>
  <c r="K15" i="14"/>
  <c r="K2" i="14" l="1"/>
  <c r="K57" i="14"/>
  <c r="K78" i="14"/>
  <c r="K49" i="14"/>
  <c r="K33" i="14"/>
  <c r="K65" i="14"/>
  <c r="K46" i="14"/>
  <c r="K31" i="14"/>
  <c r="K7" i="14"/>
  <c r="P6" i="14"/>
  <c r="P21" i="14" s="1"/>
  <c r="P22" i="14" s="1"/>
  <c r="K1" i="14"/>
  <c r="S8" i="14"/>
  <c r="S30" i="14" s="1"/>
  <c r="S6" i="14"/>
  <c r="S28" i="14" s="1"/>
  <c r="S13" i="14"/>
  <c r="S34" i="14" s="1"/>
  <c r="V34" i="14" s="1"/>
  <c r="S7" i="14"/>
  <c r="S29" i="14" s="1"/>
  <c r="S12" i="14"/>
  <c r="S33" i="14" s="1"/>
  <c r="V33" i="14" s="1"/>
  <c r="S14" i="14"/>
  <c r="S35" i="14" s="1"/>
  <c r="V35" i="14" s="1"/>
  <c r="P19" i="14"/>
  <c r="K13" i="14"/>
  <c r="K80" i="14" s="1"/>
  <c r="E18" i="13"/>
  <c r="D18" i="13"/>
  <c r="C18" i="13"/>
  <c r="E10" i="13"/>
  <c r="D10" i="13"/>
  <c r="C10" i="13"/>
  <c r="K41" i="14" l="1"/>
  <c r="K8" i="14"/>
  <c r="K19" i="14" s="1"/>
  <c r="P20" i="14"/>
  <c r="U7" i="14"/>
  <c r="U29" i="14" s="1"/>
  <c r="U8" i="14"/>
  <c r="U30" i="14" s="1"/>
  <c r="U6" i="14"/>
  <c r="U28" i="14" s="1"/>
  <c r="X5" i="13"/>
  <c r="W13" i="13" s="1"/>
  <c r="X6" i="13"/>
  <c r="W14" i="13" s="1"/>
  <c r="X7" i="13"/>
  <c r="W15" i="13" s="1"/>
  <c r="X8" i="13"/>
  <c r="W16" i="13" s="1"/>
  <c r="X9" i="13"/>
  <c r="W17" i="13" s="1"/>
  <c r="X4" i="13"/>
  <c r="W12" i="13" s="1"/>
  <c r="X10" i="13" l="1"/>
  <c r="T30" i="14"/>
  <c r="V30" i="14" s="1"/>
  <c r="T29" i="14"/>
  <c r="V29" i="14" s="1"/>
  <c r="T8" i="14"/>
  <c r="T7" i="14"/>
  <c r="T28" i="14"/>
  <c r="V28" i="14" s="1"/>
  <c r="T6" i="14"/>
  <c r="W18" i="13"/>
  <c r="V18" i="13"/>
  <c r="T18" i="13"/>
  <c r="S18" i="13"/>
  <c r="H18" i="13"/>
  <c r="G18" i="13"/>
  <c r="F18" i="13"/>
  <c r="U17" i="13"/>
  <c r="K17" i="13"/>
  <c r="J17" i="13"/>
  <c r="I17" i="13"/>
  <c r="U16" i="13"/>
  <c r="K16" i="13"/>
  <c r="J16" i="13"/>
  <c r="I16" i="13"/>
  <c r="U15" i="13"/>
  <c r="K15" i="13"/>
  <c r="J15" i="13"/>
  <c r="I15" i="13"/>
  <c r="U14" i="13"/>
  <c r="K14" i="13"/>
  <c r="J14" i="13"/>
  <c r="I14" i="13"/>
  <c r="U13" i="13"/>
  <c r="K13" i="13"/>
  <c r="J13" i="13"/>
  <c r="I13" i="13"/>
  <c r="U12" i="13"/>
  <c r="U18" i="13" s="1"/>
  <c r="K12" i="13"/>
  <c r="J12" i="13"/>
  <c r="I12" i="13"/>
  <c r="U4" i="13"/>
  <c r="AB17" i="13" l="1"/>
  <c r="AC17" i="13" s="1"/>
  <c r="AB14" i="13"/>
  <c r="AC14" i="13" s="1"/>
  <c r="AB15" i="13"/>
  <c r="AC15" i="13" s="1"/>
  <c r="AB16" i="13"/>
  <c r="AC16" i="13" s="1"/>
  <c r="AB13" i="13"/>
  <c r="AC13" i="13" s="1"/>
  <c r="AB12" i="13"/>
  <c r="AC12" i="13" s="1"/>
  <c r="N13" i="13"/>
  <c r="M15" i="13"/>
  <c r="O13" i="13"/>
  <c r="X18" i="13"/>
  <c r="O15" i="13"/>
  <c r="O16" i="13"/>
  <c r="O12" i="13"/>
  <c r="O14" i="13"/>
  <c r="O17" i="13"/>
  <c r="N12" i="13"/>
  <c r="N16" i="13"/>
  <c r="N14" i="13"/>
  <c r="N17" i="13"/>
  <c r="N15" i="13"/>
  <c r="M14" i="13"/>
  <c r="M17" i="13"/>
  <c r="M13" i="13"/>
  <c r="M12" i="13"/>
  <c r="M16" i="13"/>
  <c r="L16" i="13"/>
  <c r="L15" i="13"/>
  <c r="L14" i="13"/>
  <c r="L13" i="13"/>
  <c r="L17" i="13"/>
  <c r="J18" i="13"/>
  <c r="Q17" i="13" s="1"/>
  <c r="I18" i="13"/>
  <c r="L12" i="13"/>
  <c r="K18" i="13"/>
  <c r="U5" i="13"/>
  <c r="U6" i="13"/>
  <c r="U7" i="13"/>
  <c r="U8" i="13"/>
  <c r="U9" i="13"/>
  <c r="U2" i="13"/>
  <c r="AB20" i="13" l="1"/>
  <c r="AC20" i="13" s="1"/>
  <c r="AB21" i="13"/>
  <c r="AC21" i="13" s="1"/>
  <c r="AB25" i="13"/>
  <c r="AC25" i="13" s="1"/>
  <c r="AB22" i="13"/>
  <c r="AC22" i="13" s="1"/>
  <c r="AB23" i="13"/>
  <c r="AC23" i="13" s="1"/>
  <c r="AB24" i="13"/>
  <c r="AC24" i="13" s="1"/>
  <c r="X26" i="13"/>
  <c r="U10" i="13"/>
  <c r="L18" i="13"/>
  <c r="R15" i="13"/>
  <c r="R14" i="13"/>
  <c r="R13" i="13"/>
  <c r="R17" i="13"/>
  <c r="R16" i="13"/>
  <c r="R12" i="13"/>
  <c r="Q14" i="13"/>
  <c r="Q13" i="13"/>
  <c r="Q15" i="13"/>
  <c r="Q16" i="13"/>
  <c r="Q12" i="13"/>
  <c r="P15" i="13"/>
  <c r="P16" i="13"/>
  <c r="P14" i="13"/>
  <c r="P13" i="13"/>
  <c r="P17" i="13"/>
  <c r="P12" i="13"/>
  <c r="N2" i="13"/>
  <c r="O2" i="13"/>
  <c r="P2" i="13"/>
  <c r="Q2" i="13"/>
  <c r="R2" i="13"/>
  <c r="M2" i="13"/>
  <c r="J2" i="13"/>
  <c r="K2" i="13"/>
  <c r="I2" i="13"/>
  <c r="X34" i="13" l="1"/>
  <c r="AB29" i="13"/>
  <c r="AC29" i="13" s="1"/>
  <c r="AB28" i="13"/>
  <c r="AC28" i="13" s="1"/>
  <c r="AB31" i="13"/>
  <c r="AC31" i="13" s="1"/>
  <c r="AB33" i="13"/>
  <c r="AC33" i="13" s="1"/>
  <c r="AB30" i="13"/>
  <c r="AC30" i="13" s="1"/>
  <c r="AB32" i="13"/>
  <c r="AC32" i="13" s="1"/>
  <c r="L2" i="13"/>
  <c r="W10" i="13"/>
  <c r="V10" i="13"/>
  <c r="K5" i="13"/>
  <c r="K6" i="13"/>
  <c r="K7" i="13"/>
  <c r="K8" i="13"/>
  <c r="K9" i="13"/>
  <c r="K4" i="13"/>
  <c r="J5" i="13"/>
  <c r="J6" i="13"/>
  <c r="J7" i="13"/>
  <c r="J8" i="13"/>
  <c r="J9" i="13"/>
  <c r="J4" i="13"/>
  <c r="S10" i="13"/>
  <c r="T10" i="13"/>
  <c r="H10" i="13"/>
  <c r="O5" i="13" s="1"/>
  <c r="G10" i="13"/>
  <c r="N8" i="13" s="1"/>
  <c r="F10" i="13"/>
  <c r="M7" i="13" s="1"/>
  <c r="I5" i="13"/>
  <c r="I6" i="13"/>
  <c r="I7" i="13"/>
  <c r="I8" i="13"/>
  <c r="I9" i="13"/>
  <c r="I4" i="13"/>
  <c r="L6" i="13" l="1"/>
  <c r="L4" i="13"/>
  <c r="J10" i="13"/>
  <c r="Q5" i="13" s="1"/>
  <c r="M5" i="13"/>
  <c r="N5" i="13"/>
  <c r="N9" i="13"/>
  <c r="J44" i="10" s="1"/>
  <c r="M9" i="13"/>
  <c r="J43" i="10" s="1"/>
  <c r="N7" i="13"/>
  <c r="M6" i="13"/>
  <c r="N6" i="13"/>
  <c r="O4" i="13"/>
  <c r="O8" i="13"/>
  <c r="L9" i="13"/>
  <c r="L5" i="13"/>
  <c r="I10" i="13"/>
  <c r="P4" i="13" s="1"/>
  <c r="O7" i="13"/>
  <c r="L8" i="13"/>
  <c r="K10" i="13"/>
  <c r="R7" i="13" s="1"/>
  <c r="M8" i="13"/>
  <c r="M4" i="13"/>
  <c r="O6" i="13"/>
  <c r="L7" i="13"/>
  <c r="N4" i="13"/>
  <c r="O9" i="13"/>
  <c r="J45" i="10" s="1"/>
  <c r="Q9" i="13"/>
  <c r="J49" i="10" s="1"/>
  <c r="Q4" i="13" l="1"/>
  <c r="Q7" i="13"/>
  <c r="R4" i="13"/>
  <c r="Q6" i="13"/>
  <c r="Q8" i="13"/>
  <c r="R9" i="13"/>
  <c r="J50" i="10" s="1"/>
  <c r="P7" i="13"/>
  <c r="P8" i="13"/>
  <c r="P5" i="13"/>
  <c r="P9" i="13"/>
  <c r="J48" i="10" s="1"/>
  <c r="R8" i="13"/>
  <c r="R5" i="13"/>
  <c r="P6" i="13"/>
  <c r="R6" i="13"/>
  <c r="L10" i="13"/>
  <c r="B37" i="9" l="1"/>
  <c r="B36" i="9"/>
  <c r="B35" i="9"/>
  <c r="K7" i="10"/>
  <c r="K31" i="10" s="1"/>
  <c r="K13" i="10"/>
  <c r="L13" i="10"/>
  <c r="M13" i="10"/>
  <c r="N13" i="10"/>
  <c r="K12" i="10"/>
  <c r="L12" i="10"/>
  <c r="M12" i="10"/>
  <c r="N12" i="10"/>
  <c r="J12" i="10"/>
  <c r="J13" i="10"/>
  <c r="K11" i="10"/>
  <c r="L11" i="10"/>
  <c r="M11" i="10"/>
  <c r="N11" i="10"/>
  <c r="K9" i="10"/>
  <c r="K33" i="10" s="1"/>
  <c r="L9" i="10"/>
  <c r="M9" i="10"/>
  <c r="N9" i="10"/>
  <c r="K8" i="10"/>
  <c r="K32" i="10" s="1"/>
  <c r="L8" i="10"/>
  <c r="M8" i="10"/>
  <c r="N8" i="10"/>
  <c r="L7" i="10"/>
  <c r="M7" i="10"/>
  <c r="N7" i="10"/>
  <c r="J8" i="10"/>
  <c r="J32" i="10" s="1"/>
  <c r="J9" i="10"/>
  <c r="J33" i="10" s="1"/>
  <c r="J7" i="10"/>
  <c r="J31" i="10" s="1"/>
  <c r="D55" i="10"/>
  <c r="E55" i="10"/>
  <c r="F55" i="10"/>
  <c r="G55" i="10"/>
  <c r="H55" i="10"/>
  <c r="I55" i="10"/>
  <c r="D54" i="10"/>
  <c r="E54" i="10"/>
  <c r="F54" i="10"/>
  <c r="G54" i="10"/>
  <c r="H54" i="10"/>
  <c r="I54" i="10"/>
  <c r="C54" i="10"/>
  <c r="C55" i="10"/>
  <c r="D53" i="10"/>
  <c r="E53" i="10"/>
  <c r="F53" i="10"/>
  <c r="G53" i="10"/>
  <c r="H53" i="10"/>
  <c r="I53" i="10"/>
  <c r="C53" i="10"/>
  <c r="J11" i="10" l="1"/>
  <c r="K37" i="10" l="1"/>
  <c r="F104" i="9" l="1"/>
  <c r="F99" i="9"/>
  <c r="K3" i="9"/>
  <c r="G86" i="9"/>
  <c r="D86" i="9"/>
  <c r="K11" i="9" s="1"/>
  <c r="K64" i="9" s="1"/>
  <c r="B86" i="9"/>
  <c r="B89" i="9" s="1"/>
  <c r="K10" i="9" s="1"/>
  <c r="C85" i="9"/>
  <c r="F85" i="9" s="1"/>
  <c r="I84" i="9"/>
  <c r="H84" i="9"/>
  <c r="C84" i="9"/>
  <c r="F84" i="9" s="1"/>
  <c r="I83" i="9"/>
  <c r="H83" i="9"/>
  <c r="C83" i="9"/>
  <c r="F83" i="9" s="1"/>
  <c r="I82" i="9"/>
  <c r="H82" i="9"/>
  <c r="C82" i="9"/>
  <c r="F82" i="9" s="1"/>
  <c r="I81" i="9"/>
  <c r="H81" i="9"/>
  <c r="C81" i="9"/>
  <c r="F81" i="9" s="1"/>
  <c r="I80" i="9"/>
  <c r="H80" i="9"/>
  <c r="C80" i="9"/>
  <c r="F80" i="9" s="1"/>
  <c r="I79" i="9"/>
  <c r="H79" i="9"/>
  <c r="C79" i="9"/>
  <c r="F79" i="9" s="1"/>
  <c r="I78" i="9"/>
  <c r="H78" i="9"/>
  <c r="C78" i="9"/>
  <c r="F78" i="9" s="1"/>
  <c r="I77" i="9"/>
  <c r="H77" i="9"/>
  <c r="E77" i="9"/>
  <c r="C77" i="9"/>
  <c r="I76" i="9"/>
  <c r="H76" i="9"/>
  <c r="E76" i="9"/>
  <c r="C76" i="9"/>
  <c r="I75" i="9"/>
  <c r="H75" i="9"/>
  <c r="E75" i="9"/>
  <c r="C75" i="9"/>
  <c r="I74" i="9"/>
  <c r="H74" i="9"/>
  <c r="E74" i="9"/>
  <c r="C74" i="9"/>
  <c r="B68" i="9"/>
  <c r="K14" i="9" s="1"/>
  <c r="C67" i="9"/>
  <c r="C66" i="9"/>
  <c r="C65" i="9"/>
  <c r="C64" i="9"/>
  <c r="C63" i="9"/>
  <c r="C62" i="9"/>
  <c r="C61" i="9"/>
  <c r="C60" i="9"/>
  <c r="C59" i="9"/>
  <c r="C58" i="9"/>
  <c r="C57" i="9"/>
  <c r="C56" i="9"/>
  <c r="B47" i="9"/>
  <c r="B46" i="9"/>
  <c r="B45" i="9"/>
  <c r="K40" i="9"/>
  <c r="K39" i="9"/>
  <c r="K38" i="9"/>
  <c r="K20" i="9"/>
  <c r="K72" i="9" s="1"/>
  <c r="K37" i="9"/>
  <c r="K36" i="9"/>
  <c r="C36" i="9"/>
  <c r="R35" i="9"/>
  <c r="Q35" i="9"/>
  <c r="P35" i="9"/>
  <c r="K35" i="9"/>
  <c r="R34" i="9"/>
  <c r="Q34" i="9"/>
  <c r="P34" i="9"/>
  <c r="K34" i="9"/>
  <c r="R33" i="9"/>
  <c r="Q33" i="9"/>
  <c r="P33" i="9"/>
  <c r="K32" i="9"/>
  <c r="R30" i="9"/>
  <c r="Q30" i="9"/>
  <c r="P30" i="9"/>
  <c r="R29" i="9"/>
  <c r="Q29" i="9"/>
  <c r="P29" i="9"/>
  <c r="R28" i="9"/>
  <c r="Q28" i="9"/>
  <c r="P28" i="9"/>
  <c r="B28" i="9"/>
  <c r="B27" i="9"/>
  <c r="B26" i="9"/>
  <c r="K18" i="9"/>
  <c r="K17" i="9"/>
  <c r="K62" i="9" s="1"/>
  <c r="K16" i="9"/>
  <c r="Q14" i="9"/>
  <c r="Q8" i="9" s="1"/>
  <c r="O14" i="9"/>
  <c r="R14" i="9" s="1"/>
  <c r="Q13" i="9"/>
  <c r="O13" i="9"/>
  <c r="R13" i="9" s="1"/>
  <c r="Q12" i="9"/>
  <c r="O12" i="9"/>
  <c r="R12" i="9" s="1"/>
  <c r="D8" i="9"/>
  <c r="F8" i="9" s="1"/>
  <c r="P14" i="9" s="1"/>
  <c r="D7" i="9"/>
  <c r="F7" i="9" s="1"/>
  <c r="P13" i="9" s="1"/>
  <c r="D6" i="9"/>
  <c r="F6" i="9" s="1"/>
  <c r="C4" i="9"/>
  <c r="D4" i="9" s="1"/>
  <c r="F4" i="9" s="1"/>
  <c r="P8" i="9" s="1"/>
  <c r="C3" i="9"/>
  <c r="O7" i="9" s="1"/>
  <c r="R7" i="9" s="1"/>
  <c r="C2" i="9"/>
  <c r="D2" i="9" s="1"/>
  <c r="P12" i="9" l="1"/>
  <c r="K53" i="9"/>
  <c r="K63" i="9"/>
  <c r="K82" i="9"/>
  <c r="H86" i="9"/>
  <c r="I86" i="9"/>
  <c r="F76" i="9"/>
  <c r="F75" i="9"/>
  <c r="F74" i="9"/>
  <c r="F77" i="9"/>
  <c r="E86" i="9"/>
  <c r="K9" i="9"/>
  <c r="C68" i="9"/>
  <c r="B70" i="9" s="1"/>
  <c r="O8" i="9"/>
  <c r="R8" i="9" s="1"/>
  <c r="Q7" i="9"/>
  <c r="D3" i="9"/>
  <c r="F3" i="9" s="1"/>
  <c r="O6" i="9"/>
  <c r="R6" i="9" s="1"/>
  <c r="C23" i="9"/>
  <c r="C37" i="9"/>
  <c r="F2" i="9"/>
  <c r="C86" i="9"/>
  <c r="K21" i="9" l="1"/>
  <c r="K52" i="9"/>
  <c r="K57" i="9"/>
  <c r="P7" i="9"/>
  <c r="K78" i="9"/>
  <c r="K51" i="14" s="1"/>
  <c r="K79" i="14" s="1"/>
  <c r="K49" i="9"/>
  <c r="K55" i="9" s="1"/>
  <c r="F86" i="9"/>
  <c r="K25" i="9" s="1"/>
  <c r="C11" i="9"/>
  <c r="P6" i="9"/>
  <c r="K1" i="9"/>
  <c r="C24" i="9"/>
  <c r="K58" i="9" s="1"/>
  <c r="C12" i="9"/>
  <c r="B12" i="4"/>
  <c r="B11" i="4"/>
  <c r="B10" i="4"/>
  <c r="B12" i="3"/>
  <c r="B11" i="3"/>
  <c r="B10" i="3"/>
  <c r="P21" i="9" l="1"/>
  <c r="P22" i="9" s="1"/>
  <c r="U8" i="9" s="1"/>
  <c r="U30" i="9" s="1"/>
  <c r="C18" i="3"/>
  <c r="C18" i="4"/>
  <c r="C16" i="4"/>
  <c r="C16" i="3"/>
  <c r="U7" i="9" l="1"/>
  <c r="U29" i="9" s="1"/>
  <c r="U6" i="9"/>
  <c r="U28" i="9" s="1"/>
  <c r="C17" i="4"/>
  <c r="C45" i="4" s="1"/>
  <c r="C17" i="3"/>
  <c r="C45" i="3" s="1"/>
  <c r="F46" i="3" l="1"/>
  <c r="G46" i="3" s="1"/>
  <c r="C46" i="3"/>
  <c r="F46" i="4"/>
  <c r="G46" i="4" s="1"/>
  <c r="C46" i="4"/>
  <c r="F17" i="4"/>
  <c r="F15" i="4"/>
  <c r="F14" i="4"/>
  <c r="F16" i="4"/>
  <c r="F16" i="3"/>
  <c r="F17" i="3"/>
  <c r="F15" i="3"/>
  <c r="F14" i="3"/>
  <c r="B10" i="1"/>
  <c r="B12" i="1"/>
  <c r="B11" i="1"/>
  <c r="E46" i="4" l="1"/>
  <c r="D46" i="4"/>
  <c r="C47" i="4" s="1"/>
  <c r="E46" i="3"/>
  <c r="D46" i="3"/>
  <c r="F47" i="3" s="1"/>
  <c r="G47" i="3" s="1"/>
  <c r="F23" i="4"/>
  <c r="F24" i="4" s="1"/>
  <c r="C23" i="4" s="1"/>
  <c r="F22" i="3"/>
  <c r="F22" i="4"/>
  <c r="F23" i="3"/>
  <c r="F24" i="3" s="1"/>
  <c r="C23" i="3" s="1"/>
  <c r="C16" i="1"/>
  <c r="C18" i="1"/>
  <c r="C47" i="3" l="1"/>
  <c r="D47" i="3" s="1"/>
  <c r="F47" i="4"/>
  <c r="G47" i="4" s="1"/>
  <c r="D47" i="4"/>
  <c r="F48" i="4" s="1"/>
  <c r="G48" i="4" s="1"/>
  <c r="E47" i="4"/>
  <c r="C17" i="1"/>
  <c r="C45" i="1" s="1"/>
  <c r="C48" i="3" l="1"/>
  <c r="D48" i="3" s="1"/>
  <c r="F49" i="3" s="1"/>
  <c r="G49" i="3" s="1"/>
  <c r="F48" i="3"/>
  <c r="G48" i="3" s="1"/>
  <c r="E47" i="3"/>
  <c r="C48" i="4"/>
  <c r="C46" i="1"/>
  <c r="F46" i="1"/>
  <c r="G46" i="1" s="1"/>
  <c r="J16" i="10"/>
  <c r="F15" i="1"/>
  <c r="F17" i="1"/>
  <c r="F16" i="1"/>
  <c r="F14" i="1"/>
  <c r="E48" i="3" l="1"/>
  <c r="B35" i="3"/>
  <c r="E48" i="4"/>
  <c r="D48" i="4"/>
  <c r="F49" i="4" s="1"/>
  <c r="G49" i="4" s="1"/>
  <c r="B35" i="4" s="1"/>
  <c r="C49" i="3"/>
  <c r="D46" i="1"/>
  <c r="C47" i="1" s="1"/>
  <c r="E46" i="1"/>
  <c r="K16" i="10"/>
  <c r="K24" i="10" s="1"/>
  <c r="F23" i="1"/>
  <c r="F24" i="1" s="1"/>
  <c r="C23" i="1" s="1"/>
  <c r="F22" i="1"/>
  <c r="J17" i="10"/>
  <c r="J24" i="10"/>
  <c r="J20" i="10"/>
  <c r="D49" i="3" l="1"/>
  <c r="E49" i="3"/>
  <c r="C49" i="4"/>
  <c r="F47" i="1"/>
  <c r="G47" i="1" s="1"/>
  <c r="D47" i="1"/>
  <c r="F48" i="1" s="1"/>
  <c r="G48" i="1" s="1"/>
  <c r="E47" i="1"/>
  <c r="L17" i="10"/>
  <c r="K20" i="10"/>
  <c r="K36" i="10"/>
  <c r="K28" i="10"/>
  <c r="K17" i="10"/>
  <c r="L33" i="10"/>
  <c r="L37" i="10" s="1"/>
  <c r="J25" i="10"/>
  <c r="J21" i="10"/>
  <c r="J15" i="10"/>
  <c r="J23" i="10" s="1"/>
  <c r="J28" i="10"/>
  <c r="J36" i="10"/>
  <c r="F53" i="3" l="1"/>
  <c r="F52" i="3"/>
  <c r="C50" i="3"/>
  <c r="F50" i="3"/>
  <c r="G50" i="3" s="1"/>
  <c r="B34" i="3" s="1"/>
  <c r="D49" i="4"/>
  <c r="F50" i="4" s="1"/>
  <c r="G50" i="4" s="1"/>
  <c r="E49" i="4"/>
  <c r="C48" i="1"/>
  <c r="L25" i="10"/>
  <c r="L29" i="10" s="1"/>
  <c r="L21" i="10"/>
  <c r="K25" i="10"/>
  <c r="K29" i="10" s="1"/>
  <c r="K21" i="10"/>
  <c r="L16" i="10"/>
  <c r="L20" i="10" s="1"/>
  <c r="M32" i="10"/>
  <c r="M36" i="10" s="1"/>
  <c r="J29" i="10"/>
  <c r="J37" i="10"/>
  <c r="J19" i="10"/>
  <c r="K15" i="10"/>
  <c r="J27" i="10"/>
  <c r="J35" i="10"/>
  <c r="N17" i="10" l="1"/>
  <c r="N25" i="10" s="1"/>
  <c r="E50" i="3"/>
  <c r="D50" i="3"/>
  <c r="F51" i="3" s="1"/>
  <c r="C50" i="4"/>
  <c r="D48" i="1"/>
  <c r="C49" i="1" s="1"/>
  <c r="E48" i="1"/>
  <c r="M17" i="10"/>
  <c r="M33" i="10"/>
  <c r="M37" i="10" s="1"/>
  <c r="L32" i="10"/>
  <c r="L36" i="10" s="1"/>
  <c r="L24" i="10"/>
  <c r="L28" i="10" s="1"/>
  <c r="K23" i="10"/>
  <c r="K19" i="10"/>
  <c r="Q6" i="9"/>
  <c r="C35" i="9"/>
  <c r="K4" i="9" s="1"/>
  <c r="N21" i="10" l="1"/>
  <c r="N33" i="10"/>
  <c r="N37" i="10" s="1"/>
  <c r="N29" i="10"/>
  <c r="D50" i="4"/>
  <c r="F52" i="4" s="1"/>
  <c r="E50" i="4"/>
  <c r="F49" i="1"/>
  <c r="G49" i="1" s="1"/>
  <c r="D49" i="1"/>
  <c r="F50" i="1" s="1"/>
  <c r="G50" i="1" s="1"/>
  <c r="E49" i="1"/>
  <c r="M16" i="10"/>
  <c r="M24" i="10" s="1"/>
  <c r="M28" i="10" s="1"/>
  <c r="O17" i="10"/>
  <c r="P17" i="10"/>
  <c r="P5" i="10" s="1"/>
  <c r="Q17" i="10"/>
  <c r="Q5" i="10" s="1"/>
  <c r="M25" i="10"/>
  <c r="M29" i="10" s="1"/>
  <c r="M21" i="10"/>
  <c r="K26" i="9"/>
  <c r="K27" i="9" s="1"/>
  <c r="L15" i="10"/>
  <c r="K35" i="10"/>
  <c r="K27" i="10"/>
  <c r="C22" i="9"/>
  <c r="D22" i="9" s="1"/>
  <c r="P17" i="9"/>
  <c r="P18" i="9" s="1"/>
  <c r="S6" i="9" s="1"/>
  <c r="S28" i="9" s="1"/>
  <c r="M31" i="10"/>
  <c r="M35" i="10" s="1"/>
  <c r="L31" i="10"/>
  <c r="L35" i="10" s="1"/>
  <c r="F70" i="9"/>
  <c r="D70" i="9" s="1"/>
  <c r="C10" i="9"/>
  <c r="K46" i="9" s="1"/>
  <c r="K15" i="9"/>
  <c r="F51" i="4" l="1"/>
  <c r="F53" i="4"/>
  <c r="C50" i="1"/>
  <c r="O5" i="10"/>
  <c r="O33" i="10"/>
  <c r="O37" i="10" s="1"/>
  <c r="M20" i="10"/>
  <c r="K56" i="9"/>
  <c r="K31" i="9"/>
  <c r="K33" i="9"/>
  <c r="K65" i="9"/>
  <c r="L23" i="10"/>
  <c r="L27" i="10" s="1"/>
  <c r="L19" i="10"/>
  <c r="K2" i="9"/>
  <c r="K7" i="9" s="1"/>
  <c r="K8" i="9" s="1"/>
  <c r="S14" i="9"/>
  <c r="S35" i="9" s="1"/>
  <c r="V35" i="9" s="1"/>
  <c r="S8" i="9"/>
  <c r="S30" i="9" s="1"/>
  <c r="S7" i="9"/>
  <c r="S29" i="9" s="1"/>
  <c r="S12" i="9"/>
  <c r="S33" i="9" s="1"/>
  <c r="V33" i="9" s="1"/>
  <c r="S13" i="9"/>
  <c r="S34" i="9" s="1"/>
  <c r="V34" i="9" s="1"/>
  <c r="K13" i="9"/>
  <c r="K80" i="9" s="1"/>
  <c r="K70" i="14" s="1"/>
  <c r="K81" i="14" s="1"/>
  <c r="P19" i="9"/>
  <c r="D50" i="1" l="1"/>
  <c r="F53" i="1" s="1"/>
  <c r="E50" i="1"/>
  <c r="N16" i="10"/>
  <c r="O16" i="10"/>
  <c r="K41" i="9"/>
  <c r="M15" i="10"/>
  <c r="K19" i="9"/>
  <c r="K22" i="9" s="1"/>
  <c r="G46" i="9" s="1"/>
  <c r="P20" i="9"/>
  <c r="N24" i="10" l="1"/>
  <c r="N20" i="10"/>
  <c r="F52" i="1"/>
  <c r="O4" i="10"/>
  <c r="O32" i="10"/>
  <c r="O36" i="10" s="1"/>
  <c r="P16" i="10"/>
  <c r="P4" i="10" s="1"/>
  <c r="Q16" i="10"/>
  <c r="Q4" i="10" s="1"/>
  <c r="M23" i="10"/>
  <c r="M27" i="10" s="1"/>
  <c r="M19" i="10"/>
  <c r="G45" i="14"/>
  <c r="T8" i="9"/>
  <c r="T29" i="9"/>
  <c r="V29" i="9" s="1"/>
  <c r="T30" i="9"/>
  <c r="V30" i="9" s="1"/>
  <c r="T6" i="9"/>
  <c r="T28" i="9"/>
  <c r="V28" i="9" s="1"/>
  <c r="T7" i="9"/>
  <c r="N32" i="10" l="1"/>
  <c r="N36" i="10" s="1"/>
  <c r="N28" i="10"/>
  <c r="B34" i="4"/>
  <c r="O15" i="10"/>
  <c r="K83" i="9"/>
  <c r="K74" i="9"/>
  <c r="K75" i="9" s="1"/>
  <c r="K77" i="9" s="1"/>
  <c r="K84" i="9" s="1"/>
  <c r="O3" i="10" l="1"/>
  <c r="O31" i="10"/>
  <c r="O35" i="10" s="1"/>
  <c r="Q15" i="10"/>
  <c r="Q3" i="10" s="1"/>
  <c r="P15" i="10"/>
  <c r="P3" i="10" s="1"/>
  <c r="N15" i="10"/>
  <c r="K71" i="14"/>
  <c r="K54" i="14"/>
  <c r="K55" i="14" s="1"/>
  <c r="K30" i="14"/>
  <c r="G37" i="14"/>
  <c r="K20" i="14" s="1"/>
  <c r="K22" i="14" s="1"/>
  <c r="G46" i="14" s="1"/>
  <c r="N23" i="10" l="1"/>
  <c r="N19" i="10"/>
  <c r="K72" i="14"/>
  <c r="K74" i="14" s="1"/>
  <c r="K75" i="14" s="1"/>
  <c r="K77" i="14" s="1"/>
  <c r="K84" i="14" s="1"/>
  <c r="N31" i="10" l="1"/>
  <c r="N35" i="10" s="1"/>
  <c r="N27" i="10"/>
</calcChain>
</file>

<file path=xl/sharedStrings.xml><?xml version="1.0" encoding="utf-8"?>
<sst xmlns="http://schemas.openxmlformats.org/spreadsheetml/2006/main" count="1791" uniqueCount="438">
  <si>
    <t>1. Calcolo applicabilità</t>
  </si>
  <si>
    <t>2. Applicazione</t>
  </si>
  <si>
    <t>alpha</t>
  </si>
  <si>
    <t>gamma</t>
  </si>
  <si>
    <t>beta</t>
  </si>
  <si>
    <t>Mese</t>
  </si>
  <si>
    <t>Media</t>
  </si>
  <si>
    <t>Trend</t>
  </si>
  <si>
    <t>Stagionalità</t>
  </si>
  <si>
    <t>Previsione</t>
  </si>
  <si>
    <t>Errore</t>
  </si>
  <si>
    <t>1.1 Stagionalità</t>
  </si>
  <si>
    <t>K</t>
  </si>
  <si>
    <t>%</t>
  </si>
  <si>
    <t>C'è stagionalità?</t>
  </si>
  <si>
    <t>1.2 Trend</t>
  </si>
  <si>
    <t>Periodo</t>
  </si>
  <si>
    <t>Retta</t>
  </si>
  <si>
    <t>a</t>
  </si>
  <si>
    <t>b</t>
  </si>
  <si>
    <t>Y = a + bT</t>
  </si>
  <si>
    <t>C'è Trend?</t>
  </si>
  <si>
    <t>IL MODELLO E' APPLICABILE?</t>
  </si>
  <si>
    <t>Guardare questa tabella SOLO in prrsenza di stagionalità. Altrimenti per il trend, uso la serie storica originale</t>
  </si>
  <si>
    <t>MODELLO di Holt - Winters</t>
  </si>
  <si>
    <t>k</t>
  </si>
  <si>
    <t>Q2 - 2018</t>
  </si>
  <si>
    <t>Q1 - 2018</t>
  </si>
  <si>
    <t>Q3 - 2018</t>
  </si>
  <si>
    <t>Q4 - 2018</t>
  </si>
  <si>
    <t>Q4 - 2019</t>
  </si>
  <si>
    <t>Q4 - 2020</t>
  </si>
  <si>
    <t>Q4 - 2021</t>
  </si>
  <si>
    <t>Q1 - 2019</t>
  </si>
  <si>
    <t>Q2 - 2020</t>
  </si>
  <si>
    <t>Q3 - 2021</t>
  </si>
  <si>
    <t>Q2 - 2019</t>
  </si>
  <si>
    <t>Q3 - 2019</t>
  </si>
  <si>
    <t>Q1 - 2020</t>
  </si>
  <si>
    <t>Q2 - 2021</t>
  </si>
  <si>
    <t>Q3 - 2020</t>
  </si>
  <si>
    <t>Q1 - 2021</t>
  </si>
  <si>
    <t>% massima:</t>
  </si>
  <si>
    <t>Periodi di stagionalità:</t>
  </si>
  <si>
    <t>Valida se: stagionalità = 4</t>
  </si>
  <si>
    <t>SDE</t>
  </si>
  <si>
    <t>Domanda</t>
  </si>
  <si>
    <t>QUANTITY RETAIL</t>
  </si>
  <si>
    <t>CONSULTIVO</t>
  </si>
  <si>
    <t>EFFETTIVO</t>
  </si>
  <si>
    <t>PRICE</t>
  </si>
  <si>
    <t>RICAVI</t>
  </si>
  <si>
    <t>TOTAL SALES REVENUES</t>
  </si>
  <si>
    <t>Quantity offered: Fabrics</t>
  </si>
  <si>
    <t>RAW MATERIALS BOUGHT</t>
  </si>
  <si>
    <t>Quantity offered: Fittings</t>
  </si>
  <si>
    <t>ADJUST RAW MATERIAL HELD IN STOCK</t>
  </si>
  <si>
    <t>Quantity offered: Furniture</t>
  </si>
  <si>
    <t>PRODUCTION DIRECT COST</t>
  </si>
  <si>
    <t>Margini RETAIL</t>
  </si>
  <si>
    <t>QUANTITY WHOLESALE</t>
  </si>
  <si>
    <t>MAX OFFRIBILE</t>
  </si>
  <si>
    <t>MAX PRICE WHOL</t>
  </si>
  <si>
    <t>BOUGHT-IN FINISHED GOOD</t>
  </si>
  <si>
    <t>ricavi</t>
  </si>
  <si>
    <t>COSTO PROD</t>
  </si>
  <si>
    <t>RM</t>
  </si>
  <si>
    <t>INDIRECT</t>
  </si>
  <si>
    <t>TRASP</t>
  </si>
  <si>
    <t>COMMER</t>
  </si>
  <si>
    <t>ADJUST FINISHED GOOD HELD IN STOCK</t>
  </si>
  <si>
    <t>FA</t>
  </si>
  <si>
    <t>COST OF GOODS SOLD</t>
  </si>
  <si>
    <t>FI</t>
  </si>
  <si>
    <t>GROSS MARGIN</t>
  </si>
  <si>
    <t>FU</t>
  </si>
  <si>
    <t>STOCK PF PREV QUART</t>
  </si>
  <si>
    <t>STOCK PF END QUART</t>
  </si>
  <si>
    <t>PRODUCTION FIXED COST</t>
  </si>
  <si>
    <t>Fabrics</t>
  </si>
  <si>
    <t>MACHINE DEPRECIATION</t>
  </si>
  <si>
    <t>Margini WHOLESALE</t>
  </si>
  <si>
    <t>Fitting</t>
  </si>
  <si>
    <t>LEASED MACHINE COST</t>
  </si>
  <si>
    <t>Furniture</t>
  </si>
  <si>
    <t>AUTOMATION TECH</t>
  </si>
  <si>
    <t>STOCK  RMLOCAL</t>
  </si>
  <si>
    <t>TOTAL TRANSPORT COST</t>
  </si>
  <si>
    <t>VEHICLES DEPRECIATION</t>
  </si>
  <si>
    <t>WAREHOUSE COST</t>
  </si>
  <si>
    <t>COMMERCIAL EXPENDITURE</t>
  </si>
  <si>
    <t>STOCK RM IMPORTED</t>
  </si>
  <si>
    <t>RENT OUTLETS</t>
  </si>
  <si>
    <t>ORE PRODUZIONE</t>
  </si>
  <si>
    <t>SALARIES</t>
  </si>
  <si>
    <t>K indirect</t>
  </si>
  <si>
    <t>OPERATING PROFIT</t>
  </si>
  <si>
    <t>unità trasportate</t>
  </si>
  <si>
    <t>LOAN INTEREST</t>
  </si>
  <si>
    <t>k trasporto</t>
  </si>
  <si>
    <t>Purchase of local RM</t>
  </si>
  <si>
    <t>WHAT IF</t>
  </si>
  <si>
    <t>effettivi</t>
  </si>
  <si>
    <t>LOSS MACHINE</t>
  </si>
  <si>
    <t>total revenues</t>
  </si>
  <si>
    <t>(Noi andremo sempre in local)</t>
  </si>
  <si>
    <t>PROFIT BEFORE TAX</t>
  </si>
  <si>
    <t>K commercial</t>
  </si>
  <si>
    <t>CITY CENTER</t>
  </si>
  <si>
    <t>OUT OF TOWN</t>
  </si>
  <si>
    <t>Purchase of imp RM</t>
  </si>
  <si>
    <t>NEW SHOPS</t>
  </si>
  <si>
    <t>Total capacity avaliable</t>
  </si>
  <si>
    <t>Non comprarle mai</t>
  </si>
  <si>
    <t>SHOPS</t>
  </si>
  <si>
    <t>Capacity planned for the quarter</t>
  </si>
  <si>
    <t>margini unitari retail</t>
  </si>
  <si>
    <t>margini</t>
  </si>
  <si>
    <t>Fittings</t>
  </si>
  <si>
    <t>AFFITTI ANNUALI</t>
  </si>
  <si>
    <t>Machine saturation</t>
  </si>
  <si>
    <t>prezzo</t>
  </si>
  <si>
    <t>costo prod</t>
  </si>
  <si>
    <t>raw mat</t>
  </si>
  <si>
    <t>ind</t>
  </si>
  <si>
    <t>trasp</t>
  </si>
  <si>
    <t>comm</t>
  </si>
  <si>
    <t>STAFF</t>
  </si>
  <si>
    <t>SALES</t>
  </si>
  <si>
    <t>fa</t>
  </si>
  <si>
    <t>Purchase of FG</t>
  </si>
  <si>
    <t>NEW HR</t>
  </si>
  <si>
    <t>fi</t>
  </si>
  <si>
    <t>Non comprarli mai</t>
  </si>
  <si>
    <t>HR</t>
  </si>
  <si>
    <t>Cash available</t>
  </si>
  <si>
    <t>fu</t>
  </si>
  <si>
    <t>SALARIES  ANNUAL</t>
  </si>
  <si>
    <t>Local raw materials</t>
  </si>
  <si>
    <t>MARGINI UNITARI WHOL</t>
  </si>
  <si>
    <t>PROMOTION</t>
  </si>
  <si>
    <t>Imported raw materials</t>
  </si>
  <si>
    <t>ADVERTISING</t>
  </si>
  <si>
    <t>Production</t>
  </si>
  <si>
    <t>Production levels</t>
  </si>
  <si>
    <t>TRAINING</t>
  </si>
  <si>
    <t>New leased machines</t>
  </si>
  <si>
    <t>COSTUMER SERV</t>
  </si>
  <si>
    <t>New vehicles</t>
  </si>
  <si>
    <t>ENVIROMENTAL</t>
  </si>
  <si>
    <t>New central shops</t>
  </si>
  <si>
    <t>LOAN</t>
  </si>
  <si>
    <t>New out-of-town shops</t>
  </si>
  <si>
    <t>TASSO</t>
  </si>
  <si>
    <t>New supervisory staff</t>
  </si>
  <si>
    <t>STOCK  RM END OF QUART</t>
  </si>
  <si>
    <t>Decido con quanta scorta rimanere</t>
  </si>
  <si>
    <t>2% in più ogni trimestre ma -0,2% ogni 100k in environmental</t>
  </si>
  <si>
    <t>New sales persons</t>
  </si>
  <si>
    <t>Fare scorta quando si pensa che al prossimo periodo costeranno di più</t>
  </si>
  <si>
    <t>Promotions</t>
  </si>
  <si>
    <t>Cash needed to satisfy the decisions</t>
  </si>
  <si>
    <t>PENDING IMPORT RM</t>
  </si>
  <si>
    <t>copia e incolla pending in outstanding da un periodo all'altro</t>
  </si>
  <si>
    <t>Space in shops available</t>
  </si>
  <si>
    <t>Space in shops needed</t>
  </si>
  <si>
    <t>OUTSTANDING IMPORT</t>
  </si>
  <si>
    <t>VEHICLES</t>
  </si>
  <si>
    <t>SEGNARE I VEICOLI 3 MESI IN GIU</t>
  </si>
  <si>
    <t>età (mesi)</t>
  </si>
  <si>
    <t>numero veicoli</t>
  </si>
  <si>
    <t>cap possedute</t>
  </si>
  <si>
    <t>TOT</t>
  </si>
  <si>
    <t>NEW VEHICLES</t>
  </si>
  <si>
    <t>Tra un periodo e l'altro, aggiungerli al numero di veicoli che hanno 3 mesi</t>
  </si>
  <si>
    <t>CAPACITY INTERNAL</t>
  </si>
  <si>
    <t>CAPACITY EXT</t>
  </si>
  <si>
    <t>TOT (needed)</t>
  </si>
  <si>
    <t>(stima)</t>
  </si>
  <si>
    <t>MACCHINE</t>
  </si>
  <si>
    <t>SEGNARE LE MACCHINE 3 MESI IN GIU RISPETTO AL SITO</t>
  </si>
  <si>
    <t>possedute</t>
  </si>
  <si>
    <t>leased</t>
  </si>
  <si>
    <t>cap leased</t>
  </si>
  <si>
    <t>NOI</t>
  </si>
  <si>
    <t>Vendute</t>
  </si>
  <si>
    <t>Loss</t>
  </si>
  <si>
    <t>Capacità produttiva persa</t>
  </si>
  <si>
    <t>non si può vendere</t>
  </si>
  <si>
    <t>Macchine nuove owned:</t>
  </si>
  <si>
    <t>Macchine nuove in leased:</t>
  </si>
  <si>
    <t>Tra un periodo e l'altro, aggiungerli al numero di macchine che hanno 3 mesi</t>
  </si>
  <si>
    <t xml:space="preserve">AMM TOT </t>
  </si>
  <si>
    <t>RAW MATERIAL</t>
  </si>
  <si>
    <t>RAW MATERIALS FA</t>
  </si>
  <si>
    <t>BEG STOCK VAL</t>
  </si>
  <si>
    <t>END STOCK VAL</t>
  </si>
  <si>
    <t>NOW</t>
  </si>
  <si>
    <t>PREV</t>
  </si>
  <si>
    <t>LOCAL</t>
  </si>
  <si>
    <t>IMPORTED</t>
  </si>
  <si>
    <t>RAW MATERIALS FI</t>
  </si>
  <si>
    <t>RAW MATERIALS FU</t>
  </si>
  <si>
    <t>PRODUCTION DIRECT COST (not including raw materials)</t>
  </si>
  <si>
    <t>TIME OF PRODUCTION</t>
  </si>
  <si>
    <t>DOMANDA</t>
  </si>
  <si>
    <t>%Fabrics</t>
  </si>
  <si>
    <t>%Fitting</t>
  </si>
  <si>
    <t>%forniture</t>
  </si>
  <si>
    <t>RETAIL</t>
  </si>
  <si>
    <t>JAN-MAR 18</t>
  </si>
  <si>
    <t>APR-JUN 18</t>
  </si>
  <si>
    <t>JUL-SEP 18</t>
  </si>
  <si>
    <t>OCT-DEC 18</t>
  </si>
  <si>
    <t>JAN-MAR 19</t>
  </si>
  <si>
    <t>APR-JUN 19</t>
  </si>
  <si>
    <t>JUL-SEP 19</t>
  </si>
  <si>
    <t>OCT-DEC 19</t>
  </si>
  <si>
    <t>JAN-MAR 20</t>
  </si>
  <si>
    <t>APR-JUN 20</t>
  </si>
  <si>
    <t>JUL-SEP 20</t>
  </si>
  <si>
    <t>OCT-DEC 20</t>
  </si>
  <si>
    <t>PREV SITO</t>
  </si>
  <si>
    <t>HOLT WINT</t>
  </si>
  <si>
    <t>DOMANDA EFFETTIVA</t>
  </si>
  <si>
    <t>Scostam.</t>
  </si>
  <si>
    <t>MEDIA PES</t>
  </si>
  <si>
    <t>NON FORNITE</t>
  </si>
  <si>
    <t>DOMANDA PREVISTA</t>
  </si>
  <si>
    <t>% VARIAZ DOMANDA</t>
  </si>
  <si>
    <t>EFFETTIVA</t>
  </si>
  <si>
    <t>nella seconda giocata: comprare 20 macchine leased</t>
  </si>
  <si>
    <t>PEZZI PRODOTTI PER STOCK FINALE (min 100)</t>
  </si>
  <si>
    <t>MODIFICARE I SINGOLI FILE DI HOLT WINTERS DOPO OGNI GIOCATA PER AGGIORNARE LE PREVISIONI</t>
  </si>
  <si>
    <t>#shops centro</t>
  </si>
  <si>
    <t>#shops ext</t>
  </si>
  <si>
    <t>4Ichea </t>
  </si>
  <si>
    <t>4JustInTeam </t>
  </si>
  <si>
    <t>4LeeQuidity </t>
  </si>
  <si>
    <t>4MonzaMilano </t>
  </si>
  <si>
    <t>4NPRspa </t>
  </si>
  <si>
    <t>Share q fabrics</t>
  </si>
  <si>
    <t>Share q fittings</t>
  </si>
  <si>
    <t>Share q furniture</t>
  </si>
  <si>
    <t>EBIT</t>
  </si>
  <si>
    <t>QUOTA FATTURATO EFFETTIVA</t>
  </si>
  <si>
    <t>QUOTA QUANTITA EFFETTIVA</t>
  </si>
  <si>
    <t>QUOTA QUANTITA DESIDERATA</t>
  </si>
  <si>
    <t>a pezzo</t>
  </si>
  <si>
    <t>a ora</t>
  </si>
  <si>
    <t>PRECEDENTE</t>
  </si>
  <si>
    <t>Sottrarre il costo delle owned nuove nel profit before tax?</t>
  </si>
  <si>
    <t>Vedere se conviene piuttosto che produrre ora di più e tenere a scorta</t>
  </si>
  <si>
    <t>-</t>
  </si>
  <si>
    <t>Tutti</t>
  </si>
  <si>
    <t>Team</t>
  </si>
  <si>
    <t>Tot spazio</t>
  </si>
  <si>
    <t>costo = 0.66*(num_periodo) + 64.34</t>
  </si>
  <si>
    <t>costo = 0.16*(num_periodo) + 14.84</t>
  </si>
  <si>
    <t>costo = 1.84*(num_periodo) + 178.16</t>
  </si>
  <si>
    <t>Period</t>
  </si>
  <si>
    <t>Purified series</t>
  </si>
  <si>
    <t>Operazioni periodo per periodo:</t>
  </si>
  <si>
    <t>1) inserisci domanda nuova</t>
  </si>
  <si>
    <t>2) sposta colonna di k un periodo più in basso</t>
  </si>
  <si>
    <t>3) elimina k dalla vecchia previsione</t>
  </si>
  <si>
    <t>COMMENTI PER RELAZIONE:</t>
  </si>
  <si>
    <t>quota relaz</t>
  </si>
  <si>
    <t>5) trascina media, trend e stagionalità giù di 1</t>
  </si>
  <si>
    <t>6) cambia nella nuova previsione la media e il trend spostando di 1 in giu e trascina</t>
  </si>
  <si>
    <t>7) aggiorna la stagionalità di quello appena trascinato</t>
  </si>
  <si>
    <t>8) fai partire il risolutore</t>
  </si>
  <si>
    <t>4) cambia k nelle nuove previsioni (basta la prima, poi trascini al punto 6)</t>
  </si>
  <si>
    <t>Ricavi retail</t>
  </si>
  <si>
    <t>vendere nella quarta giocata tutte le 80 macchine nostre</t>
  </si>
  <si>
    <t>PRESTITO CHIESTO</t>
  </si>
  <si>
    <t>Profit before tax</t>
  </si>
  <si>
    <t>Profit bef tax cum</t>
  </si>
  <si>
    <t>Retail revenues (2/3)</t>
  </si>
  <si>
    <t>Interest Income</t>
  </si>
  <si>
    <t>Debtors (previous B/S)</t>
  </si>
  <si>
    <t>Machine sold</t>
  </si>
  <si>
    <t>New loan</t>
  </si>
  <si>
    <t>Raw materials - Fabrics - LOCAL (2/3rd)</t>
  </si>
  <si>
    <t>Raw materials - Fittings - LOCAL (2/3rd)</t>
  </si>
  <si>
    <t>Raw materials - Furniture - LOCAL (2/3rd)</t>
  </si>
  <si>
    <t>Raw materials - Fabrics - IMPORTED (2/3rd)</t>
  </si>
  <si>
    <t>Raw materials - Fittings - IMPORTED (2/3rd)</t>
  </si>
  <si>
    <t>Raw materials - Furniture - IMPORTED (2/3rd)</t>
  </si>
  <si>
    <t>Rent</t>
  </si>
  <si>
    <t>Salaries</t>
  </si>
  <si>
    <t>Leasing</t>
  </si>
  <si>
    <t>Production direct cost</t>
  </si>
  <si>
    <t>Training</t>
  </si>
  <si>
    <t>Promotion</t>
  </si>
  <si>
    <t>New delivered machines</t>
  </si>
  <si>
    <t>Creditors (previous B/S)</t>
  </si>
  <si>
    <t>Loans repaid</t>
  </si>
  <si>
    <t>Interest from P&amp;L</t>
  </si>
  <si>
    <t>Tax</t>
  </si>
  <si>
    <t>TOTAL PAYMENTS</t>
  </si>
  <si>
    <t>Inflow (outflow)</t>
  </si>
  <si>
    <t>Balance at start</t>
  </si>
  <si>
    <t>Balance at end</t>
  </si>
  <si>
    <t>DEBTORS - outflow</t>
  </si>
  <si>
    <t>DEBTORS - Inflow</t>
  </si>
  <si>
    <t>CREDITORS - inflow</t>
  </si>
  <si>
    <t>CREDITORS - outflow</t>
  </si>
  <si>
    <t>COMMITTMENTS</t>
  </si>
  <si>
    <t>CASH AVAILABLE PERIODO SUCCESSIVO</t>
  </si>
  <si>
    <t>Wholesalers</t>
  </si>
  <si>
    <t>Term pag wholes (mesi):</t>
  </si>
  <si>
    <t>inflow periodo prec</t>
  </si>
  <si>
    <t>TOTAL RECEIPTS</t>
  </si>
  <si>
    <t>COMMENTI PER RELAZIONE: aumento quota mercato più alto di tutti, EBIT migliore del trimestre e unico positivo. Nuovo negozio out of town è dovuto alla crisi. Si può vedere come la sostituzione di un negozio vecchio, in ottica di modernizzazione, in quanto nel prossimo trimestre ne chiudiamo 1 out of town. Il nostro numero giusto di negozi out of town è infatti di 11, se ne chiudiamo 1 ne dobbiamo prima aprire un altro.</t>
  </si>
  <si>
    <t>approssimativo</t>
  </si>
  <si>
    <t>CASH FLOW E AVAILABLE FORECAST:</t>
  </si>
  <si>
    <t>Profitto finora</t>
  </si>
  <si>
    <t>Profitto forecast</t>
  </si>
  <si>
    <t>Company name:</t>
  </si>
  <si>
    <t>4ObladiEBITda</t>
  </si>
  <si>
    <t>4Ichea</t>
  </si>
  <si>
    <t>4JustInTeam</t>
  </si>
  <si>
    <t>4LeeQuidity</t>
  </si>
  <si>
    <t>4MonzaMilano</t>
  </si>
  <si>
    <t>4NPRspa</t>
  </si>
  <si>
    <t>COMPANIES:</t>
  </si>
  <si>
    <t>Year:</t>
  </si>
  <si>
    <t>GIRONE: 1</t>
  </si>
  <si>
    <t>Team number:</t>
  </si>
  <si>
    <t>P&amp;L for the Current financial year</t>
  </si>
  <si>
    <t>Sales revenues</t>
  </si>
  <si>
    <t>ROE</t>
  </si>
  <si>
    <t>Interests (positive)</t>
  </si>
  <si>
    <t>ROI</t>
  </si>
  <si>
    <t>(Adjust for finished goods held in stock)</t>
  </si>
  <si>
    <t>ROS</t>
  </si>
  <si>
    <t>(Adjust for raw materials held in stock)</t>
  </si>
  <si>
    <t>ROT</t>
  </si>
  <si>
    <t>Total Income</t>
  </si>
  <si>
    <t>r</t>
  </si>
  <si>
    <t>Cost of production</t>
  </si>
  <si>
    <t>s</t>
  </si>
  <si>
    <t>Raw materials purchase</t>
  </si>
  <si>
    <t>D/E</t>
  </si>
  <si>
    <t>Bought-in</t>
  </si>
  <si>
    <t>ACID TEST</t>
  </si>
  <si>
    <t>GROSS PROFIT</t>
  </si>
  <si>
    <t>Fixed costs</t>
  </si>
  <si>
    <t>Machineries depreciation</t>
  </si>
  <si>
    <t>Vehicles depreciation</t>
  </si>
  <si>
    <t>Transports</t>
  </si>
  <si>
    <t>Warehouse costs</t>
  </si>
  <si>
    <t>Other expenditures</t>
  </si>
  <si>
    <t>Interests on loans</t>
  </si>
  <si>
    <t>Loss on sales of machines</t>
  </si>
  <si>
    <t>TOTAL COSTS</t>
  </si>
  <si>
    <t>Profit after tax</t>
  </si>
  <si>
    <t>ASSETS</t>
  </si>
  <si>
    <t>Net machines value</t>
  </si>
  <si>
    <t>Net vehicles value</t>
  </si>
  <si>
    <t>FIXED ASSETS</t>
  </si>
  <si>
    <t>Stock of finished goods</t>
  </si>
  <si>
    <t>Stock of raw materials</t>
  </si>
  <si>
    <t>Receivables</t>
  </si>
  <si>
    <t>Cash</t>
  </si>
  <si>
    <t>CURRENT ASSETS</t>
  </si>
  <si>
    <t>Invested capital</t>
  </si>
  <si>
    <t>LIABILITIES</t>
  </si>
  <si>
    <t>Net capital</t>
  </si>
  <si>
    <t>Cumulative earnings</t>
  </si>
  <si>
    <t>EQUITY</t>
  </si>
  <si>
    <t>Payables</t>
  </si>
  <si>
    <t>CURRENT LIABILITIES</t>
  </si>
  <si>
    <t>Long term debts (loans)</t>
  </si>
  <si>
    <t>Total liabilities</t>
  </si>
  <si>
    <t>Ratio</t>
  </si>
  <si>
    <t>R.O.S. of the period</t>
  </si>
  <si>
    <t>Share value</t>
  </si>
  <si>
    <t>Loans level</t>
  </si>
  <si>
    <t>Maximum borrowing limit - next</t>
  </si>
  <si>
    <t>Cash available after committments </t>
  </si>
  <si>
    <t>Cash needed for the period</t>
  </si>
  <si>
    <t>Percentage of budget reduction</t>
  </si>
  <si>
    <t>INDEX 4ObladiEBITda</t>
  </si>
  <si>
    <t>INDEX 4LeeQuidity</t>
  </si>
  <si>
    <t>INDEX 4MonzaMilano</t>
  </si>
  <si>
    <t>INDEX 4NPRspa</t>
  </si>
  <si>
    <t>Cumulative EBIT</t>
  </si>
  <si>
    <t>EBIT Quarter</t>
  </si>
  <si>
    <t>Share %</t>
  </si>
  <si>
    <t>EBIT %</t>
  </si>
  <si>
    <t>AVG</t>
  </si>
  <si>
    <t>Share r fabrics</t>
  </si>
  <si>
    <t>Share r fittings</t>
  </si>
  <si>
    <t>Share r furniture</t>
  </si>
  <si>
    <t>Fabrics price</t>
  </si>
  <si>
    <t>Fittings price</t>
  </si>
  <si>
    <t>Furniture price</t>
  </si>
  <si>
    <t>Fabrics sales</t>
  </si>
  <si>
    <t>Fittings sales</t>
  </si>
  <si>
    <t>Furniture sales</t>
  </si>
  <si>
    <t>Fabrics revenues</t>
  </si>
  <si>
    <t>Fittings revenues</t>
  </si>
  <si>
    <t>Furniture revenues</t>
  </si>
  <si>
    <t>Sums and averages</t>
  </si>
  <si>
    <t>Rank</t>
  </si>
  <si>
    <t>Forecast share</t>
  </si>
  <si>
    <t>Achieved share</t>
  </si>
  <si>
    <t>APR-JUN 20 share</t>
  </si>
  <si>
    <t>JUL-SEP 20 share</t>
  </si>
  <si>
    <t>OCT-DEC 20 share</t>
  </si>
  <si>
    <t>JAN-MAR 21</t>
  </si>
  <si>
    <t>JAN-MAR 21 share</t>
  </si>
  <si>
    <t>APR-JUN 21 share</t>
  </si>
  <si>
    <t>RECALCULATION</t>
  </si>
  <si>
    <t>Balance at end periodo prec</t>
  </si>
  <si>
    <t>CASH AVAILABLE NEXT PERIOD</t>
  </si>
  <si>
    <t>COMMENTI PER RELAZIONE: Da qui inizia la vera produzione level per i fabrics, essendo il primo periodo dopo il picco. Finora ci siamo arrangiati con una produzione semi-level per i kotivi spiegati nel report 1, abbassando la produzione nello scorso periodo per via ei limiti imposti alla capacità produttiva. D'ora in poi la produzione sarà di tipo level, considerando però il trend crescente che caratterizza il prodotto Fabrics. Analisi bilancio: Ikea non può chiedere prestiti e ha poco cash per il prossimo periodo! Prevediamo non soddisfano la loro produzione</t>
  </si>
  <si>
    <t>COMMENTI PER RELAZIONE: produzione level Fabrics continua, considerando il trend in crescita, aumentiamo un po'. Usciti i risultati, prevedere il cash available e dire come dovrà continuare l'azienda in futuro. Scrivere nella relazione che la colonna W di questo foglio è calcolata facendo EBIT_cumulato(t+1) - EBIT_cumulato(t) prendendo come valori gli EBIT che uscivano nei report del sito. Mettere le decisioni sul sito per aprile giugno e fare lo screen. poi rimettere quelle di prima.</t>
  </si>
  <si>
    <t>APR-JUN 21</t>
  </si>
  <si>
    <t>JUL-SEP 21</t>
  </si>
  <si>
    <t>OCT-DEC 21</t>
  </si>
  <si>
    <t>Fare scorta quando si pensa che al prossimo periodo costeranno di più o si eccede i 500.000</t>
  </si>
  <si>
    <t>TOTALE ORDINATE</t>
  </si>
  <si>
    <t>MAPE</t>
  </si>
  <si>
    <t>Gross Profit</t>
  </si>
  <si>
    <t>Operating Profit</t>
  </si>
  <si>
    <t>Long Term Debts</t>
  </si>
  <si>
    <t>Max Borrowing Limit</t>
  </si>
  <si>
    <t>Current Borrowing Limit</t>
  </si>
  <si>
    <t>INDEX</t>
  </si>
  <si>
    <t>INDEX 4Ichea</t>
  </si>
  <si>
    <t>INDEX 4JustInTeam</t>
  </si>
  <si>
    <t>Abbiamo portato span a 4 preciso</t>
  </si>
  <si>
    <t>Total Production Costs</t>
  </si>
  <si>
    <t>Fixed Costs</t>
  </si>
  <si>
    <t>Se non avessi ordinato le 54.200 eccedevo di 6.000 rispetto al limite non riuscendo a saturare produz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</si>
</sst>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5" formatCode="#,##0\ &quot;€&quot;;\-#,##0\ &quot;€&quot;"/>
    <numFmt numFmtId="6" formatCode="#,##0\ &quot;€&quot;;[Red]\-#,##0\ &quot;€&quot;"/>
    <numFmt numFmtId="43" formatCode="_-* #,##0.00_-;\-* #,##0.00_-;_-* &quot;-&quot;??_-;_-@_-"/>
    <numFmt numFmtId="164" formatCode="#,##0.0000"/>
    <numFmt numFmtId="165" formatCode="0.000%"/>
    <numFmt numFmtId="166" formatCode="[$€-2]\ #,##0.00;[Red]\-[$€-2]\ #,##0.00"/>
    <numFmt numFmtId="167" formatCode="#,##0\ &quot;€&quot;"/>
    <numFmt numFmtId="168" formatCode="_-* #,##0.00\ _€_-;\-* #,##0.00\ _€_-;_-* &quot;-&quot;??\ _€_-;_-@_-"/>
    <numFmt numFmtId="169" formatCode="#,##0_ ;\-#,##0\ "/>
    <numFmt numFmtId="170" formatCode="_-* #,##0\ _€_-;\-* #,##0\ _€_-;_-* &quot;-&quot;??\ _€_-;_-@_-"/>
    <numFmt numFmtId="171" formatCode="#,##0.00\ &quot;€&quot;"/>
    <numFmt numFmtId="172" formatCode="#,##0_ ;[Red]\-#,##0\ "/>
    <numFmt numFmtId="173" formatCode="#,##0.0000\ &quot;€&quot;"/>
    <numFmt numFmtId="174" formatCode="#,##0.000000\ &quot;€&quot;"/>
    <numFmt numFmtId="175" formatCode="#,##0.0\ &quot;€&quot;"/>
    <numFmt numFmtId="176" formatCode="0.0%"/>
    <numFmt numFmtId="177" formatCode="_-* #,##0_-;\-* #,##0_-;_-* &quot;-&quot;??_-;_-@_-"/>
  </numFmts>
  <fonts count="45" x14ac:knownFonts="1">
    <font>
      <sz val="12"/>
      <color theme="1"/>
      <name val="Calibri"/>
      <family val="2"/>
      <scheme val="minor"/>
    </font>
    <font>
      <sz val="18"/>
      <color theme="1"/>
      <name val="Calibri"/>
      <family val="2"/>
      <scheme val="minor"/>
    </font>
    <font>
      <sz val="36"/>
      <color theme="1"/>
      <name val="Calibri"/>
      <family val="2"/>
      <scheme val="minor"/>
    </font>
    <font>
      <sz val="12"/>
      <color theme="9" tint="-0.249977111117893"/>
      <name val="Calibri"/>
      <family val="2"/>
      <scheme val="minor"/>
    </font>
    <font>
      <sz val="16"/>
      <color theme="1"/>
      <name val="Calibri"/>
      <family val="2"/>
      <scheme val="minor"/>
    </font>
    <font>
      <sz val="8"/>
      <color rgb="FFC00000"/>
      <name val="Calibri"/>
      <family val="2"/>
      <scheme val="minor"/>
    </font>
    <font>
      <i/>
      <sz val="12"/>
      <color theme="1"/>
      <name val="Calibri"/>
      <family val="2"/>
      <scheme val="minor"/>
    </font>
    <font>
      <sz val="12"/>
      <color indexed="8"/>
      <name val="Calibri"/>
      <family val="2"/>
      <scheme val="minor"/>
    </font>
    <font>
      <sz val="8"/>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11"/>
      <color theme="1"/>
      <name val="Calibri"/>
      <family val="2"/>
      <scheme val="minor"/>
    </font>
    <font>
      <b/>
      <sz val="12"/>
      <color theme="1"/>
      <name val="Times New Roman"/>
      <family val="1"/>
    </font>
    <font>
      <b/>
      <sz val="11"/>
      <color theme="1"/>
      <name val="Calibri"/>
      <family val="2"/>
      <scheme val="minor"/>
    </font>
    <font>
      <b/>
      <sz val="11"/>
      <color rgb="FF7030A0"/>
      <name val="Calibri"/>
      <family val="2"/>
      <scheme val="minor"/>
    </font>
    <font>
      <b/>
      <sz val="11"/>
      <name val="Calibri"/>
      <family val="2"/>
      <scheme val="minor"/>
    </font>
    <font>
      <sz val="20"/>
      <color theme="1"/>
      <name val="Calibri"/>
      <family val="2"/>
      <scheme val="minor"/>
    </font>
    <font>
      <b/>
      <sz val="11"/>
      <color rgb="FFFF0000"/>
      <name val="Calibri"/>
      <family val="2"/>
      <scheme val="minor"/>
    </font>
    <font>
      <sz val="11"/>
      <name val="Calibri"/>
      <family val="2"/>
      <scheme val="minor"/>
    </font>
    <font>
      <b/>
      <sz val="20"/>
      <color theme="1"/>
      <name val="Calibri"/>
      <family val="2"/>
      <scheme val="minor"/>
    </font>
    <font>
      <b/>
      <sz val="24"/>
      <color theme="1"/>
      <name val="Calibri"/>
      <family val="2"/>
      <scheme val="minor"/>
    </font>
    <font>
      <sz val="10"/>
      <color rgb="FF000000"/>
      <name val="Verdana"/>
      <family val="2"/>
    </font>
    <font>
      <sz val="11"/>
      <color rgb="FFFF0000"/>
      <name val="Calibri"/>
      <family val="2"/>
      <scheme val="minor"/>
    </font>
    <font>
      <sz val="11"/>
      <color rgb="FF7030A0"/>
      <name val="Calibri"/>
      <family val="2"/>
      <scheme val="minor"/>
    </font>
    <font>
      <b/>
      <sz val="18"/>
      <color theme="1"/>
      <name val="Calibri"/>
      <family val="2"/>
      <scheme val="minor"/>
    </font>
    <font>
      <b/>
      <sz val="22"/>
      <color theme="1"/>
      <name val="Calibri"/>
      <family val="2"/>
      <scheme val="minor"/>
    </font>
    <font>
      <b/>
      <sz val="12"/>
      <color rgb="FFFF0000"/>
      <name val="Calibri"/>
      <family val="2"/>
      <scheme val="minor"/>
    </font>
    <font>
      <b/>
      <sz val="14"/>
      <color rgb="FFFF0000"/>
      <name val="Calibri"/>
      <family val="2"/>
      <scheme val="minor"/>
    </font>
    <font>
      <b/>
      <sz val="20"/>
      <color rgb="FFFF0000"/>
      <name val="Calibri"/>
      <family val="2"/>
      <scheme val="minor"/>
    </font>
    <font>
      <b/>
      <sz val="12"/>
      <color rgb="FF000000"/>
      <name val="Calibri"/>
      <family val="2"/>
      <scheme val="minor"/>
    </font>
    <font>
      <b/>
      <sz val="12"/>
      <name val="Calibri"/>
      <family val="2"/>
      <scheme val="minor"/>
    </font>
    <font>
      <b/>
      <sz val="10"/>
      <color theme="1"/>
      <name val="Calibri"/>
      <family val="2"/>
      <scheme val="minor"/>
    </font>
    <font>
      <b/>
      <sz val="10"/>
      <color rgb="FFFF0000"/>
      <name val="Calibri"/>
      <family val="2"/>
      <scheme val="minor"/>
    </font>
    <font>
      <sz val="12"/>
      <name val="Calibri"/>
      <family val="2"/>
      <scheme val="minor"/>
    </font>
    <font>
      <sz val="18"/>
      <color rgb="FFFF0000"/>
      <name val="Calibri"/>
      <family val="2"/>
      <scheme val="minor"/>
    </font>
    <font>
      <b/>
      <sz val="12"/>
      <color theme="7" tint="-0.249977111117893"/>
      <name val="Calibri"/>
      <family val="2"/>
      <scheme val="minor"/>
    </font>
    <font>
      <sz val="20"/>
      <color rgb="FFFF0000"/>
      <name val="Calibri"/>
      <family val="2"/>
      <scheme val="minor"/>
    </font>
    <font>
      <b/>
      <sz val="16"/>
      <color rgb="FF333333"/>
      <name val="Calibri"/>
      <family val="2"/>
      <scheme val="minor"/>
    </font>
    <font>
      <sz val="12"/>
      <color rgb="FF333333"/>
      <name val="Calibri"/>
      <family val="2"/>
      <scheme val="minor"/>
    </font>
    <font>
      <b/>
      <sz val="12"/>
      <color rgb="FF333333"/>
      <name val="Calibri"/>
      <family val="2"/>
      <scheme val="minor"/>
    </font>
    <font>
      <sz val="10"/>
      <color rgb="FF333333"/>
      <name val="Verdana"/>
      <family val="2"/>
    </font>
    <font>
      <b/>
      <sz val="10"/>
      <color rgb="FF333333"/>
      <name val="Verdana"/>
      <family val="2"/>
    </font>
    <font>
      <b/>
      <sz val="10"/>
      <color theme="1"/>
      <name val="Verdana"/>
      <family val="2"/>
    </font>
    <font>
      <u/>
      <sz val="12"/>
      <color theme="10"/>
      <name val="Calibri"/>
      <family val="2"/>
      <scheme val="minor"/>
    </font>
  </fonts>
  <fills count="19">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rgb="FFFFFC00"/>
        <bgColor indexed="64"/>
      </patternFill>
    </fill>
    <fill>
      <patternFill patternType="solid">
        <fgColor rgb="FFFFFF00"/>
        <bgColor indexed="64"/>
      </patternFill>
    </fill>
    <fill>
      <patternFill patternType="solid">
        <fgColor rgb="FFFF0000"/>
        <bgColor indexed="64"/>
      </patternFill>
    </fill>
    <fill>
      <patternFill patternType="solid">
        <fgColor theme="7"/>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73FEFF"/>
        <bgColor indexed="64"/>
      </patternFill>
    </fill>
    <fill>
      <patternFill patternType="solid">
        <fgColor theme="7" tint="0.59999389629810485"/>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ck">
        <color rgb="FF76D6FF"/>
      </bottom>
      <diagonal/>
    </border>
    <border>
      <left style="thick">
        <color rgb="FF76D6FF"/>
      </left>
      <right/>
      <top style="thick">
        <color rgb="FF76D6FF"/>
      </top>
      <bottom/>
      <diagonal/>
    </border>
    <border>
      <left/>
      <right/>
      <top style="thick">
        <color rgb="FF76D6FF"/>
      </top>
      <bottom/>
      <diagonal/>
    </border>
    <border>
      <left/>
      <right style="thick">
        <color rgb="FF76D6FF"/>
      </right>
      <top style="thick">
        <color rgb="FF76D6FF"/>
      </top>
      <bottom/>
      <diagonal/>
    </border>
    <border>
      <left style="thick">
        <color rgb="FF76D6FF"/>
      </left>
      <right/>
      <top/>
      <bottom style="thick">
        <color rgb="FF76D6FF"/>
      </bottom>
      <diagonal/>
    </border>
    <border>
      <left/>
      <right style="thick">
        <color rgb="FF76D6FF"/>
      </right>
      <top/>
      <bottom style="thick">
        <color rgb="FF76D6FF"/>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ck">
        <color rgb="FF76D6FF"/>
      </left>
      <right/>
      <top/>
      <bottom/>
      <diagonal/>
    </border>
    <border>
      <left style="medium">
        <color indexed="64"/>
      </left>
      <right style="medium">
        <color indexed="64"/>
      </right>
      <top style="medium">
        <color indexed="64"/>
      </top>
      <bottom style="thin">
        <color theme="1"/>
      </bottom>
      <diagonal/>
    </border>
    <border>
      <left style="medium">
        <color indexed="64"/>
      </left>
      <right style="medium">
        <color indexed="64"/>
      </right>
      <top style="thin">
        <color theme="1"/>
      </top>
      <bottom style="thin">
        <color theme="1"/>
      </bottom>
      <diagonal/>
    </border>
    <border>
      <left style="medium">
        <color indexed="64"/>
      </left>
      <right style="medium">
        <color indexed="64"/>
      </right>
      <top style="thin">
        <color theme="1"/>
      </top>
      <bottom/>
      <diagonal/>
    </border>
    <border>
      <left style="medium">
        <color indexed="64"/>
      </left>
      <right style="medium">
        <color indexed="64"/>
      </right>
      <top style="thin">
        <color theme="1"/>
      </top>
      <bottom style="medium">
        <color indexed="64"/>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top style="medium">
        <color indexed="64"/>
      </top>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thin">
        <color theme="1"/>
      </bottom>
      <diagonal/>
    </border>
  </borders>
  <cellStyleXfs count="7">
    <xf numFmtId="0" fontId="0" fillId="0" borderId="0"/>
    <xf numFmtId="166" fontId="12" fillId="0" borderId="0"/>
    <xf numFmtId="168" fontId="9" fillId="0" borderId="0" applyFont="0" applyFill="0" applyBorder="0" applyAlignment="0" applyProtection="0"/>
    <xf numFmtId="166" fontId="9" fillId="0" borderId="0"/>
    <xf numFmtId="43" fontId="9" fillId="0" borderId="0" applyFont="0" applyFill="0" applyBorder="0" applyAlignment="0" applyProtection="0"/>
    <xf numFmtId="9" fontId="9" fillId="0" borderId="0" applyFont="0" applyFill="0" applyBorder="0" applyAlignment="0" applyProtection="0"/>
    <xf numFmtId="0" fontId="44" fillId="0" borderId="0" applyNumberFormat="0" applyFill="0" applyBorder="0" applyAlignment="0" applyProtection="0"/>
  </cellStyleXfs>
  <cellXfs count="582">
    <xf numFmtId="0" fontId="0" fillId="0" borderId="0" xfId="0"/>
    <xf numFmtId="0" fontId="3" fillId="0" borderId="1" xfId="0" applyFont="1" applyBorder="1"/>
    <xf numFmtId="0" fontId="0" fillId="0" borderId="3" xfId="0" applyBorder="1"/>
    <xf numFmtId="10" fontId="0" fillId="0" borderId="0" xfId="0" applyNumberFormat="1" applyBorder="1"/>
    <xf numFmtId="0" fontId="0" fillId="0" borderId="1" xfId="0" applyBorder="1" applyAlignment="1">
      <alignment horizontal="center" vertical="center"/>
    </xf>
    <xf numFmtId="10"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vertical="center"/>
    </xf>
    <xf numFmtId="0" fontId="0" fillId="2" borderId="1" xfId="0" applyFill="1" applyBorder="1" applyAlignment="1">
      <alignment horizontal="center" vertical="center"/>
    </xf>
    <xf numFmtId="0" fontId="0" fillId="0" borderId="0" xfId="0" applyBorder="1" applyAlignment="1">
      <alignment horizontal="center"/>
    </xf>
    <xf numFmtId="0" fontId="3" fillId="0" borderId="1" xfId="0" applyFont="1" applyBorder="1" applyAlignment="1">
      <alignment horizontal="left"/>
    </xf>
    <xf numFmtId="0" fontId="0" fillId="0" borderId="5" xfId="0" applyFont="1" applyFill="1" applyBorder="1" applyAlignment="1">
      <alignment horizontal="left"/>
    </xf>
    <xf numFmtId="0" fontId="0" fillId="0" borderId="6" xfId="0" applyFont="1" applyBorder="1"/>
    <xf numFmtId="0" fontId="3" fillId="0" borderId="0" xfId="0" applyFont="1"/>
    <xf numFmtId="0" fontId="0" fillId="0" borderId="0" xfId="0" applyBorder="1"/>
    <xf numFmtId="0" fontId="0" fillId="2" borderId="4" xfId="0" applyFill="1" applyBorder="1" applyAlignment="1">
      <alignment horizontal="center" vertical="center"/>
    </xf>
    <xf numFmtId="4" fontId="0" fillId="2" borderId="1" xfId="0" applyNumberFormat="1" applyFill="1" applyBorder="1" applyAlignment="1">
      <alignment horizontal="center" vertical="center"/>
    </xf>
    <xf numFmtId="4" fontId="0" fillId="2" borderId="2" xfId="0" applyNumberFormat="1" applyFill="1" applyBorder="1"/>
    <xf numFmtId="4" fontId="0" fillId="2" borderId="1" xfId="0" applyNumberFormat="1" applyFill="1" applyBorder="1"/>
    <xf numFmtId="4" fontId="0" fillId="0" borderId="2" xfId="0" applyNumberFormat="1" applyBorder="1"/>
    <xf numFmtId="4" fontId="0" fillId="0" borderId="1" xfId="0" applyNumberFormat="1" applyBorder="1"/>
    <xf numFmtId="164" fontId="0" fillId="2" borderId="1" xfId="0" applyNumberFormat="1" applyFill="1" applyBorder="1"/>
    <xf numFmtId="4" fontId="0" fillId="2" borderId="1" xfId="0" applyNumberFormat="1" applyFill="1" applyBorder="1" applyAlignment="1">
      <alignment horizontal="center"/>
    </xf>
    <xf numFmtId="0" fontId="0" fillId="0" borderId="0" xfId="0" applyFill="1" applyBorder="1"/>
    <xf numFmtId="3" fontId="0" fillId="0" borderId="0" xfId="0" applyNumberFormat="1" applyFont="1" applyFill="1" applyBorder="1"/>
    <xf numFmtId="164" fontId="0" fillId="0" borderId="4" xfId="0" applyNumberFormat="1" applyBorder="1"/>
    <xf numFmtId="4" fontId="0" fillId="2" borderId="20" xfId="0" applyNumberFormat="1" applyFill="1" applyBorder="1"/>
    <xf numFmtId="4" fontId="0" fillId="2" borderId="19" xfId="0" applyNumberFormat="1" applyFill="1" applyBorder="1"/>
    <xf numFmtId="164" fontId="0" fillId="2" borderId="19" xfId="0" applyNumberFormat="1" applyFill="1" applyBorder="1"/>
    <xf numFmtId="4" fontId="0" fillId="0" borderId="20" xfId="0" applyNumberFormat="1" applyBorder="1"/>
    <xf numFmtId="4" fontId="0" fillId="2" borderId="22" xfId="0" applyNumberFormat="1" applyFill="1" applyBorder="1"/>
    <xf numFmtId="4" fontId="0" fillId="2" borderId="24" xfId="0" applyNumberFormat="1" applyFill="1" applyBorder="1"/>
    <xf numFmtId="164" fontId="0" fillId="0" borderId="28" xfId="0" applyNumberFormat="1" applyBorder="1"/>
    <xf numFmtId="3" fontId="0" fillId="2" borderId="1" xfId="0" applyNumberFormat="1" applyFont="1" applyFill="1" applyBorder="1" applyAlignment="1">
      <alignment vertical="center"/>
    </xf>
    <xf numFmtId="3" fontId="0" fillId="2" borderId="19" xfId="0" applyNumberFormat="1" applyFont="1" applyFill="1" applyBorder="1" applyAlignment="1">
      <alignment vertical="center"/>
    </xf>
    <xf numFmtId="3" fontId="0" fillId="3" borderId="1" xfId="0" applyNumberFormat="1" applyFont="1" applyFill="1" applyBorder="1" applyAlignment="1">
      <alignment vertical="center"/>
    </xf>
    <xf numFmtId="17" fontId="0" fillId="0" borderId="25" xfId="0" applyNumberFormat="1" applyBorder="1" applyAlignment="1">
      <alignment horizontal="right"/>
    </xf>
    <xf numFmtId="17" fontId="0" fillId="2" borderId="21" xfId="0" applyNumberFormat="1" applyFill="1" applyBorder="1" applyAlignment="1">
      <alignment horizontal="right"/>
    </xf>
    <xf numFmtId="3" fontId="0" fillId="2" borderId="22" xfId="0" applyNumberFormat="1" applyFont="1" applyFill="1" applyBorder="1" applyAlignment="1">
      <alignment vertical="center"/>
    </xf>
    <xf numFmtId="4" fontId="0" fillId="2" borderId="23" xfId="0" applyNumberFormat="1" applyFill="1" applyBorder="1"/>
    <xf numFmtId="164" fontId="0" fillId="2" borderId="22" xfId="0" applyNumberFormat="1" applyFill="1" applyBorder="1"/>
    <xf numFmtId="17" fontId="0" fillId="2" borderId="25" xfId="0" applyNumberFormat="1" applyFill="1" applyBorder="1" applyAlignment="1">
      <alignment horizontal="right"/>
    </xf>
    <xf numFmtId="4" fontId="0" fillId="2" borderId="26" xfId="0" applyNumberFormat="1" applyFill="1" applyBorder="1"/>
    <xf numFmtId="17" fontId="0" fillId="2" borderId="27" xfId="0" applyNumberFormat="1" applyFill="1" applyBorder="1" applyAlignment="1">
      <alignment horizontal="right"/>
    </xf>
    <xf numFmtId="4" fontId="0" fillId="2" borderId="29" xfId="0" applyNumberFormat="1" applyFill="1" applyBorder="1"/>
    <xf numFmtId="17" fontId="0" fillId="0" borderId="27" xfId="0" applyNumberFormat="1" applyBorder="1" applyAlignment="1">
      <alignment horizontal="right"/>
    </xf>
    <xf numFmtId="3" fontId="0" fillId="3" borderId="19" xfId="0" applyNumberFormat="1" applyFont="1" applyFill="1" applyBorder="1" applyAlignment="1">
      <alignment vertical="center"/>
    </xf>
    <xf numFmtId="4" fontId="0" fillId="0" borderId="19" xfId="0" applyNumberFormat="1" applyBorder="1"/>
    <xf numFmtId="4" fontId="0" fillId="0" borderId="4" xfId="0" applyNumberFormat="1" applyFill="1" applyBorder="1"/>
    <xf numFmtId="3" fontId="0" fillId="0" borderId="1" xfId="0" applyNumberFormat="1" applyFont="1" applyFill="1" applyBorder="1" applyAlignment="1">
      <alignment vertical="center"/>
    </xf>
    <xf numFmtId="4" fontId="0" fillId="0" borderId="1" xfId="0" applyNumberFormat="1" applyFill="1" applyBorder="1"/>
    <xf numFmtId="164" fontId="0" fillId="0" borderId="1" xfId="0" applyNumberFormat="1" applyFill="1" applyBorder="1"/>
    <xf numFmtId="4" fontId="0" fillId="0" borderId="19" xfId="0" applyNumberFormat="1" applyFill="1" applyBorder="1"/>
    <xf numFmtId="17" fontId="0" fillId="0" borderId="21" xfId="0" applyNumberFormat="1" applyFill="1" applyBorder="1" applyAlignment="1">
      <alignment horizontal="right"/>
    </xf>
    <xf numFmtId="3" fontId="0" fillId="0" borderId="22" xfId="0" applyNumberFormat="1" applyFont="1" applyFill="1" applyBorder="1" applyAlignment="1">
      <alignment vertical="center"/>
    </xf>
    <xf numFmtId="4" fontId="0" fillId="0" borderId="22" xfId="0" applyNumberFormat="1" applyFill="1" applyBorder="1"/>
    <xf numFmtId="164" fontId="0" fillId="0" borderId="22" xfId="0" applyNumberFormat="1" applyFill="1" applyBorder="1"/>
    <xf numFmtId="4" fontId="0" fillId="0" borderId="24" xfId="0" applyNumberFormat="1" applyFill="1" applyBorder="1"/>
    <xf numFmtId="0" fontId="0" fillId="0" borderId="24" xfId="0" applyBorder="1"/>
    <xf numFmtId="10" fontId="0" fillId="0" borderId="29" xfId="0" applyNumberFormat="1" applyBorder="1" applyAlignment="1">
      <alignment horizontal="center"/>
    </xf>
    <xf numFmtId="0" fontId="0" fillId="3" borderId="26" xfId="0" applyFont="1" applyFill="1" applyBorder="1" applyAlignment="1">
      <alignment horizontal="center" vertical="center"/>
    </xf>
    <xf numFmtId="0" fontId="0" fillId="0" borderId="0" xfId="0" applyFill="1"/>
    <xf numFmtId="17" fontId="0" fillId="0" borderId="0" xfId="0" applyNumberFormat="1" applyBorder="1"/>
    <xf numFmtId="3" fontId="0" fillId="3" borderId="0" xfId="0" applyNumberFormat="1" applyFont="1" applyFill="1" applyBorder="1" applyAlignment="1">
      <alignment vertical="center"/>
    </xf>
    <xf numFmtId="4" fontId="0" fillId="0" borderId="0" xfId="0" applyNumberFormat="1" applyBorder="1"/>
    <xf numFmtId="164" fontId="0" fillId="0" borderId="0" xfId="0" applyNumberFormat="1" applyBorder="1"/>
    <xf numFmtId="3" fontId="0" fillId="0" borderId="0" xfId="0" applyNumberFormat="1" applyBorder="1"/>
    <xf numFmtId="3" fontId="7" fillId="0" borderId="0" xfId="0" applyNumberFormat="1" applyFont="1" applyBorder="1" applyAlignment="1">
      <alignment horizontal="right" vertical="center"/>
    </xf>
    <xf numFmtId="3" fontId="0" fillId="0" borderId="0" xfId="0" applyNumberFormat="1" applyFont="1" applyBorder="1" applyAlignment="1">
      <alignment horizontal="right" vertical="center"/>
    </xf>
    <xf numFmtId="3" fontId="6" fillId="0" borderId="0" xfId="0" applyNumberFormat="1" applyFont="1" applyBorder="1" applyAlignment="1">
      <alignment horizontal="right" vertical="center"/>
    </xf>
    <xf numFmtId="3" fontId="6" fillId="0" borderId="0" xfId="0" applyNumberFormat="1" applyFont="1" applyFill="1" applyBorder="1" applyAlignment="1">
      <alignment horizontal="right" vertical="center"/>
    </xf>
    <xf numFmtId="0" fontId="0" fillId="0" borderId="31" xfId="0" applyBorder="1" applyAlignment="1">
      <alignment horizontal="center"/>
    </xf>
    <xf numFmtId="17" fontId="0" fillId="0" borderId="25" xfId="0" applyNumberFormat="1" applyFill="1" applyBorder="1" applyAlignment="1">
      <alignment horizontal="right"/>
    </xf>
    <xf numFmtId="4" fontId="0" fillId="0" borderId="26" xfId="0" applyNumberFormat="1" applyFill="1" applyBorder="1"/>
    <xf numFmtId="17" fontId="0" fillId="4" borderId="21" xfId="0" applyNumberFormat="1" applyFill="1" applyBorder="1" applyAlignment="1">
      <alignment horizontal="right"/>
    </xf>
    <xf numFmtId="3" fontId="0" fillId="4" borderId="22" xfId="0" applyNumberFormat="1" applyFont="1" applyFill="1" applyBorder="1" applyAlignment="1">
      <alignment vertical="center"/>
    </xf>
    <xf numFmtId="4" fontId="0" fillId="4" borderId="23" xfId="0" applyNumberFormat="1" applyFill="1" applyBorder="1"/>
    <xf numFmtId="4" fontId="0" fillId="4" borderId="22" xfId="0" applyNumberFormat="1" applyFill="1" applyBorder="1"/>
    <xf numFmtId="164" fontId="0" fillId="4" borderId="22" xfId="0" applyNumberFormat="1" applyFill="1" applyBorder="1"/>
    <xf numFmtId="17" fontId="0" fillId="4" borderId="25" xfId="0" applyNumberFormat="1" applyFill="1" applyBorder="1" applyAlignment="1">
      <alignment horizontal="right"/>
    </xf>
    <xf numFmtId="3" fontId="0" fillId="4" borderId="1" xfId="0" applyNumberFormat="1" applyFont="1" applyFill="1" applyBorder="1" applyAlignment="1">
      <alignment vertical="center"/>
    </xf>
    <xf numFmtId="4" fontId="0" fillId="4" borderId="2" xfId="0" applyNumberFormat="1" applyFill="1" applyBorder="1"/>
    <xf numFmtId="4" fontId="0" fillId="4" borderId="1" xfId="0" applyNumberFormat="1" applyFill="1" applyBorder="1"/>
    <xf numFmtId="4" fontId="0" fillId="4" borderId="26" xfId="0" applyNumberFormat="1" applyFill="1" applyBorder="1"/>
    <xf numFmtId="17" fontId="0" fillId="4" borderId="27" xfId="0" applyNumberFormat="1" applyFill="1" applyBorder="1" applyAlignment="1">
      <alignment horizontal="right"/>
    </xf>
    <xf numFmtId="3" fontId="0" fillId="4" borderId="19" xfId="0" applyNumberFormat="1" applyFont="1" applyFill="1" applyBorder="1" applyAlignment="1">
      <alignment vertical="center"/>
    </xf>
    <xf numFmtId="4" fontId="0" fillId="4" borderId="20" xfId="0" applyNumberFormat="1" applyFill="1" applyBorder="1"/>
    <xf numFmtId="4" fontId="0" fillId="4" borderId="19" xfId="0" applyNumberFormat="1" applyFill="1" applyBorder="1"/>
    <xf numFmtId="164" fontId="0" fillId="4" borderId="4" xfId="0" applyNumberFormat="1" applyFill="1" applyBorder="1"/>
    <xf numFmtId="0" fontId="0" fillId="0" borderId="32" xfId="0" applyBorder="1" applyAlignment="1">
      <alignment horizontal="center" vertical="center"/>
    </xf>
    <xf numFmtId="0" fontId="0" fillId="0" borderId="33" xfId="0" applyBorder="1" applyAlignment="1">
      <alignment horizontal="center" vertical="center"/>
    </xf>
    <xf numFmtId="164" fontId="0" fillId="4" borderId="28" xfId="0" applyNumberFormat="1" applyFill="1" applyBorder="1"/>
    <xf numFmtId="4" fontId="0" fillId="4" borderId="29" xfId="0" applyNumberFormat="1" applyFill="1" applyBorder="1"/>
    <xf numFmtId="0" fontId="0" fillId="0" borderId="0" xfId="0" applyBorder="1" applyAlignment="1">
      <alignment horizontal="center" vertical="center"/>
    </xf>
    <xf numFmtId="0" fontId="0" fillId="0" borderId="34" xfId="0" applyBorder="1" applyAlignment="1">
      <alignment horizontal="center" vertical="center"/>
    </xf>
    <xf numFmtId="4" fontId="0" fillId="0" borderId="29" xfId="0" applyNumberFormat="1" applyFill="1" applyBorder="1"/>
    <xf numFmtId="166" fontId="13" fillId="5" borderId="35" xfId="1" applyFont="1" applyFill="1" applyBorder="1"/>
    <xf numFmtId="0" fontId="12" fillId="0" borderId="35" xfId="1" applyNumberFormat="1" applyBorder="1"/>
    <xf numFmtId="166" fontId="14" fillId="5" borderId="35" xfId="1" applyFont="1" applyFill="1" applyBorder="1"/>
    <xf numFmtId="166" fontId="14" fillId="5" borderId="36" xfId="1" applyFont="1" applyFill="1" applyBorder="1"/>
    <xf numFmtId="166" fontId="12" fillId="0" borderId="0" xfId="1"/>
    <xf numFmtId="166" fontId="14" fillId="0" borderId="37" xfId="1" applyFont="1" applyBorder="1"/>
    <xf numFmtId="167" fontId="14" fillId="0" borderId="38" xfId="1" applyNumberFormat="1" applyFont="1" applyBorder="1"/>
    <xf numFmtId="166" fontId="13" fillId="0" borderId="0" xfId="1" applyFont="1"/>
    <xf numFmtId="169" fontId="15" fillId="0" borderId="0" xfId="2" applyNumberFormat="1" applyFont="1" applyBorder="1"/>
    <xf numFmtId="169" fontId="12" fillId="0" borderId="0" xfId="2" applyNumberFormat="1" applyFont="1" applyBorder="1"/>
    <xf numFmtId="169" fontId="16" fillId="0" borderId="0" xfId="2" applyNumberFormat="1" applyFont="1"/>
    <xf numFmtId="5" fontId="15" fillId="0" borderId="39" xfId="2" applyNumberFormat="1" applyFont="1" applyFill="1" applyBorder="1"/>
    <xf numFmtId="5" fontId="12" fillId="0" borderId="0" xfId="2" applyNumberFormat="1" applyFont="1" applyBorder="1"/>
    <xf numFmtId="166" fontId="12" fillId="0" borderId="40" xfId="1" applyBorder="1"/>
    <xf numFmtId="167" fontId="12" fillId="0" borderId="41" xfId="1" applyNumberFormat="1" applyBorder="1"/>
    <xf numFmtId="167" fontId="12" fillId="6" borderId="41" xfId="1" applyNumberFormat="1" applyFill="1" applyBorder="1"/>
    <xf numFmtId="166" fontId="17" fillId="0" borderId="0" xfId="1" applyFont="1"/>
    <xf numFmtId="166" fontId="14" fillId="5" borderId="0" xfId="1" applyFont="1" applyFill="1"/>
    <xf numFmtId="166" fontId="13" fillId="5" borderId="0" xfId="1" applyFont="1" applyFill="1"/>
    <xf numFmtId="169" fontId="18" fillId="0" borderId="0" xfId="2" applyNumberFormat="1" applyFont="1" applyBorder="1"/>
    <xf numFmtId="170" fontId="14" fillId="5" borderId="0" xfId="2" applyNumberFormat="1" applyFont="1" applyFill="1" applyBorder="1"/>
    <xf numFmtId="167" fontId="15" fillId="0" borderId="41" xfId="1" applyNumberFormat="1" applyFont="1" applyBorder="1"/>
    <xf numFmtId="169" fontId="16" fillId="0" borderId="0" xfId="2" applyNumberFormat="1" applyFont="1" applyBorder="1"/>
    <xf numFmtId="166" fontId="18" fillId="0" borderId="0" xfId="1" applyFont="1"/>
    <xf numFmtId="170" fontId="19" fillId="0" borderId="0" xfId="2" applyNumberFormat="1" applyFont="1"/>
    <xf numFmtId="167" fontId="12" fillId="0" borderId="0" xfId="1" applyNumberFormat="1"/>
    <xf numFmtId="167" fontId="12" fillId="0" borderId="0" xfId="1" applyNumberFormat="1" applyAlignment="1">
      <alignment horizontal="left" indent="4"/>
    </xf>
    <xf numFmtId="171" fontId="12" fillId="0" borderId="0" xfId="1" applyNumberFormat="1"/>
    <xf numFmtId="166" fontId="14" fillId="0" borderId="40" xfId="1" applyFont="1" applyBorder="1"/>
    <xf numFmtId="167" fontId="14" fillId="0" borderId="41" xfId="1" applyNumberFormat="1" applyFont="1" applyBorder="1"/>
    <xf numFmtId="166" fontId="14" fillId="0" borderId="0" xfId="1" applyFont="1"/>
    <xf numFmtId="166" fontId="13" fillId="0" borderId="40" xfId="1" applyFont="1" applyBorder="1"/>
    <xf numFmtId="166" fontId="13" fillId="0" borderId="45" xfId="1" applyFont="1" applyBorder="1"/>
    <xf numFmtId="169" fontId="18" fillId="0" borderId="46" xfId="2" applyNumberFormat="1" applyFont="1" applyBorder="1"/>
    <xf numFmtId="169" fontId="18" fillId="0" borderId="0" xfId="2" applyNumberFormat="1" applyFont="1"/>
    <xf numFmtId="172" fontId="12" fillId="0" borderId="0" xfId="1" applyNumberFormat="1"/>
    <xf numFmtId="1" fontId="12" fillId="0" borderId="0" xfId="1" applyNumberFormat="1"/>
    <xf numFmtId="173" fontId="12" fillId="0" borderId="0" xfId="1" applyNumberFormat="1"/>
    <xf numFmtId="3" fontId="12" fillId="0" borderId="0" xfId="1" applyNumberFormat="1"/>
    <xf numFmtId="2" fontId="12" fillId="0" borderId="0" xfId="1" applyNumberFormat="1"/>
    <xf numFmtId="174" fontId="12" fillId="0" borderId="0" xfId="1" applyNumberFormat="1"/>
    <xf numFmtId="170" fontId="14" fillId="5" borderId="0" xfId="2" applyNumberFormat="1" applyFont="1" applyFill="1" applyAlignment="1">
      <alignment horizontal="center" vertical="center"/>
    </xf>
    <xf numFmtId="170" fontId="12" fillId="0" borderId="0" xfId="2" applyNumberFormat="1" applyFont="1" applyAlignment="1">
      <alignment horizontal="center" vertical="center" wrapText="1"/>
    </xf>
    <xf numFmtId="166" fontId="20" fillId="0" borderId="45" xfId="1" applyFont="1" applyBorder="1"/>
    <xf numFmtId="167" fontId="21" fillId="0" borderId="48" xfId="1" applyNumberFormat="1" applyFont="1" applyBorder="1"/>
    <xf numFmtId="170" fontId="12" fillId="0" borderId="0" xfId="2" applyNumberFormat="1" applyFont="1"/>
    <xf numFmtId="170" fontId="15" fillId="0" borderId="0" xfId="2" applyNumberFormat="1" applyFont="1"/>
    <xf numFmtId="172" fontId="15" fillId="0" borderId="0" xfId="1" applyNumberFormat="1" applyFont="1"/>
    <xf numFmtId="166" fontId="12" fillId="0" borderId="37" xfId="1" applyBorder="1"/>
    <xf numFmtId="169" fontId="12" fillId="0" borderId="0" xfId="2" applyNumberFormat="1" applyFont="1"/>
    <xf numFmtId="1" fontId="15" fillId="0" borderId="0" xfId="2" applyNumberFormat="1" applyFont="1"/>
    <xf numFmtId="1" fontId="18" fillId="0" borderId="0" xfId="1" applyNumberFormat="1" applyFont="1"/>
    <xf numFmtId="172" fontId="14" fillId="0" borderId="41" xfId="1" applyNumberFormat="1" applyFont="1" applyBorder="1" applyAlignment="1">
      <alignment horizontal="right" vertical="center"/>
    </xf>
    <xf numFmtId="166" fontId="12" fillId="5" borderId="0" xfId="1" applyFill="1"/>
    <xf numFmtId="6" fontId="18" fillId="0" borderId="0" xfId="1" applyNumberFormat="1" applyFont="1"/>
    <xf numFmtId="166" fontId="12" fillId="0" borderId="45" xfId="1" applyBorder="1"/>
    <xf numFmtId="10" fontId="14" fillId="0" borderId="48" xfId="1" applyNumberFormat="1" applyFont="1" applyBorder="1" applyAlignment="1">
      <alignment horizontal="right" vertical="center"/>
    </xf>
    <xf numFmtId="175" fontId="12" fillId="0" borderId="0" xfId="1" applyNumberFormat="1"/>
    <xf numFmtId="1" fontId="15" fillId="0" borderId="0" xfId="1" applyNumberFormat="1" applyFont="1"/>
    <xf numFmtId="166" fontId="14" fillId="0" borderId="37" xfId="1" applyFont="1" applyBorder="1" applyAlignment="1">
      <alignment horizontal="left"/>
    </xf>
    <xf numFmtId="167" fontId="18" fillId="0" borderId="0" xfId="1" applyNumberFormat="1" applyFont="1"/>
    <xf numFmtId="166" fontId="22" fillId="0" borderId="40" xfId="3" applyFont="1" applyBorder="1" applyAlignment="1">
      <alignment horizontal="left"/>
    </xf>
    <xf numFmtId="6" fontId="12" fillId="0" borderId="41" xfId="1" applyNumberFormat="1" applyBorder="1"/>
    <xf numFmtId="167" fontId="15" fillId="0" borderId="0" xfId="1" applyNumberFormat="1" applyFont="1"/>
    <xf numFmtId="166" fontId="12" fillId="0" borderId="40" xfId="1" applyBorder="1" applyAlignment="1">
      <alignment horizontal="left"/>
    </xf>
    <xf numFmtId="166" fontId="13" fillId="7" borderId="0" xfId="1" applyFont="1" applyFill="1"/>
    <xf numFmtId="169" fontId="14" fillId="0" borderId="0" xfId="2" applyNumberFormat="1" applyFont="1"/>
    <xf numFmtId="166" fontId="11" fillId="0" borderId="0" xfId="1" applyFont="1"/>
    <xf numFmtId="10" fontId="15" fillId="0" borderId="0" xfId="1" applyNumberFormat="1" applyFont="1"/>
    <xf numFmtId="10" fontId="12" fillId="0" borderId="0" xfId="1" applyNumberFormat="1"/>
    <xf numFmtId="170" fontId="18" fillId="0" borderId="0" xfId="2" applyNumberFormat="1" applyFont="1"/>
    <xf numFmtId="169" fontId="15" fillId="0" borderId="0" xfId="2" applyNumberFormat="1" applyFont="1"/>
    <xf numFmtId="166" fontId="14" fillId="0" borderId="45" xfId="1" applyFont="1" applyBorder="1" applyAlignment="1">
      <alignment horizontal="left"/>
    </xf>
    <xf numFmtId="6" fontId="14" fillId="0" borderId="48" xfId="1" applyNumberFormat="1" applyFont="1" applyBorder="1"/>
    <xf numFmtId="166" fontId="12" fillId="0" borderId="0" xfId="1" applyAlignment="1">
      <alignment horizontal="left"/>
    </xf>
    <xf numFmtId="3" fontId="19" fillId="0" borderId="0" xfId="1" applyNumberFormat="1" applyFont="1"/>
    <xf numFmtId="172" fontId="14" fillId="0" borderId="38" xfId="1" applyNumberFormat="1" applyFont="1" applyBorder="1"/>
    <xf numFmtId="172" fontId="14" fillId="0" borderId="48" xfId="1" applyNumberFormat="1" applyFont="1" applyBorder="1"/>
    <xf numFmtId="3" fontId="23" fillId="0" borderId="0" xfId="1" applyNumberFormat="1" applyFont="1"/>
    <xf numFmtId="3" fontId="15" fillId="0" borderId="0" xfId="2" applyNumberFormat="1" applyFont="1"/>
    <xf numFmtId="166" fontId="23" fillId="0" borderId="0" xfId="1" applyFont="1"/>
    <xf numFmtId="166" fontId="14" fillId="5" borderId="37" xfId="1" applyFont="1" applyFill="1" applyBorder="1"/>
    <xf numFmtId="166" fontId="16" fillId="0" borderId="41" xfId="1" applyFont="1" applyBorder="1"/>
    <xf numFmtId="172" fontId="14" fillId="0" borderId="40" xfId="1" applyNumberFormat="1" applyFont="1" applyBorder="1"/>
    <xf numFmtId="172" fontId="12" fillId="0" borderId="41" xfId="1" applyNumberFormat="1" applyBorder="1"/>
    <xf numFmtId="172" fontId="14" fillId="0" borderId="45" xfId="1" applyNumberFormat="1" applyFont="1" applyBorder="1"/>
    <xf numFmtId="1" fontId="18" fillId="0" borderId="46" xfId="1" applyNumberFormat="1" applyFont="1" applyBorder="1"/>
    <xf numFmtId="172" fontId="12" fillId="0" borderId="48" xfId="1" applyNumberFormat="1" applyBorder="1"/>
    <xf numFmtId="1" fontId="16" fillId="0" borderId="42" xfId="1" applyNumberFormat="1" applyFont="1" applyBorder="1"/>
    <xf numFmtId="1" fontId="15" fillId="0" borderId="42" xfId="1" applyNumberFormat="1" applyFont="1" applyBorder="1"/>
    <xf numFmtId="166" fontId="18" fillId="0" borderId="42" xfId="1" applyFont="1" applyBorder="1"/>
    <xf numFmtId="166" fontId="12" fillId="0" borderId="42" xfId="1" applyBorder="1"/>
    <xf numFmtId="166" fontId="12" fillId="0" borderId="38" xfId="1" applyBorder="1"/>
    <xf numFmtId="166" fontId="14" fillId="5" borderId="45" xfId="1" applyFont="1" applyFill="1" applyBorder="1"/>
    <xf numFmtId="3" fontId="14" fillId="0" borderId="46" xfId="1" applyNumberFormat="1" applyFont="1" applyBorder="1"/>
    <xf numFmtId="166" fontId="14" fillId="5" borderId="46" xfId="1" applyFont="1" applyFill="1" applyBorder="1"/>
    <xf numFmtId="172" fontId="14" fillId="0" borderId="46" xfId="1" applyNumberFormat="1" applyFont="1" applyBorder="1"/>
    <xf numFmtId="166" fontId="12" fillId="0" borderId="48" xfId="1" applyBorder="1"/>
    <xf numFmtId="3" fontId="14" fillId="0" borderId="0" xfId="1" applyNumberFormat="1" applyFont="1"/>
    <xf numFmtId="172" fontId="14" fillId="0" borderId="0" xfId="1" applyNumberFormat="1" applyFont="1"/>
    <xf numFmtId="166" fontId="16" fillId="0" borderId="40" xfId="1" applyFont="1" applyBorder="1"/>
    <xf numFmtId="166" fontId="16" fillId="0" borderId="0" xfId="1" applyFont="1"/>
    <xf numFmtId="166" fontId="15" fillId="0" borderId="0" xfId="1" applyFont="1"/>
    <xf numFmtId="3" fontId="16" fillId="0" borderId="40" xfId="1" applyNumberFormat="1" applyFont="1" applyBorder="1"/>
    <xf numFmtId="3" fontId="18" fillId="0" borderId="0" xfId="1" applyNumberFormat="1" applyFont="1"/>
    <xf numFmtId="172" fontId="16" fillId="0" borderId="0" xfId="1" applyNumberFormat="1" applyFont="1"/>
    <xf numFmtId="6" fontId="16" fillId="0" borderId="0" xfId="1" applyNumberFormat="1" applyFont="1"/>
    <xf numFmtId="172" fontId="16" fillId="0" borderId="41" xfId="1" applyNumberFormat="1" applyFont="1" applyBorder="1"/>
    <xf numFmtId="3" fontId="16" fillId="0" borderId="45" xfId="1" applyNumberFormat="1" applyFont="1" applyBorder="1"/>
    <xf numFmtId="3" fontId="18" fillId="0" borderId="46" xfId="1" applyNumberFormat="1" applyFont="1" applyBorder="1"/>
    <xf numFmtId="172" fontId="16" fillId="0" borderId="46" xfId="1" applyNumberFormat="1" applyFont="1" applyBorder="1"/>
    <xf numFmtId="1" fontId="16" fillId="0" borderId="49" xfId="1" applyNumberFormat="1" applyFont="1" applyBorder="1"/>
    <xf numFmtId="3" fontId="16" fillId="0" borderId="50" xfId="1" applyNumberFormat="1" applyFont="1" applyBorder="1"/>
    <xf numFmtId="3" fontId="16" fillId="0" borderId="50" xfId="2" applyNumberFormat="1" applyFont="1" applyBorder="1"/>
    <xf numFmtId="172" fontId="16" fillId="0" borderId="50" xfId="1" applyNumberFormat="1" applyFont="1" applyBorder="1"/>
    <xf numFmtId="6" fontId="16" fillId="0" borderId="50" xfId="1" applyNumberFormat="1" applyFont="1" applyBorder="1"/>
    <xf numFmtId="172" fontId="16" fillId="0" borderId="51" xfId="1" applyNumberFormat="1" applyFont="1" applyBorder="1"/>
    <xf numFmtId="166" fontId="12" fillId="5" borderId="49" xfId="1" applyFill="1" applyBorder="1"/>
    <xf numFmtId="166" fontId="12" fillId="0" borderId="51" xfId="1" applyBorder="1"/>
    <xf numFmtId="166" fontId="12" fillId="6" borderId="0" xfId="1" applyFill="1" applyAlignment="1">
      <alignment horizontal="left" vertical="center"/>
    </xf>
    <xf numFmtId="172" fontId="15" fillId="0" borderId="0" xfId="1" applyNumberFormat="1" applyFont="1" applyAlignment="1">
      <alignment horizontal="right" vertical="center"/>
    </xf>
    <xf numFmtId="166" fontId="12" fillId="0" borderId="0" xfId="1" applyAlignment="1">
      <alignment wrapText="1"/>
    </xf>
    <xf numFmtId="166" fontId="12" fillId="0" borderId="0" xfId="1" applyAlignment="1">
      <alignment horizontal="right" vertical="center" wrapText="1"/>
    </xf>
    <xf numFmtId="166" fontId="24" fillId="0" borderId="0" xfId="1" applyFont="1" applyAlignment="1">
      <alignment horizontal="right" vertical="center"/>
    </xf>
    <xf numFmtId="166" fontId="12" fillId="0" borderId="46" xfId="1" applyBorder="1" applyAlignment="1">
      <alignment vertical="center" wrapText="1"/>
    </xf>
    <xf numFmtId="172" fontId="15" fillId="0" borderId="0" xfId="1" applyNumberFormat="1" applyFont="1" applyAlignment="1">
      <alignment vertical="center"/>
    </xf>
    <xf numFmtId="166" fontId="12" fillId="0" borderId="0" xfId="1" applyAlignment="1">
      <alignment horizontal="right"/>
    </xf>
    <xf numFmtId="166" fontId="12" fillId="0" borderId="41" xfId="1" applyBorder="1"/>
    <xf numFmtId="166" fontId="18" fillId="0" borderId="41" xfId="1" applyFont="1" applyBorder="1"/>
    <xf numFmtId="166" fontId="18" fillId="0" borderId="46" xfId="1" applyFont="1" applyBorder="1"/>
    <xf numFmtId="166" fontId="18" fillId="0" borderId="48" xfId="1" applyFont="1" applyBorder="1"/>
    <xf numFmtId="166" fontId="18" fillId="0" borderId="0" xfId="1" applyFont="1" applyAlignment="1">
      <alignment horizontal="center" vertical="center"/>
    </xf>
    <xf numFmtId="0" fontId="18" fillId="0" borderId="0" xfId="1" applyNumberFormat="1" applyFont="1" applyAlignment="1">
      <alignment horizontal="center" vertical="center"/>
    </xf>
    <xf numFmtId="0" fontId="11" fillId="5" borderId="0" xfId="0" applyFont="1" applyFill="1"/>
    <xf numFmtId="0" fontId="0" fillId="5" borderId="0" xfId="0" applyFill="1"/>
    <xf numFmtId="0" fontId="11" fillId="0" borderId="0" xfId="0" applyFont="1"/>
    <xf numFmtId="3" fontId="0" fillId="0" borderId="0" xfId="0" applyNumberFormat="1"/>
    <xf numFmtId="3" fontId="0" fillId="0" borderId="0" xfId="0" applyNumberFormat="1" applyFont="1" applyFill="1" applyBorder="1" applyAlignment="1">
      <alignment vertical="center"/>
    </xf>
    <xf numFmtId="3" fontId="0" fillId="0" borderId="0" xfId="0" applyNumberFormat="1" applyFill="1"/>
    <xf numFmtId="10" fontId="0" fillId="0" borderId="0" xfId="0" applyNumberFormat="1"/>
    <xf numFmtId="3" fontId="0" fillId="8" borderId="0" xfId="0" applyNumberFormat="1" applyFill="1"/>
    <xf numFmtId="0" fontId="29" fillId="0" borderId="0" xfId="0" applyFont="1" applyAlignment="1">
      <alignment horizontal="center" vertical="center"/>
    </xf>
    <xf numFmtId="0" fontId="11" fillId="0" borderId="0" xfId="0" applyFont="1" applyBorder="1"/>
    <xf numFmtId="0" fontId="28" fillId="0" borderId="0" xfId="0" applyFont="1" applyAlignment="1">
      <alignment horizontal="center" vertical="center" wrapText="1"/>
    </xf>
    <xf numFmtId="0" fontId="30" fillId="0" borderId="0" xfId="0" applyFont="1" applyBorder="1"/>
    <xf numFmtId="0" fontId="0" fillId="5" borderId="40" xfId="0" applyFill="1" applyBorder="1"/>
    <xf numFmtId="0" fontId="0" fillId="5" borderId="0" xfId="0" applyFill="1" applyBorder="1"/>
    <xf numFmtId="0" fontId="0" fillId="5" borderId="41" xfId="0" applyFill="1" applyBorder="1"/>
    <xf numFmtId="3" fontId="0" fillId="0" borderId="0" xfId="0" applyNumberFormat="1" applyFill="1" applyBorder="1"/>
    <xf numFmtId="3" fontId="0" fillId="0" borderId="41" xfId="0" applyNumberFormat="1" applyFill="1" applyBorder="1"/>
    <xf numFmtId="3" fontId="0" fillId="0" borderId="46" xfId="0" applyNumberFormat="1" applyFill="1" applyBorder="1"/>
    <xf numFmtId="3" fontId="0" fillId="0" borderId="48" xfId="0" applyNumberFormat="1" applyFill="1" applyBorder="1"/>
    <xf numFmtId="0" fontId="11" fillId="0" borderId="0" xfId="0" applyFont="1" applyBorder="1" applyAlignment="1">
      <alignment horizontal="center" vertical="center"/>
    </xf>
    <xf numFmtId="0" fontId="11" fillId="8" borderId="0" xfId="0" applyFont="1" applyFill="1" applyAlignment="1">
      <alignment horizontal="center" vertical="center"/>
    </xf>
    <xf numFmtId="0" fontId="25" fillId="10" borderId="0" xfId="0" applyFont="1" applyFill="1" applyAlignment="1">
      <alignment horizontal="left" vertical="center"/>
    </xf>
    <xf numFmtId="0" fontId="26" fillId="10" borderId="0" xfId="0" applyFont="1" applyFill="1" applyAlignment="1">
      <alignment vertical="center"/>
    </xf>
    <xf numFmtId="0" fontId="0" fillId="10" borderId="0" xfId="0" applyFill="1"/>
    <xf numFmtId="3" fontId="11" fillId="11" borderId="0" xfId="0" applyNumberFormat="1" applyFont="1" applyFill="1" applyBorder="1" applyAlignment="1">
      <alignment horizontal="center" vertical="center"/>
    </xf>
    <xf numFmtId="3" fontId="0" fillId="11" borderId="0" xfId="0" applyNumberFormat="1" applyFill="1" applyBorder="1"/>
    <xf numFmtId="10" fontId="0" fillId="0" borderId="0" xfId="0" applyNumberFormat="1" applyFont="1" applyFill="1" applyBorder="1" applyAlignment="1">
      <alignment vertical="center"/>
    </xf>
    <xf numFmtId="0" fontId="0" fillId="5" borderId="52" xfId="0" applyFill="1" applyBorder="1"/>
    <xf numFmtId="0" fontId="11" fillId="8" borderId="53" xfId="0" applyFont="1" applyFill="1" applyBorder="1" applyAlignment="1">
      <alignment horizontal="center" vertical="center"/>
    </xf>
    <xf numFmtId="3" fontId="0" fillId="8" borderId="53" xfId="0" applyNumberFormat="1" applyFill="1" applyBorder="1"/>
    <xf numFmtId="3" fontId="0" fillId="11" borderId="53" xfId="0" applyNumberFormat="1" applyFill="1" applyBorder="1"/>
    <xf numFmtId="0" fontId="0" fillId="5" borderId="53" xfId="0" applyFill="1" applyBorder="1"/>
    <xf numFmtId="3" fontId="11" fillId="11" borderId="53" xfId="0" applyNumberFormat="1" applyFont="1" applyFill="1" applyBorder="1"/>
    <xf numFmtId="3" fontId="11" fillId="11" borderId="0" xfId="0" applyNumberFormat="1" applyFont="1" applyFill="1" applyBorder="1"/>
    <xf numFmtId="0" fontId="11" fillId="0" borderId="37" xfId="0" applyFont="1" applyBorder="1"/>
    <xf numFmtId="3" fontId="11" fillId="11" borderId="42" xfId="0" applyNumberFormat="1" applyFont="1" applyFill="1" applyBorder="1" applyAlignment="1">
      <alignment horizontal="center" vertical="center"/>
    </xf>
    <xf numFmtId="0" fontId="11" fillId="0" borderId="40" xfId="0" applyFont="1" applyBorder="1"/>
    <xf numFmtId="0" fontId="11" fillId="0" borderId="45" xfId="0" applyFont="1" applyBorder="1"/>
    <xf numFmtId="3" fontId="11" fillId="11" borderId="54" xfId="0" applyNumberFormat="1" applyFont="1" applyFill="1" applyBorder="1"/>
    <xf numFmtId="3" fontId="11" fillId="11" borderId="46" xfId="0" applyNumberFormat="1" applyFont="1" applyFill="1" applyBorder="1"/>
    <xf numFmtId="0" fontId="11" fillId="0" borderId="0" xfId="0" applyFont="1" applyBorder="1" applyAlignment="1">
      <alignment vertical="center"/>
    </xf>
    <xf numFmtId="0" fontId="16" fillId="0" borderId="0" xfId="0" applyFont="1" applyBorder="1" applyAlignment="1">
      <alignment vertical="center" wrapText="1"/>
    </xf>
    <xf numFmtId="3" fontId="11" fillId="0" borderId="0" xfId="0" applyNumberFormat="1" applyFont="1" applyFill="1" applyBorder="1" applyAlignment="1">
      <alignment horizontal="center" vertical="center"/>
    </xf>
    <xf numFmtId="0" fontId="0" fillId="5" borderId="1" xfId="0" applyFill="1" applyBorder="1" applyAlignment="1">
      <alignment horizontal="center" vertical="center"/>
    </xf>
    <xf numFmtId="3" fontId="0" fillId="2" borderId="0" xfId="0" applyNumberFormat="1" applyFill="1" applyBorder="1"/>
    <xf numFmtId="0" fontId="11" fillId="5" borderId="1" xfId="0" applyFont="1" applyFill="1" applyBorder="1" applyAlignment="1">
      <alignment horizontal="center" vertical="center"/>
    </xf>
    <xf numFmtId="0" fontId="11" fillId="9" borderId="0" xfId="0" applyFont="1" applyFill="1" applyBorder="1" applyAlignment="1">
      <alignment horizontal="center" vertical="center"/>
    </xf>
    <xf numFmtId="3" fontId="0" fillId="9" borderId="0" xfId="0" applyNumberFormat="1" applyFill="1" applyBorder="1"/>
    <xf numFmtId="0" fontId="11" fillId="8" borderId="0" xfId="0" applyFont="1" applyFill="1" applyBorder="1" applyAlignment="1">
      <alignment horizontal="center" vertical="center"/>
    </xf>
    <xf numFmtId="3" fontId="0" fillId="8" borderId="0" xfId="0" applyNumberFormat="1" applyFill="1" applyBorder="1"/>
    <xf numFmtId="0" fontId="11" fillId="2" borderId="0" xfId="0" applyFont="1" applyFill="1" applyBorder="1"/>
    <xf numFmtId="10" fontId="31" fillId="0" borderId="0" xfId="0" applyNumberFormat="1" applyFont="1" applyBorder="1"/>
    <xf numFmtId="6" fontId="18" fillId="0" borderId="38" xfId="1" applyNumberFormat="1" applyFont="1" applyBorder="1"/>
    <xf numFmtId="167" fontId="12" fillId="0" borderId="41" xfId="1" applyNumberFormat="1" applyFill="1" applyBorder="1"/>
    <xf numFmtId="166" fontId="14" fillId="0" borderId="0" xfId="1" applyFont="1" applyFill="1"/>
    <xf numFmtId="176" fontId="0" fillId="0" borderId="0" xfId="0" applyNumberFormat="1"/>
    <xf numFmtId="171" fontId="0" fillId="0" borderId="0" xfId="0" applyNumberFormat="1"/>
    <xf numFmtId="167" fontId="0" fillId="0" borderId="0" xfId="0" applyNumberFormat="1"/>
    <xf numFmtId="10" fontId="0" fillId="0" borderId="0" xfId="0" applyNumberFormat="1" applyFont="1"/>
    <xf numFmtId="10" fontId="34" fillId="0" borderId="0" xfId="0" applyNumberFormat="1" applyFont="1"/>
    <xf numFmtId="167" fontId="0" fillId="0" borderId="0" xfId="0" applyNumberFormat="1" applyFill="1"/>
    <xf numFmtId="177" fontId="0" fillId="0" borderId="0" xfId="4" applyNumberFormat="1" applyFont="1" applyFill="1"/>
    <xf numFmtId="176" fontId="0" fillId="0" borderId="0" xfId="5" applyNumberFormat="1" applyFont="1" applyFill="1"/>
    <xf numFmtId="171" fontId="0" fillId="0" borderId="0" xfId="0" applyNumberFormat="1" applyFill="1"/>
    <xf numFmtId="0" fontId="11" fillId="0" borderId="49" xfId="0" applyFont="1" applyBorder="1"/>
    <xf numFmtId="3" fontId="0" fillId="0" borderId="50" xfId="0" applyNumberFormat="1" applyBorder="1"/>
    <xf numFmtId="167" fontId="0" fillId="0" borderId="50" xfId="0" applyNumberFormat="1" applyBorder="1"/>
    <xf numFmtId="0" fontId="0" fillId="0" borderId="50" xfId="0" applyBorder="1"/>
    <xf numFmtId="171" fontId="0" fillId="0" borderId="50" xfId="0" applyNumberFormat="1" applyBorder="1"/>
    <xf numFmtId="171" fontId="0" fillId="0" borderId="51" xfId="0" applyNumberFormat="1" applyBorder="1"/>
    <xf numFmtId="166" fontId="12" fillId="6" borderId="0" xfId="1" applyFill="1"/>
    <xf numFmtId="0" fontId="11" fillId="0" borderId="50" xfId="0" applyFont="1" applyBorder="1" applyAlignment="1">
      <alignment horizontal="center" vertical="center"/>
    </xf>
    <xf numFmtId="0" fontId="0" fillId="0" borderId="50" xfId="0" applyFill="1" applyBorder="1" applyAlignment="1">
      <alignment horizontal="center" vertical="center"/>
    </xf>
    <xf numFmtId="0" fontId="11" fillId="0" borderId="0" xfId="0" applyFont="1" applyFill="1"/>
    <xf numFmtId="166" fontId="12" fillId="0" borderId="0" xfId="1" applyFill="1"/>
    <xf numFmtId="17" fontId="0" fillId="0" borderId="1" xfId="0" applyNumberFormat="1" applyFill="1" applyBorder="1" applyAlignment="1">
      <alignment horizontal="center" vertical="center"/>
    </xf>
    <xf numFmtId="0" fontId="0" fillId="0" borderId="35" xfId="0" applyBorder="1" applyAlignment="1">
      <alignment horizontal="center"/>
    </xf>
    <xf numFmtId="4" fontId="0" fillId="0" borderId="1" xfId="0" applyNumberFormat="1" applyBorder="1" applyAlignment="1"/>
    <xf numFmtId="0" fontId="0" fillId="2" borderId="55" xfId="0" applyFill="1" applyBorder="1" applyAlignment="1">
      <alignment horizontal="center" vertical="center"/>
    </xf>
    <xf numFmtId="0" fontId="0" fillId="2" borderId="4" xfId="0" applyFill="1" applyBorder="1" applyAlignment="1"/>
    <xf numFmtId="0" fontId="0" fillId="0" borderId="4" xfId="0" applyFill="1" applyBorder="1" applyAlignment="1">
      <alignment horizontal="center" vertical="center"/>
    </xf>
    <xf numFmtId="0" fontId="0" fillId="0" borderId="0" xfId="0" applyFill="1" applyBorder="1" applyAlignment="1"/>
    <xf numFmtId="0" fontId="0" fillId="0" borderId="0" xfId="0" applyFill="1" applyBorder="1" applyAlignment="1">
      <alignment horizontal="center"/>
    </xf>
    <xf numFmtId="4" fontId="0" fillId="0" borderId="0" xfId="0" applyNumberFormat="1" applyBorder="1" applyAlignment="1"/>
    <xf numFmtId="0" fontId="0" fillId="0" borderId="1" xfId="0" applyFill="1" applyBorder="1" applyAlignment="1">
      <alignment horizontal="center"/>
    </xf>
    <xf numFmtId="0" fontId="5" fillId="0" borderId="0" xfId="0" applyFont="1" applyBorder="1" applyAlignment="1">
      <alignment vertical="center" wrapText="1"/>
    </xf>
    <xf numFmtId="10" fontId="0" fillId="0" borderId="0" xfId="0" applyNumberFormat="1" applyBorder="1" applyAlignment="1">
      <alignment horizontal="center"/>
    </xf>
    <xf numFmtId="0" fontId="0" fillId="0" borderId="1" xfId="0" applyFill="1" applyBorder="1" applyAlignment="1">
      <alignment horizontal="center" vertical="center"/>
    </xf>
    <xf numFmtId="4" fontId="0" fillId="0" borderId="35" xfId="0" applyNumberFormat="1" applyBorder="1" applyAlignment="1"/>
    <xf numFmtId="0" fontId="0" fillId="2" borderId="44" xfId="0" applyFill="1" applyBorder="1" applyAlignment="1"/>
    <xf numFmtId="0" fontId="0" fillId="0" borderId="1" xfId="0" applyFill="1" applyBorder="1" applyAlignment="1"/>
    <xf numFmtId="10" fontId="34" fillId="0" borderId="0" xfId="0" applyNumberFormat="1" applyFont="1" applyFill="1" applyBorder="1"/>
    <xf numFmtId="171" fontId="0" fillId="0" borderId="0" xfId="0" applyNumberFormat="1" applyBorder="1"/>
    <xf numFmtId="0" fontId="11" fillId="5" borderId="0" xfId="0" applyFont="1" applyFill="1" applyBorder="1"/>
    <xf numFmtId="10" fontId="34" fillId="0" borderId="0" xfId="0" applyNumberFormat="1" applyFont="1" applyBorder="1"/>
    <xf numFmtId="3" fontId="31" fillId="0" borderId="40" xfId="0" applyNumberFormat="1" applyFont="1" applyBorder="1"/>
    <xf numFmtId="3" fontId="31" fillId="0" borderId="45" xfId="0" applyNumberFormat="1" applyFont="1" applyBorder="1"/>
    <xf numFmtId="4" fontId="0" fillId="0" borderId="56" xfId="0" applyNumberFormat="1" applyFill="1" applyBorder="1"/>
    <xf numFmtId="164" fontId="0" fillId="0" borderId="56" xfId="0" applyNumberFormat="1" applyFill="1" applyBorder="1"/>
    <xf numFmtId="167" fontId="11" fillId="0" borderId="50" xfId="0" applyNumberFormat="1" applyFont="1" applyBorder="1" applyAlignment="1">
      <alignment horizontal="center" vertical="center"/>
    </xf>
    <xf numFmtId="172" fontId="14" fillId="0" borderId="38" xfId="1" applyNumberFormat="1" applyFont="1" applyFill="1" applyBorder="1" applyAlignment="1">
      <alignment horizontal="right" vertical="center"/>
    </xf>
    <xf numFmtId="10" fontId="11" fillId="0" borderId="0" xfId="0" applyNumberFormat="1" applyFont="1" applyBorder="1"/>
    <xf numFmtId="3" fontId="11" fillId="0" borderId="0" xfId="0" applyNumberFormat="1" applyFont="1" applyBorder="1"/>
    <xf numFmtId="3" fontId="11" fillId="0" borderId="46" xfId="0" applyNumberFormat="1" applyFont="1" applyBorder="1"/>
    <xf numFmtId="165" fontId="0" fillId="0" borderId="0" xfId="0" applyNumberFormat="1" applyFill="1" applyBorder="1" applyAlignment="1">
      <alignment horizontal="center"/>
    </xf>
    <xf numFmtId="3" fontId="0" fillId="6" borderId="1" xfId="0" applyNumberFormat="1" applyFont="1" applyFill="1" applyBorder="1" applyAlignment="1">
      <alignment vertical="center"/>
    </xf>
    <xf numFmtId="3" fontId="0" fillId="0" borderId="50" xfId="0" applyNumberFormat="1" applyBorder="1" applyAlignment="1">
      <alignment horizontal="center" vertical="center"/>
    </xf>
    <xf numFmtId="166" fontId="16" fillId="0" borderId="0" xfId="1" applyFont="1" applyBorder="1"/>
    <xf numFmtId="172" fontId="16" fillId="0" borderId="0" xfId="1" applyNumberFormat="1" applyFont="1" applyBorder="1"/>
    <xf numFmtId="171" fontId="12" fillId="0" borderId="38" xfId="1" applyNumberFormat="1" applyBorder="1"/>
    <xf numFmtId="171" fontId="12" fillId="0" borderId="41" xfId="1" applyNumberFormat="1" applyBorder="1"/>
    <xf numFmtId="171" fontId="23" fillId="0" borderId="41" xfId="1" applyNumberFormat="1" applyFont="1" applyBorder="1"/>
    <xf numFmtId="171" fontId="19" fillId="0" borderId="41" xfId="1" applyNumberFormat="1" applyFont="1" applyBorder="1"/>
    <xf numFmtId="166" fontId="16" fillId="5" borderId="0" xfId="1" applyFont="1" applyFill="1"/>
    <xf numFmtId="172" fontId="15" fillId="0" borderId="0" xfId="1" applyNumberFormat="1" applyFont="1" applyAlignment="1">
      <alignment horizontal="center" vertical="center"/>
    </xf>
    <xf numFmtId="4" fontId="0" fillId="0" borderId="0" xfId="0" applyNumberFormat="1"/>
    <xf numFmtId="166" fontId="18" fillId="5" borderId="0" xfId="1" applyFont="1" applyFill="1"/>
    <xf numFmtId="166" fontId="18" fillId="5" borderId="0" xfId="1" applyFont="1" applyFill="1" applyAlignment="1">
      <alignment vertical="center"/>
    </xf>
    <xf numFmtId="171" fontId="14" fillId="5" borderId="48" xfId="1" applyNumberFormat="1" applyFont="1" applyFill="1" applyBorder="1"/>
    <xf numFmtId="166" fontId="14" fillId="5" borderId="40" xfId="1" applyFont="1" applyFill="1" applyBorder="1"/>
    <xf numFmtId="171" fontId="14" fillId="5" borderId="41" xfId="1" applyNumberFormat="1" applyFont="1" applyFill="1" applyBorder="1"/>
    <xf numFmtId="171" fontId="16" fillId="5" borderId="41" xfId="1" applyNumberFormat="1" applyFont="1" applyFill="1" applyBorder="1"/>
    <xf numFmtId="0" fontId="1" fillId="11" borderId="0" xfId="0" applyFont="1" applyFill="1" applyAlignment="1">
      <alignment horizontal="right"/>
    </xf>
    <xf numFmtId="0" fontId="35" fillId="11" borderId="0" xfId="0" applyFont="1" applyFill="1" applyAlignment="1">
      <alignment horizontal="center" vertical="center"/>
    </xf>
    <xf numFmtId="0" fontId="0" fillId="12" borderId="0" xfId="0" applyFill="1"/>
    <xf numFmtId="0" fontId="0" fillId="13" borderId="0" xfId="0" applyFill="1"/>
    <xf numFmtId="0" fontId="10" fillId="3" borderId="37" xfId="0" applyFont="1" applyFill="1" applyBorder="1" applyAlignment="1">
      <alignment horizontal="left"/>
    </xf>
    <xf numFmtId="0" fontId="0" fillId="3" borderId="38" xfId="0" applyFill="1" applyBorder="1"/>
    <xf numFmtId="0" fontId="17" fillId="11" borderId="0" xfId="0" applyFont="1" applyFill="1" applyAlignment="1">
      <alignment horizontal="right"/>
    </xf>
    <xf numFmtId="0" fontId="37" fillId="11" borderId="0" xfId="0" applyFont="1" applyFill="1" applyAlignment="1">
      <alignment horizontal="center" vertical="center"/>
    </xf>
    <xf numFmtId="0" fontId="0" fillId="3" borderId="41" xfId="0" applyFill="1" applyBorder="1"/>
    <xf numFmtId="0" fontId="11" fillId="2" borderId="49" xfId="0" applyFont="1" applyFill="1" applyBorder="1" applyAlignment="1">
      <alignment horizontal="center" vertical="center"/>
    </xf>
    <xf numFmtId="0" fontId="11" fillId="2" borderId="59" xfId="0" applyFont="1" applyFill="1" applyBorder="1" applyAlignment="1">
      <alignment horizontal="center" vertical="center"/>
    </xf>
    <xf numFmtId="0" fontId="11" fillId="2" borderId="6" xfId="0" applyFont="1" applyFill="1" applyBorder="1" applyAlignment="1">
      <alignment horizontal="center" vertical="center"/>
    </xf>
    <xf numFmtId="0" fontId="0" fillId="15" borderId="40" xfId="0" applyFill="1" applyBorder="1" applyAlignment="1">
      <alignment horizontal="center" vertical="center"/>
    </xf>
    <xf numFmtId="2" fontId="0" fillId="15" borderId="44" xfId="0" applyNumberFormat="1" applyFill="1" applyBorder="1" applyAlignment="1">
      <alignment horizontal="center" vertical="center"/>
    </xf>
    <xf numFmtId="2" fontId="0" fillId="15" borderId="62" xfId="0" applyNumberFormat="1" applyFill="1" applyBorder="1" applyAlignment="1">
      <alignment horizontal="center" vertical="center"/>
    </xf>
    <xf numFmtId="0" fontId="0" fillId="3" borderId="48" xfId="0" applyFill="1" applyBorder="1"/>
    <xf numFmtId="0" fontId="0" fillId="15" borderId="45" xfId="0" applyFill="1" applyBorder="1" applyAlignment="1">
      <alignment horizontal="center" vertical="center"/>
    </xf>
    <xf numFmtId="2" fontId="0" fillId="15" borderId="47" xfId="0" applyNumberFormat="1" applyFill="1" applyBorder="1" applyAlignment="1">
      <alignment horizontal="center" vertical="center"/>
    </xf>
    <xf numFmtId="2" fontId="0" fillId="15" borderId="63" xfId="0" applyNumberFormat="1" applyFill="1" applyBorder="1" applyAlignment="1">
      <alignment horizontal="center" vertical="center"/>
    </xf>
    <xf numFmtId="0" fontId="0" fillId="15" borderId="37" xfId="0" applyFill="1" applyBorder="1" applyAlignment="1">
      <alignment horizontal="center" vertical="center"/>
    </xf>
    <xf numFmtId="2" fontId="0" fillId="15" borderId="43" xfId="0" applyNumberFormat="1" applyFill="1" applyBorder="1" applyAlignment="1">
      <alignment horizontal="center" vertical="center"/>
    </xf>
    <xf numFmtId="2" fontId="0" fillId="15" borderId="65" xfId="0" applyNumberFormat="1" applyFill="1" applyBorder="1" applyAlignment="1">
      <alignment horizontal="center" vertical="center"/>
    </xf>
    <xf numFmtId="0" fontId="39" fillId="3" borderId="40" xfId="0" applyFont="1" applyFill="1" applyBorder="1"/>
    <xf numFmtId="0" fontId="40" fillId="12" borderId="0" xfId="0" applyFont="1" applyFill="1"/>
    <xf numFmtId="167" fontId="36" fillId="12" borderId="0" xfId="0" applyNumberFormat="1" applyFont="1" applyFill="1"/>
    <xf numFmtId="167" fontId="0" fillId="12" borderId="0" xfId="0" applyNumberFormat="1" applyFill="1"/>
    <xf numFmtId="0" fontId="38" fillId="8" borderId="37" xfId="0" applyFont="1" applyFill="1" applyBorder="1"/>
    <xf numFmtId="167" fontId="0" fillId="8" borderId="38" xfId="0" applyNumberFormat="1" applyFill="1" applyBorder="1"/>
    <xf numFmtId="167" fontId="40" fillId="12" borderId="0" xfId="0" applyNumberFormat="1" applyFont="1" applyFill="1"/>
    <xf numFmtId="0" fontId="40" fillId="14" borderId="66" xfId="0" applyFont="1" applyFill="1" applyBorder="1"/>
    <xf numFmtId="0" fontId="0" fillId="8" borderId="38" xfId="0" applyFill="1" applyBorder="1"/>
    <xf numFmtId="0" fontId="0" fillId="12" borderId="0" xfId="0" applyFill="1" applyAlignment="1">
      <alignment horizontal="center" vertical="center"/>
    </xf>
    <xf numFmtId="0" fontId="0" fillId="13" borderId="0" xfId="0" applyFill="1" applyAlignment="1">
      <alignment horizontal="center" vertical="center"/>
    </xf>
    <xf numFmtId="2" fontId="0" fillId="12" borderId="0" xfId="0" applyNumberFormat="1" applyFill="1" applyAlignment="1">
      <alignment horizontal="center" vertical="center"/>
    </xf>
    <xf numFmtId="2" fontId="0" fillId="13" borderId="0" xfId="0" applyNumberFormat="1" applyFill="1" applyAlignment="1">
      <alignment horizontal="center" vertical="center"/>
    </xf>
    <xf numFmtId="0" fontId="11" fillId="16" borderId="0" xfId="0" applyFont="1" applyFill="1"/>
    <xf numFmtId="171" fontId="11" fillId="16" borderId="0" xfId="0" applyNumberFormat="1" applyFont="1" applyFill="1"/>
    <xf numFmtId="10" fontId="0" fillId="0" borderId="0" xfId="5" applyNumberFormat="1" applyFont="1"/>
    <xf numFmtId="10" fontId="0" fillId="0" borderId="0" xfId="5" applyNumberFormat="1" applyFont="1" applyAlignment="1">
      <alignment horizontal="center"/>
    </xf>
    <xf numFmtId="10" fontId="0" fillId="0" borderId="0" xfId="5" applyNumberFormat="1" applyFont="1" applyBorder="1" applyAlignment="1">
      <alignment horizontal="center"/>
    </xf>
    <xf numFmtId="1" fontId="0" fillId="0" borderId="0" xfId="5" applyNumberFormat="1" applyFont="1" applyAlignment="1">
      <alignment horizontal="center"/>
    </xf>
    <xf numFmtId="10" fontId="11" fillId="16" borderId="0" xfId="5" applyNumberFormat="1" applyFont="1" applyFill="1" applyAlignment="1">
      <alignment horizontal="center"/>
    </xf>
    <xf numFmtId="1" fontId="11" fillId="16" borderId="0" xfId="5" applyNumberFormat="1" applyFont="1" applyFill="1" applyAlignment="1">
      <alignment horizontal="center"/>
    </xf>
    <xf numFmtId="10" fontId="11" fillId="16" borderId="0" xfId="5" applyNumberFormat="1" applyFont="1" applyFill="1"/>
    <xf numFmtId="167" fontId="11" fillId="16" borderId="0" xfId="0" applyNumberFormat="1" applyFont="1" applyFill="1"/>
    <xf numFmtId="3" fontId="11" fillId="16" borderId="0" xfId="0" applyNumberFormat="1" applyFont="1" applyFill="1"/>
    <xf numFmtId="176" fontId="11" fillId="16" borderId="0" xfId="0" applyNumberFormat="1" applyFont="1" applyFill="1"/>
    <xf numFmtId="10" fontId="0" fillId="16" borderId="0" xfId="5" applyNumberFormat="1" applyFont="1" applyFill="1"/>
    <xf numFmtId="10" fontId="34" fillId="0" borderId="0" xfId="0" applyNumberFormat="1" applyFont="1" applyBorder="1" applyAlignment="1">
      <alignment horizontal="center"/>
    </xf>
    <xf numFmtId="0" fontId="0" fillId="0" borderId="0" xfId="0" applyAlignment="1">
      <alignment horizontal="center"/>
    </xf>
    <xf numFmtId="10" fontId="0" fillId="0" borderId="0" xfId="0" applyNumberFormat="1" applyFont="1" applyBorder="1" applyAlignment="1">
      <alignment horizontal="center"/>
    </xf>
    <xf numFmtId="10" fontId="34" fillId="0" borderId="0" xfId="0" applyNumberFormat="1" applyFont="1" applyFill="1" applyBorder="1" applyAlignment="1">
      <alignment horizontal="center"/>
    </xf>
    <xf numFmtId="3" fontId="31" fillId="0" borderId="0" xfId="0" applyNumberFormat="1" applyFont="1" applyBorder="1"/>
    <xf numFmtId="3" fontId="31" fillId="0" borderId="46" xfId="0" applyNumberFormat="1" applyFont="1" applyBorder="1"/>
    <xf numFmtId="0" fontId="41" fillId="3" borderId="40" xfId="0" applyFont="1" applyFill="1" applyBorder="1"/>
    <xf numFmtId="3" fontId="41" fillId="3" borderId="41" xfId="0" applyNumberFormat="1" applyFont="1" applyFill="1" applyBorder="1"/>
    <xf numFmtId="0" fontId="41" fillId="3" borderId="41" xfId="0" applyFont="1" applyFill="1" applyBorder="1"/>
    <xf numFmtId="0" fontId="42" fillId="14" borderId="64" xfId="0" applyFont="1" applyFill="1" applyBorder="1"/>
    <xf numFmtId="0" fontId="31" fillId="14" borderId="64" xfId="0" applyFont="1" applyFill="1" applyBorder="1"/>
    <xf numFmtId="3" fontId="42" fillId="14" borderId="68" xfId="0" applyNumberFormat="1" applyFont="1" applyFill="1" applyBorder="1"/>
    <xf numFmtId="167" fontId="11" fillId="14" borderId="68" xfId="0" applyNumberFormat="1" applyFont="1" applyFill="1" applyBorder="1"/>
    <xf numFmtId="0" fontId="11" fillId="14" borderId="64" xfId="0" applyFont="1" applyFill="1" applyBorder="1"/>
    <xf numFmtId="0" fontId="11" fillId="14" borderId="60" xfId="0" applyFont="1" applyFill="1" applyBorder="1"/>
    <xf numFmtId="0" fontId="11" fillId="14" borderId="40" xfId="0" applyFont="1" applyFill="1" applyBorder="1"/>
    <xf numFmtId="0" fontId="11" fillId="14" borderId="45" xfId="0" applyFont="1" applyFill="1" applyBorder="1"/>
    <xf numFmtId="167" fontId="11" fillId="14" borderId="48" xfId="0" applyNumberFormat="1" applyFont="1" applyFill="1" applyBorder="1"/>
    <xf numFmtId="3" fontId="43" fillId="14" borderId="67" xfId="0" applyNumberFormat="1" applyFont="1" applyFill="1" applyBorder="1"/>
    <xf numFmtId="3" fontId="43" fillId="14" borderId="41" xfId="0" applyNumberFormat="1" applyFont="1" applyFill="1" applyBorder="1"/>
    <xf numFmtId="0" fontId="40" fillId="14" borderId="64" xfId="0" applyFont="1" applyFill="1" applyBorder="1"/>
    <xf numFmtId="167" fontId="11" fillId="14" borderId="67" xfId="0" applyNumberFormat="1" applyFont="1" applyFill="1" applyBorder="1"/>
    <xf numFmtId="3" fontId="43" fillId="14" borderId="48" xfId="0" applyNumberFormat="1" applyFont="1" applyFill="1" applyBorder="1"/>
    <xf numFmtId="3" fontId="43" fillId="14" borderId="69" xfId="0" applyNumberFormat="1" applyFont="1" applyFill="1" applyBorder="1"/>
    <xf numFmtId="0" fontId="41" fillId="3" borderId="45" xfId="0" applyFont="1" applyFill="1" applyBorder="1"/>
    <xf numFmtId="0" fontId="41" fillId="3" borderId="48" xfId="0" applyFont="1" applyFill="1" applyBorder="1"/>
    <xf numFmtId="0" fontId="36" fillId="12" borderId="0" xfId="0" applyFont="1" applyFill="1" applyBorder="1"/>
    <xf numFmtId="0" fontId="12" fillId="12" borderId="0" xfId="0" applyFont="1" applyFill="1" applyBorder="1"/>
    <xf numFmtId="0" fontId="0" fillId="12" borderId="0" xfId="0" applyFill="1" applyBorder="1"/>
    <xf numFmtId="167" fontId="9" fillId="0" borderId="0" xfId="6" applyNumberFormat="1" applyFont="1"/>
    <xf numFmtId="0" fontId="11" fillId="0" borderId="0" xfId="6" applyFont="1"/>
    <xf numFmtId="0" fontId="11" fillId="16" borderId="0" xfId="6" applyFont="1" applyFill="1"/>
    <xf numFmtId="167" fontId="11" fillId="16" borderId="0" xfId="6" applyNumberFormat="1" applyFont="1" applyFill="1"/>
    <xf numFmtId="1" fontId="0" fillId="0" borderId="0" xfId="0" applyNumberFormat="1" applyAlignment="1">
      <alignment horizontal="center"/>
    </xf>
    <xf numFmtId="1" fontId="11" fillId="16" borderId="0" xfId="0" applyNumberFormat="1" applyFont="1" applyFill="1" applyAlignment="1">
      <alignment horizontal="center"/>
    </xf>
    <xf numFmtId="4" fontId="0" fillId="0" borderId="55" xfId="0" applyNumberFormat="1" applyFill="1" applyBorder="1"/>
    <xf numFmtId="17" fontId="0" fillId="0" borderId="70" xfId="0" applyNumberFormat="1" applyFill="1" applyBorder="1" applyAlignment="1">
      <alignment horizontal="right"/>
    </xf>
    <xf numFmtId="3" fontId="0" fillId="0" borderId="3" xfId="0" applyNumberFormat="1" applyFont="1" applyFill="1" applyBorder="1" applyAlignment="1">
      <alignment vertical="center"/>
    </xf>
    <xf numFmtId="4" fontId="0" fillId="0" borderId="3" xfId="0" applyNumberFormat="1" applyFill="1" applyBorder="1"/>
    <xf numFmtId="164" fontId="0" fillId="0" borderId="3" xfId="0" applyNumberFormat="1" applyFill="1" applyBorder="1"/>
    <xf numFmtId="4" fontId="0" fillId="0" borderId="61" xfId="0" applyNumberFormat="1" applyFill="1" applyBorder="1"/>
    <xf numFmtId="3" fontId="41" fillId="3" borderId="41" xfId="4" applyNumberFormat="1" applyFont="1" applyFill="1" applyBorder="1" applyAlignment="1"/>
    <xf numFmtId="164" fontId="0" fillId="2" borderId="3" xfId="0" applyNumberFormat="1" applyFill="1" applyBorder="1"/>
    <xf numFmtId="164" fontId="0" fillId="4" borderId="1" xfId="0" applyNumberFormat="1" applyFill="1" applyBorder="1"/>
    <xf numFmtId="0" fontId="0" fillId="0" borderId="71" xfId="0" applyBorder="1" applyAlignment="1">
      <alignment horizontal="center"/>
    </xf>
    <xf numFmtId="3" fontId="0" fillId="4" borderId="3" xfId="0" applyNumberFormat="1" applyFont="1" applyFill="1" applyBorder="1" applyAlignment="1">
      <alignment vertical="center"/>
    </xf>
    <xf numFmtId="4" fontId="0" fillId="4" borderId="36" xfId="0" applyNumberFormat="1" applyFill="1" applyBorder="1"/>
    <xf numFmtId="4" fontId="0" fillId="4" borderId="3" xfId="0" applyNumberFormat="1" applyFill="1" applyBorder="1"/>
    <xf numFmtId="164" fontId="0" fillId="4" borderId="3" xfId="0" applyNumberFormat="1" applyFill="1" applyBorder="1"/>
    <xf numFmtId="4" fontId="0" fillId="4" borderId="61" xfId="0" applyNumberFormat="1" applyFill="1" applyBorder="1"/>
    <xf numFmtId="17" fontId="0" fillId="4" borderId="70" xfId="0" applyNumberFormat="1" applyFill="1" applyBorder="1" applyAlignment="1">
      <alignment horizontal="right"/>
    </xf>
    <xf numFmtId="17" fontId="0" fillId="0" borderId="27" xfId="0" applyNumberFormat="1" applyFill="1" applyBorder="1" applyAlignment="1">
      <alignment horizontal="right"/>
    </xf>
    <xf numFmtId="3" fontId="0" fillId="0" borderId="19" xfId="0" applyNumberFormat="1" applyFont="1" applyFill="1" applyBorder="1" applyAlignment="1">
      <alignment vertical="center"/>
    </xf>
    <xf numFmtId="164" fontId="0" fillId="0" borderId="19" xfId="0" applyNumberFormat="1" applyFill="1" applyBorder="1"/>
    <xf numFmtId="17" fontId="0" fillId="2" borderId="70" xfId="0" applyNumberFormat="1" applyFill="1" applyBorder="1" applyAlignment="1">
      <alignment horizontal="right"/>
    </xf>
    <xf numFmtId="3" fontId="0" fillId="2" borderId="3" xfId="0" applyNumberFormat="1" applyFont="1" applyFill="1" applyBorder="1" applyAlignment="1">
      <alignment vertical="center"/>
    </xf>
    <xf numFmtId="4" fontId="0" fillId="2" borderId="36" xfId="0" applyNumberFormat="1" applyFill="1" applyBorder="1"/>
    <xf numFmtId="4" fontId="0" fillId="2" borderId="3" xfId="0" applyNumberFormat="1" applyFill="1" applyBorder="1"/>
    <xf numFmtId="4" fontId="0" fillId="2" borderId="61" xfId="0" applyNumberFormat="1" applyFill="1" applyBorder="1"/>
    <xf numFmtId="166" fontId="14" fillId="5" borderId="0" xfId="1" applyFont="1" applyFill="1" applyAlignment="1">
      <alignment horizontal="center"/>
    </xf>
    <xf numFmtId="166" fontId="14" fillId="5" borderId="0" xfId="1" applyFont="1" applyFill="1" applyAlignment="1">
      <alignment horizontal="center" vertical="center"/>
    </xf>
    <xf numFmtId="10" fontId="0" fillId="2" borderId="1" xfId="5" applyNumberFormat="1" applyFont="1" applyFill="1" applyBorder="1" applyAlignment="1">
      <alignment horizontal="center"/>
    </xf>
    <xf numFmtId="10" fontId="0" fillId="2" borderId="1" xfId="0" applyNumberFormat="1" applyFill="1" applyBorder="1" applyAlignment="1">
      <alignment horizontal="center"/>
    </xf>
    <xf numFmtId="0" fontId="0" fillId="3" borderId="40" xfId="0" applyFill="1" applyBorder="1"/>
    <xf numFmtId="3" fontId="0" fillId="3" borderId="41" xfId="0" applyNumberFormat="1" applyFill="1" applyBorder="1"/>
    <xf numFmtId="0" fontId="0" fillId="3" borderId="45" xfId="0" applyFill="1" applyBorder="1"/>
    <xf numFmtId="3" fontId="0" fillId="3" borderId="48" xfId="0" applyNumberFormat="1" applyFill="1" applyBorder="1"/>
    <xf numFmtId="0" fontId="34" fillId="12" borderId="0" xfId="0" applyFont="1" applyFill="1" applyAlignment="1">
      <alignment horizontal="right"/>
    </xf>
    <xf numFmtId="2" fontId="0" fillId="18" borderId="1" xfId="0" applyNumberFormat="1" applyFill="1" applyBorder="1" applyAlignment="1">
      <alignment horizontal="center" vertical="center"/>
    </xf>
    <xf numFmtId="2" fontId="0" fillId="18" borderId="19" xfId="0" applyNumberFormat="1" applyFill="1" applyBorder="1" applyAlignment="1">
      <alignment horizontal="center" vertical="center"/>
    </xf>
    <xf numFmtId="2" fontId="0" fillId="18" borderId="26" xfId="0" applyNumberFormat="1" applyFill="1" applyBorder="1" applyAlignment="1">
      <alignment horizontal="center" vertical="center"/>
    </xf>
    <xf numFmtId="2" fontId="0" fillId="18" borderId="29" xfId="0" applyNumberFormat="1" applyFill="1" applyBorder="1" applyAlignment="1">
      <alignment horizontal="center" vertical="center"/>
    </xf>
    <xf numFmtId="0" fontId="11" fillId="18" borderId="25" xfId="0" applyFont="1" applyFill="1" applyBorder="1" applyAlignment="1">
      <alignment horizontal="left" vertical="center"/>
    </xf>
    <xf numFmtId="0" fontId="11" fillId="18" borderId="27" xfId="0" applyFont="1" applyFill="1" applyBorder="1" applyAlignment="1">
      <alignment horizontal="left" vertical="center"/>
    </xf>
    <xf numFmtId="0" fontId="11" fillId="18" borderId="22" xfId="0" applyFont="1" applyFill="1" applyBorder="1" applyAlignment="1">
      <alignment horizontal="center" vertical="center"/>
    </xf>
    <xf numFmtId="0" fontId="11" fillId="18" borderId="24" xfId="0" applyFont="1" applyFill="1" applyBorder="1" applyAlignment="1">
      <alignment horizontal="center" vertical="center"/>
    </xf>
    <xf numFmtId="0" fontId="11" fillId="18" borderId="21" xfId="0" applyFont="1" applyFill="1" applyBorder="1" applyAlignment="1">
      <alignment horizontal="center" vertical="center"/>
    </xf>
    <xf numFmtId="10" fontId="0" fillId="0" borderId="0" xfId="0" applyNumberFormat="1" applyAlignment="1">
      <alignment horizontal="center"/>
    </xf>
    <xf numFmtId="166" fontId="18" fillId="8" borderId="0" xfId="1" applyFont="1" applyFill="1" applyAlignment="1">
      <alignment horizontal="left"/>
    </xf>
    <xf numFmtId="167" fontId="41" fillId="3" borderId="41" xfId="0" applyNumberFormat="1" applyFont="1" applyFill="1" applyBorder="1"/>
    <xf numFmtId="167" fontId="42" fillId="14" borderId="68" xfId="0" applyNumberFormat="1" applyFont="1" applyFill="1" applyBorder="1"/>
    <xf numFmtId="167" fontId="43" fillId="14" borderId="67" xfId="0" applyNumberFormat="1" applyFont="1" applyFill="1" applyBorder="1"/>
    <xf numFmtId="167" fontId="43" fillId="14" borderId="41" xfId="0" applyNumberFormat="1" applyFont="1" applyFill="1" applyBorder="1"/>
    <xf numFmtId="167" fontId="43" fillId="14" borderId="48" xfId="0" applyNumberFormat="1" applyFont="1" applyFill="1" applyBorder="1"/>
    <xf numFmtId="167" fontId="43" fillId="14" borderId="69" xfId="0" applyNumberFormat="1" applyFont="1" applyFill="1" applyBorder="1"/>
    <xf numFmtId="9" fontId="41" fillId="3" borderId="48" xfId="5" applyFont="1" applyFill="1" applyBorder="1"/>
    <xf numFmtId="3" fontId="10" fillId="2" borderId="0" xfId="0" applyNumberFormat="1" applyFont="1" applyFill="1" applyBorder="1"/>
    <xf numFmtId="10" fontId="27" fillId="0" borderId="0" xfId="0" applyNumberFormat="1" applyFont="1" applyBorder="1"/>
    <xf numFmtId="0" fontId="29" fillId="0" borderId="0" xfId="0" applyFont="1" applyAlignment="1">
      <alignment vertical="center"/>
    </xf>
    <xf numFmtId="0" fontId="28" fillId="0" borderId="0" xfId="0" applyFont="1" applyAlignment="1">
      <alignment vertical="center" wrapText="1"/>
    </xf>
    <xf numFmtId="3" fontId="0" fillId="0" borderId="53" xfId="0" applyNumberFormat="1" applyFill="1" applyBorder="1"/>
    <xf numFmtId="3" fontId="0" fillId="0" borderId="54" xfId="0" applyNumberFormat="1" applyFill="1" applyBorder="1"/>
    <xf numFmtId="0" fontId="29" fillId="0" borderId="53" xfId="0" applyFont="1" applyBorder="1" applyAlignment="1">
      <alignment vertical="center"/>
    </xf>
    <xf numFmtId="0" fontId="29" fillId="0" borderId="53" xfId="0" applyFont="1" applyBorder="1" applyAlignment="1">
      <alignment horizontal="center" vertical="center"/>
    </xf>
    <xf numFmtId="0" fontId="0" fillId="0" borderId="53" xfId="0" applyBorder="1"/>
    <xf numFmtId="0" fontId="28" fillId="0" borderId="53" xfId="0" applyFont="1" applyBorder="1" applyAlignment="1">
      <alignment vertical="center" wrapText="1"/>
    </xf>
    <xf numFmtId="0" fontId="28" fillId="0" borderId="53" xfId="0" applyFont="1" applyBorder="1" applyAlignment="1">
      <alignment horizontal="center" vertical="center" wrapText="1"/>
    </xf>
    <xf numFmtId="0" fontId="11" fillId="11" borderId="53" xfId="0" applyFont="1" applyFill="1" applyBorder="1" applyAlignment="1">
      <alignment horizontal="center"/>
    </xf>
    <xf numFmtId="10" fontId="10" fillId="17" borderId="53" xfId="0" applyNumberFormat="1" applyFont="1" applyFill="1" applyBorder="1"/>
    <xf numFmtId="0" fontId="0" fillId="0" borderId="53" xfId="0" applyFill="1" applyBorder="1"/>
    <xf numFmtId="10" fontId="0" fillId="0" borderId="53" xfId="0" applyNumberFormat="1" applyBorder="1"/>
    <xf numFmtId="0" fontId="0" fillId="0" borderId="54" xfId="0" applyBorder="1"/>
    <xf numFmtId="3" fontId="11" fillId="0" borderId="41" xfId="0" applyNumberFormat="1" applyFont="1" applyBorder="1"/>
    <xf numFmtId="3" fontId="11" fillId="0" borderId="48" xfId="0" applyNumberFormat="1" applyFont="1" applyBorder="1"/>
    <xf numFmtId="0" fontId="11" fillId="11" borderId="52" xfId="0" applyFont="1" applyFill="1" applyBorder="1" applyAlignment="1">
      <alignment horizontal="center"/>
    </xf>
    <xf numFmtId="10" fontId="0" fillId="0" borderId="0" xfId="0" applyNumberFormat="1" applyFont="1" applyFill="1" applyBorder="1"/>
    <xf numFmtId="166" fontId="12" fillId="8" borderId="0" xfId="1" applyFill="1"/>
    <xf numFmtId="0" fontId="5" fillId="0" borderId="37"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8" xfId="0" applyFont="1" applyBorder="1" applyAlignment="1">
      <alignment horizontal="center" vertical="center" wrapText="1"/>
    </xf>
    <xf numFmtId="0" fontId="2" fillId="0" borderId="0" xfId="0" applyFont="1" applyAlignment="1">
      <alignment horizontal="left" vertical="center"/>
    </xf>
    <xf numFmtId="0" fontId="1" fillId="0" borderId="8" xfId="0" applyFont="1" applyFill="1" applyBorder="1" applyAlignment="1">
      <alignment horizontal="left" vertical="center"/>
    </xf>
    <xf numFmtId="0" fontId="1" fillId="0" borderId="9" xfId="0" applyFont="1" applyFill="1" applyBorder="1" applyAlignment="1">
      <alignment horizontal="left" vertical="center"/>
    </xf>
    <xf numFmtId="0" fontId="1" fillId="0" borderId="10" xfId="0" applyFont="1" applyFill="1" applyBorder="1" applyAlignment="1">
      <alignment horizontal="left" vertical="center"/>
    </xf>
    <xf numFmtId="0" fontId="1" fillId="0" borderId="11" xfId="0" applyFont="1" applyFill="1" applyBorder="1" applyAlignment="1">
      <alignment horizontal="left" vertical="center"/>
    </xf>
    <xf numFmtId="0" fontId="1" fillId="0" borderId="7" xfId="0" applyFont="1" applyFill="1" applyBorder="1" applyAlignment="1">
      <alignment horizontal="left" vertical="center"/>
    </xf>
    <xf numFmtId="0" fontId="1" fillId="0" borderId="12" xfId="0" applyFont="1" applyFill="1" applyBorder="1" applyAlignment="1">
      <alignment horizontal="left" vertical="center"/>
    </xf>
    <xf numFmtId="0" fontId="0" fillId="0" borderId="21" xfId="0" applyFont="1" applyBorder="1" applyAlignment="1">
      <alignment horizontal="center" vertical="center"/>
    </xf>
    <xf numFmtId="0" fontId="0" fillId="0" borderId="22" xfId="0" applyFont="1" applyBorder="1" applyAlignment="1">
      <alignment horizontal="center" vertical="center"/>
    </xf>
    <xf numFmtId="0" fontId="0" fillId="3" borderId="25" xfId="0" applyFont="1" applyFill="1" applyBorder="1" applyAlignment="1">
      <alignment horizontal="center"/>
    </xf>
    <xf numFmtId="0" fontId="0" fillId="3" borderId="1" xfId="0" applyFont="1" applyFill="1" applyBorder="1" applyAlignment="1">
      <alignment horizontal="center"/>
    </xf>
    <xf numFmtId="0" fontId="3" fillId="0" borderId="0" xfId="0" applyFont="1" applyAlignment="1">
      <alignment horizontal="left"/>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30" xfId="0" applyFont="1" applyBorder="1" applyAlignment="1">
      <alignment horizontal="center" vertical="center"/>
    </xf>
    <xf numFmtId="0" fontId="1" fillId="0" borderId="0" xfId="0" applyFont="1" applyAlignment="1">
      <alignment horizontal="center" vertical="center"/>
    </xf>
    <xf numFmtId="10" fontId="0" fillId="0" borderId="27" xfId="0" applyNumberFormat="1" applyBorder="1" applyAlignment="1">
      <alignment horizontal="center"/>
    </xf>
    <xf numFmtId="10" fontId="0" fillId="0" borderId="19" xfId="0" applyNumberFormat="1" applyBorder="1" applyAlignment="1">
      <alignment horizontal="center"/>
    </xf>
    <xf numFmtId="0" fontId="0" fillId="0" borderId="13" xfId="0" applyFont="1" applyBorder="1" applyAlignment="1">
      <alignment horizontal="center" wrapText="1"/>
    </xf>
    <xf numFmtId="0" fontId="0" fillId="0" borderId="14" xfId="0" applyFont="1" applyBorder="1" applyAlignment="1">
      <alignment horizontal="center" wrapText="1"/>
    </xf>
    <xf numFmtId="0" fontId="0" fillId="0" borderId="16" xfId="0" applyFont="1" applyBorder="1" applyAlignment="1">
      <alignment horizontal="center" wrapText="1"/>
    </xf>
    <xf numFmtId="0" fontId="0" fillId="0" borderId="17" xfId="0" applyFont="1" applyBorder="1" applyAlignment="1">
      <alignment horizontal="center" wrapText="1"/>
    </xf>
    <xf numFmtId="0" fontId="4" fillId="0" borderId="15" xfId="0" applyFont="1" applyBorder="1" applyAlignment="1">
      <alignment horizontal="center" vertical="center"/>
    </xf>
    <xf numFmtId="0" fontId="4" fillId="0" borderId="18" xfId="0" applyFont="1" applyBorder="1" applyAlignment="1">
      <alignment horizontal="center" vertical="center"/>
    </xf>
    <xf numFmtId="4" fontId="0" fillId="0" borderId="0" xfId="0" applyNumberFormat="1" applyBorder="1" applyAlignment="1">
      <alignment horizontal="center"/>
    </xf>
    <xf numFmtId="0" fontId="0" fillId="2" borderId="37" xfId="0" applyFill="1" applyBorder="1" applyAlignment="1">
      <alignment horizontal="center"/>
    </xf>
    <xf numFmtId="0" fontId="0" fillId="2" borderId="42" xfId="0" applyFill="1" applyBorder="1" applyAlignment="1">
      <alignment horizontal="center"/>
    </xf>
    <xf numFmtId="0" fontId="0" fillId="2" borderId="38" xfId="0" applyFill="1" applyBorder="1" applyAlignment="1">
      <alignment horizontal="center"/>
    </xf>
    <xf numFmtId="0" fontId="33" fillId="0" borderId="0" xfId="0" applyFont="1" applyAlignment="1">
      <alignment horizontal="center" vertical="center" wrapText="1"/>
    </xf>
    <xf numFmtId="0" fontId="0" fillId="0" borderId="0" xfId="0" applyAlignment="1">
      <alignment horizontal="left" vertical="top" wrapText="1"/>
    </xf>
    <xf numFmtId="172" fontId="15" fillId="0" borderId="45" xfId="1" applyNumberFormat="1" applyFont="1" applyBorder="1" applyAlignment="1">
      <alignment horizontal="center"/>
    </xf>
    <xf numFmtId="172" fontId="15" fillId="0" borderId="48" xfId="1" applyNumberFormat="1" applyFont="1" applyBorder="1" applyAlignment="1">
      <alignment horizontal="center"/>
    </xf>
    <xf numFmtId="166" fontId="12" fillId="5" borderId="37" xfId="1" applyFill="1" applyBorder="1" applyAlignment="1">
      <alignment horizontal="right" vertical="center" wrapText="1"/>
    </xf>
    <xf numFmtId="166" fontId="12" fillId="5" borderId="45" xfId="1" applyFill="1" applyBorder="1" applyAlignment="1">
      <alignment horizontal="right" vertical="center" wrapText="1"/>
    </xf>
    <xf numFmtId="172" fontId="15" fillId="0" borderId="38" xfId="1" applyNumberFormat="1" applyFont="1" applyBorder="1" applyAlignment="1">
      <alignment horizontal="right" vertical="center"/>
    </xf>
    <xf numFmtId="172" fontId="15" fillId="0" borderId="48" xfId="1" applyNumberFormat="1" applyFont="1" applyBorder="1" applyAlignment="1">
      <alignment horizontal="right" vertical="center"/>
    </xf>
    <xf numFmtId="166" fontId="18" fillId="0" borderId="37" xfId="1" applyFont="1" applyBorder="1" applyAlignment="1">
      <alignment horizontal="left" vertical="center" wrapText="1"/>
    </xf>
    <xf numFmtId="166" fontId="18" fillId="0" borderId="42" xfId="1" applyFont="1" applyBorder="1" applyAlignment="1">
      <alignment horizontal="left" vertical="center" wrapText="1"/>
    </xf>
    <xf numFmtId="166" fontId="18" fillId="0" borderId="40" xfId="1" applyFont="1" applyBorder="1" applyAlignment="1">
      <alignment horizontal="left" vertical="center" wrapText="1"/>
    </xf>
    <xf numFmtId="166" fontId="18" fillId="0" borderId="0" xfId="1" applyFont="1" applyAlignment="1">
      <alignment horizontal="left" vertical="center" wrapText="1"/>
    </xf>
    <xf numFmtId="172" fontId="12" fillId="0" borderId="0" xfId="1" applyNumberFormat="1" applyAlignment="1">
      <alignment horizontal="center" vertical="center"/>
    </xf>
    <xf numFmtId="166" fontId="18" fillId="0" borderId="46" xfId="1" applyFont="1" applyBorder="1" applyAlignment="1">
      <alignment horizontal="center"/>
    </xf>
    <xf numFmtId="166" fontId="18" fillId="0" borderId="48" xfId="1" applyFont="1" applyBorder="1" applyAlignment="1">
      <alignment horizontal="center"/>
    </xf>
    <xf numFmtId="166" fontId="14" fillId="6" borderId="42" xfId="1" applyFont="1" applyFill="1" applyBorder="1" applyAlignment="1">
      <alignment horizontal="center"/>
    </xf>
    <xf numFmtId="166" fontId="13" fillId="5" borderId="37" xfId="1" applyFont="1" applyFill="1" applyBorder="1" applyAlignment="1">
      <alignment horizontal="center"/>
    </xf>
    <xf numFmtId="166" fontId="13" fillId="5" borderId="42" xfId="1" applyFont="1" applyFill="1" applyBorder="1" applyAlignment="1">
      <alignment horizontal="center"/>
    </xf>
    <xf numFmtId="166" fontId="14" fillId="5" borderId="43" xfId="1" applyFont="1" applyFill="1" applyBorder="1" applyAlignment="1">
      <alignment horizontal="center"/>
    </xf>
    <xf numFmtId="166" fontId="14" fillId="5" borderId="42" xfId="1" applyFont="1" applyFill="1" applyBorder="1" applyAlignment="1">
      <alignment horizontal="center"/>
    </xf>
    <xf numFmtId="172" fontId="14" fillId="0" borderId="44" xfId="1" applyNumberFormat="1" applyFont="1" applyBorder="1" applyAlignment="1">
      <alignment horizontal="center"/>
    </xf>
    <xf numFmtId="172" fontId="14" fillId="0" borderId="0" xfId="1" applyNumberFormat="1" applyFont="1" applyBorder="1" applyAlignment="1">
      <alignment horizontal="center"/>
    </xf>
    <xf numFmtId="172" fontId="14" fillId="0" borderId="47" xfId="1" applyNumberFormat="1" applyFont="1" applyBorder="1" applyAlignment="1">
      <alignment horizontal="center"/>
    </xf>
    <xf numFmtId="172" fontId="14" fillId="0" borderId="46" xfId="1" applyNumberFormat="1" applyFont="1" applyBorder="1" applyAlignment="1">
      <alignment horizontal="center"/>
    </xf>
    <xf numFmtId="166" fontId="18" fillId="0" borderId="0" xfId="1" applyFont="1" applyAlignment="1">
      <alignment horizontal="center" vertical="center" wrapText="1"/>
    </xf>
    <xf numFmtId="170" fontId="18" fillId="0" borderId="0" xfId="2" applyNumberFormat="1" applyFont="1" applyAlignment="1">
      <alignment horizontal="left" vertical="center" wrapText="1"/>
    </xf>
    <xf numFmtId="166" fontId="14" fillId="6" borderId="42" xfId="1" applyFont="1" applyFill="1" applyBorder="1" applyAlignment="1">
      <alignment horizontal="center" vertical="center"/>
    </xf>
    <xf numFmtId="166" fontId="14" fillId="6" borderId="38" xfId="1" applyFont="1" applyFill="1" applyBorder="1" applyAlignment="1">
      <alignment horizontal="center" vertical="center"/>
    </xf>
    <xf numFmtId="166" fontId="32" fillId="5" borderId="37" xfId="1" applyFont="1" applyFill="1" applyBorder="1" applyAlignment="1">
      <alignment horizontal="center"/>
    </xf>
    <xf numFmtId="166" fontId="32" fillId="5" borderId="38" xfId="1" applyFont="1" applyFill="1" applyBorder="1" applyAlignment="1">
      <alignment horizontal="center"/>
    </xf>
    <xf numFmtId="172" fontId="15" fillId="0" borderId="40" xfId="1" applyNumberFormat="1" applyFont="1" applyBorder="1" applyAlignment="1">
      <alignment horizontal="center"/>
    </xf>
    <xf numFmtId="172" fontId="15" fillId="0" borderId="41" xfId="1" applyNumberFormat="1" applyFont="1" applyBorder="1" applyAlignment="1">
      <alignment horizontal="center"/>
    </xf>
    <xf numFmtId="166" fontId="14" fillId="6" borderId="38" xfId="1" applyFont="1" applyFill="1" applyBorder="1" applyAlignment="1">
      <alignment horizontal="center"/>
    </xf>
    <xf numFmtId="0" fontId="0" fillId="12" borderId="0" xfId="0" applyFill="1" applyBorder="1" applyAlignment="1">
      <alignment horizontal="center" vertical="center"/>
    </xf>
    <xf numFmtId="0" fontId="11" fillId="3" borderId="25" xfId="0" applyFont="1" applyFill="1" applyBorder="1" applyAlignment="1">
      <alignment horizontal="center" vertical="center"/>
    </xf>
    <xf numFmtId="0" fontId="11" fillId="3" borderId="27" xfId="0" applyFont="1" applyFill="1" applyBorder="1" applyAlignment="1">
      <alignment horizontal="center" vertical="center"/>
    </xf>
    <xf numFmtId="0" fontId="38" fillId="8" borderId="57" xfId="0" applyFont="1" applyFill="1" applyBorder="1" applyAlignment="1">
      <alignment horizontal="left"/>
    </xf>
    <xf numFmtId="0" fontId="38" fillId="8" borderId="58" xfId="0" applyFont="1" applyFill="1" applyBorder="1" applyAlignment="1">
      <alignment horizontal="left"/>
    </xf>
    <xf numFmtId="0" fontId="38" fillId="8" borderId="37" xfId="0" applyFont="1" applyFill="1" applyBorder="1" applyAlignment="1">
      <alignment horizontal="left"/>
    </xf>
    <xf numFmtId="0" fontId="38" fillId="8" borderId="38" xfId="0" applyFont="1" applyFill="1" applyBorder="1" applyAlignment="1">
      <alignment horizontal="left"/>
    </xf>
    <xf numFmtId="0" fontId="42" fillId="3" borderId="37" xfId="0" applyFont="1" applyFill="1" applyBorder="1" applyAlignment="1">
      <alignment horizontal="center"/>
    </xf>
    <xf numFmtId="0" fontId="42" fillId="3" borderId="38" xfId="0" applyFont="1" applyFill="1" applyBorder="1" applyAlignment="1">
      <alignment horizontal="center"/>
    </xf>
  </cellXfs>
  <cellStyles count="7">
    <cellStyle name="Collegamento ipertestuale" xfId="6" builtinId="8"/>
    <cellStyle name="Migliaia" xfId="4" builtinId="3"/>
    <cellStyle name="Migliaia 2" xfId="2" xr:uid="{17841A51-B136-7F4E-A43F-1B7D5246DAE6}"/>
    <cellStyle name="Normale" xfId="0" builtinId="0"/>
    <cellStyle name="Normale 2" xfId="1" xr:uid="{67C19C49-C318-3147-9EE5-CBD02203977E}"/>
    <cellStyle name="Normale 3" xfId="3" xr:uid="{9978765B-A3DB-F345-935B-19D655284BCA}"/>
    <cellStyle name="Percentuale" xfId="5" builtinId="5"/>
  </cellStyles>
  <dxfs count="2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73FEFF"/>
      <color rgb="FFFFFC00"/>
      <color rgb="FF76D6FF"/>
      <color rgb="FFFFB7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Demand profile &amp; trend line (FABRICS)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'FABRICS - retail'!$A$38:$A$45</c:f>
              <c:strCache>
                <c:ptCount val="8"/>
                <c:pt idx="0">
                  <c:v>Q1 - 2018</c:v>
                </c:pt>
                <c:pt idx="1">
                  <c:v>Q2 - 2018</c:v>
                </c:pt>
                <c:pt idx="2">
                  <c:v>Q3 - 2018</c:v>
                </c:pt>
                <c:pt idx="3">
                  <c:v>Q4 - 2018</c:v>
                </c:pt>
                <c:pt idx="4">
                  <c:v>Q1 - 2019</c:v>
                </c:pt>
                <c:pt idx="5">
                  <c:v>Q2 - 2019</c:v>
                </c:pt>
                <c:pt idx="6">
                  <c:v>Q3 - 2019</c:v>
                </c:pt>
                <c:pt idx="7">
                  <c:v>Q4 - 2019</c:v>
                </c:pt>
              </c:strCache>
            </c:strRef>
          </c:cat>
          <c:val>
            <c:numRef>
              <c:f>'FABRICS - retail'!$F$12:$F$17</c:f>
              <c:numCache>
                <c:formatCode>General</c:formatCode>
                <c:ptCount val="6"/>
                <c:pt idx="2" formatCode="#,##0.00">
                  <c:v>437300.25</c:v>
                </c:pt>
                <c:pt idx="3" formatCode="#,##0.00">
                  <c:v>438418.125</c:v>
                </c:pt>
                <c:pt idx="4" formatCode="#,##0.00">
                  <c:v>457155.875</c:v>
                </c:pt>
                <c:pt idx="5" formatCode="#,##0.00">
                  <c:v>475970.625</c:v>
                </c:pt>
              </c:numCache>
            </c:numRef>
          </c:val>
          <c:smooth val="0"/>
          <c:extLst>
            <c:ext xmlns:c16="http://schemas.microsoft.com/office/drawing/2014/chart" uri="{C3380CC4-5D6E-409C-BE32-E72D297353CC}">
              <c16:uniqueId val="{00000000-B72B-5B4D-BF9E-ED09223486A7}"/>
            </c:ext>
          </c:extLst>
        </c:ser>
        <c:ser>
          <c:idx val="1"/>
          <c:order val="1"/>
          <c:spPr>
            <a:ln w="34925" cap="rnd">
              <a:solidFill>
                <a:schemeClr val="accent2"/>
              </a:solidFill>
              <a:round/>
            </a:ln>
            <a:effectLst>
              <a:outerShdw blurRad="57150" dist="19050" dir="5400000" algn="ctr" rotWithShape="0">
                <a:srgbClr val="000000">
                  <a:alpha val="63000"/>
                </a:srgbClr>
              </a:outerShdw>
            </a:effectLst>
          </c:spPr>
          <c:marker>
            <c:symbol val="none"/>
          </c:marker>
          <c:cat>
            <c:strRef>
              <c:f>'FABRICS - retail'!$A$38:$A$45</c:f>
              <c:strCache>
                <c:ptCount val="8"/>
                <c:pt idx="0">
                  <c:v>Q1 - 2018</c:v>
                </c:pt>
                <c:pt idx="1">
                  <c:v>Q2 - 2018</c:v>
                </c:pt>
                <c:pt idx="2">
                  <c:v>Q3 - 2018</c:v>
                </c:pt>
                <c:pt idx="3">
                  <c:v>Q4 - 2018</c:v>
                </c:pt>
                <c:pt idx="4">
                  <c:v>Q1 - 2019</c:v>
                </c:pt>
                <c:pt idx="5">
                  <c:v>Q2 - 2019</c:v>
                </c:pt>
                <c:pt idx="6">
                  <c:v>Q3 - 2019</c:v>
                </c:pt>
                <c:pt idx="7">
                  <c:v>Q4 - 2019</c:v>
                </c:pt>
              </c:strCache>
            </c:strRef>
          </c:cat>
          <c:val>
            <c:numRef>
              <c:f>'FABRICS - retail'!$B$38:$B$45</c:f>
              <c:numCache>
                <c:formatCode>#,##0</c:formatCode>
                <c:ptCount val="8"/>
                <c:pt idx="0">
                  <c:v>370731</c:v>
                </c:pt>
                <c:pt idx="1">
                  <c:v>356706</c:v>
                </c:pt>
                <c:pt idx="2">
                  <c:v>704155</c:v>
                </c:pt>
                <c:pt idx="3">
                  <c:v>311874</c:v>
                </c:pt>
                <c:pt idx="4">
                  <c:v>382201</c:v>
                </c:pt>
                <c:pt idx="5">
                  <c:v>354179</c:v>
                </c:pt>
                <c:pt idx="6">
                  <c:v>856584</c:v>
                </c:pt>
                <c:pt idx="7">
                  <c:v>309963</c:v>
                </c:pt>
              </c:numCache>
            </c:numRef>
          </c:val>
          <c:smooth val="0"/>
          <c:extLst>
            <c:ext xmlns:c16="http://schemas.microsoft.com/office/drawing/2014/chart" uri="{C3380CC4-5D6E-409C-BE32-E72D297353CC}">
              <c16:uniqueId val="{00000001-250B-A648-8482-4C4F6F8E1AA5}"/>
            </c:ext>
          </c:extLst>
        </c:ser>
        <c:dLbls>
          <c:showLegendKey val="0"/>
          <c:showVal val="0"/>
          <c:showCatName val="0"/>
          <c:showSerName val="0"/>
          <c:showPercent val="0"/>
          <c:showBubbleSize val="0"/>
        </c:dLbls>
        <c:smooth val="0"/>
        <c:axId val="1709994175"/>
        <c:axId val="1709648847"/>
      </c:lineChart>
      <c:catAx>
        <c:axId val="17099941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709648847"/>
        <c:crosses val="autoZero"/>
        <c:auto val="1"/>
        <c:lblAlgn val="ctr"/>
        <c:lblOffset val="100"/>
        <c:noMultiLvlLbl val="0"/>
      </c:catAx>
      <c:valAx>
        <c:axId val="1709648847"/>
        <c:scaling>
          <c:orientation val="minMax"/>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70999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lotArea>
      <c:layout/>
      <c:barChart>
        <c:barDir val="col"/>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cat>
            <c:strRef>
              <c:f>Bilanci!$AM$1:$AM$6</c:f>
              <c:strCache>
                <c:ptCount val="6"/>
                <c:pt idx="0">
                  <c:v>4ObladiEBITda</c:v>
                </c:pt>
                <c:pt idx="1">
                  <c:v>4Ichea</c:v>
                </c:pt>
                <c:pt idx="2">
                  <c:v>4JustInTeam</c:v>
                </c:pt>
                <c:pt idx="3">
                  <c:v>4LeeQuidity</c:v>
                </c:pt>
                <c:pt idx="4">
                  <c:v>4MonzaMilano</c:v>
                </c:pt>
                <c:pt idx="5">
                  <c:v>4NPRspa</c:v>
                </c:pt>
              </c:strCache>
            </c:strRef>
          </c:cat>
          <c:val>
            <c:numRef>
              <c:f>(Bilanci!$B$74,Bilanci!$E$74,Bilanci!$H$74,Bilanci!$K$74,Bilanci!$N$74,Bilanci!$Q$74)</c:f>
              <c:numCache>
                <c:formatCode>0.00</c:formatCode>
                <c:ptCount val="6"/>
                <c:pt idx="0">
                  <c:v>0.74999994030716022</c:v>
                </c:pt>
                <c:pt idx="1">
                  <c:v>0.74999995791792007</c:v>
                </c:pt>
                <c:pt idx="2">
                  <c:v>1</c:v>
                </c:pt>
                <c:pt idx="3">
                  <c:v>1</c:v>
                </c:pt>
                <c:pt idx="4">
                  <c:v>0.75</c:v>
                </c:pt>
                <c:pt idx="5">
                  <c:v>1</c:v>
                </c:pt>
              </c:numCache>
            </c:numRef>
          </c:val>
          <c:extLst>
            <c:ext xmlns:c16="http://schemas.microsoft.com/office/drawing/2014/chart" uri="{C3380CC4-5D6E-409C-BE32-E72D297353CC}">
              <c16:uniqueId val="{00000000-4B83-A44C-9B06-63E041B42895}"/>
            </c:ext>
          </c:extLst>
        </c:ser>
        <c:dLbls>
          <c:showLegendKey val="0"/>
          <c:showVal val="0"/>
          <c:showCatName val="0"/>
          <c:showSerName val="0"/>
          <c:showPercent val="0"/>
          <c:showBubbleSize val="0"/>
        </c:dLbls>
        <c:gapWidth val="100"/>
        <c:overlap val="-24"/>
        <c:axId val="1687432832"/>
        <c:axId val="1687359104"/>
      </c:barChart>
      <c:catAx>
        <c:axId val="1687432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687359104"/>
        <c:crosses val="autoZero"/>
        <c:auto val="0"/>
        <c:lblAlgn val="ctr"/>
        <c:lblOffset val="100"/>
        <c:noMultiLvlLbl val="0"/>
      </c:catAx>
      <c:valAx>
        <c:axId val="16873591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68743283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lotArea>
      <c:layout/>
      <c:barChart>
        <c:barDir val="col"/>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cat>
            <c:strRef>
              <c:f>Bilanci!$AM$1:$AM$6</c:f>
              <c:strCache>
                <c:ptCount val="6"/>
                <c:pt idx="0">
                  <c:v>4ObladiEBITda</c:v>
                </c:pt>
                <c:pt idx="1">
                  <c:v>4Ichea</c:v>
                </c:pt>
                <c:pt idx="2">
                  <c:v>4JustInTeam</c:v>
                </c:pt>
                <c:pt idx="3">
                  <c:v>4LeeQuidity</c:v>
                </c:pt>
                <c:pt idx="4">
                  <c:v>4MonzaMilano</c:v>
                </c:pt>
                <c:pt idx="5">
                  <c:v>4NPRspa</c:v>
                </c:pt>
              </c:strCache>
            </c:strRef>
          </c:cat>
          <c:val>
            <c:numRef>
              <c:f>(Bilanci!$B$75,Bilanci!$E$75,Bilanci!$H$75,Bilanci!$K$75,Bilanci!$N$75,Bilanci!$Q$75)</c:f>
              <c:numCache>
                <c:formatCode>0.00</c:formatCode>
                <c:ptCount val="6"/>
                <c:pt idx="0">
                  <c:v>1.8522791358621109</c:v>
                </c:pt>
                <c:pt idx="1">
                  <c:v>1.28046584406208</c:v>
                </c:pt>
                <c:pt idx="2">
                  <c:v>11.850589736376101</c:v>
                </c:pt>
                <c:pt idx="3">
                  <c:v>1.9749955247436484</c:v>
                </c:pt>
                <c:pt idx="4">
                  <c:v>1.4195948654942017</c:v>
                </c:pt>
                <c:pt idx="5">
                  <c:v>1.5931653227812885</c:v>
                </c:pt>
              </c:numCache>
            </c:numRef>
          </c:val>
          <c:extLst>
            <c:ext xmlns:c16="http://schemas.microsoft.com/office/drawing/2014/chart" uri="{C3380CC4-5D6E-409C-BE32-E72D297353CC}">
              <c16:uniqueId val="{00000000-DF59-0540-91E1-AF5B15F1DFE4}"/>
            </c:ext>
          </c:extLst>
        </c:ser>
        <c:dLbls>
          <c:showLegendKey val="0"/>
          <c:showVal val="0"/>
          <c:showCatName val="0"/>
          <c:showSerName val="0"/>
          <c:showPercent val="0"/>
          <c:showBubbleSize val="0"/>
        </c:dLbls>
        <c:gapWidth val="100"/>
        <c:overlap val="-24"/>
        <c:axId val="1687432832"/>
        <c:axId val="1687359104"/>
      </c:barChart>
      <c:catAx>
        <c:axId val="1687432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687359104"/>
        <c:crosses val="autoZero"/>
        <c:auto val="0"/>
        <c:lblAlgn val="ctr"/>
        <c:lblOffset val="100"/>
        <c:noMultiLvlLbl val="0"/>
      </c:catAx>
      <c:valAx>
        <c:axId val="16873591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68743283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ACID</a:t>
            </a:r>
            <a:r>
              <a:rPr lang="it-IT" baseline="0"/>
              <a:t> TEST</a:t>
            </a:r>
            <a:endParaRPr lang="it-IT"/>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lotArea>
      <c:layout/>
      <c:barChart>
        <c:barDir val="col"/>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cat>
            <c:strRef>
              <c:f>Bilanci!$AM$1:$AM$6</c:f>
              <c:strCache>
                <c:ptCount val="6"/>
                <c:pt idx="0">
                  <c:v>4ObladiEBITda</c:v>
                </c:pt>
                <c:pt idx="1">
                  <c:v>4Ichea</c:v>
                </c:pt>
                <c:pt idx="2">
                  <c:v>4JustInTeam</c:v>
                </c:pt>
                <c:pt idx="3">
                  <c:v>4LeeQuidity</c:v>
                </c:pt>
                <c:pt idx="4">
                  <c:v>4MonzaMilano</c:v>
                </c:pt>
                <c:pt idx="5">
                  <c:v>4NPRspa</c:v>
                </c:pt>
              </c:strCache>
            </c:strRef>
          </c:cat>
          <c:val>
            <c:numRef>
              <c:f>(Bilanci!$B$76,Bilanci!$E$76,Bilanci!$H$76,Bilanci!$K$76,Bilanci!$N$76,Bilanci!$Q$76)</c:f>
              <c:numCache>
                <c:formatCode>0.00</c:formatCode>
                <c:ptCount val="6"/>
                <c:pt idx="0">
                  <c:v>5.1018852205002272</c:v>
                </c:pt>
                <c:pt idx="1">
                  <c:v>2.6433472588876992</c:v>
                </c:pt>
                <c:pt idx="2">
                  <c:v>2.5537630456236777</c:v>
                </c:pt>
                <c:pt idx="3">
                  <c:v>2.262923014226589</c:v>
                </c:pt>
                <c:pt idx="4">
                  <c:v>2.4042502143094895</c:v>
                </c:pt>
                <c:pt idx="5">
                  <c:v>1.9997773899828564</c:v>
                </c:pt>
              </c:numCache>
            </c:numRef>
          </c:val>
          <c:extLst>
            <c:ext xmlns:c16="http://schemas.microsoft.com/office/drawing/2014/chart" uri="{C3380CC4-5D6E-409C-BE32-E72D297353CC}">
              <c16:uniqueId val="{00000000-CB10-FE47-8018-8C42B1CEE6C7}"/>
            </c:ext>
          </c:extLst>
        </c:ser>
        <c:dLbls>
          <c:showLegendKey val="0"/>
          <c:showVal val="0"/>
          <c:showCatName val="0"/>
          <c:showSerName val="0"/>
          <c:showPercent val="0"/>
          <c:showBubbleSize val="0"/>
        </c:dLbls>
        <c:gapWidth val="100"/>
        <c:overlap val="-24"/>
        <c:axId val="1687432832"/>
        <c:axId val="1687359104"/>
      </c:barChart>
      <c:catAx>
        <c:axId val="1687432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687359104"/>
        <c:crosses val="autoZero"/>
        <c:auto val="0"/>
        <c:lblAlgn val="ctr"/>
        <c:lblOffset val="100"/>
        <c:noMultiLvlLbl val="0"/>
      </c:catAx>
      <c:valAx>
        <c:axId val="16873591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68743283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4ObladiEBITda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lotArea>
      <c:layout/>
      <c:lineChart>
        <c:grouping val="standard"/>
        <c:varyColors val="0"/>
        <c:ser>
          <c:idx val="0"/>
          <c:order val="0"/>
          <c:tx>
            <c:strRef>
              <c:f>Bilanci!$S$5</c:f>
              <c:strCache>
                <c:ptCount val="1"/>
                <c:pt idx="0">
                  <c:v>ROE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Bilanci!$T$4:$V$4</c:f>
              <c:numCache>
                <c:formatCode>General</c:formatCode>
                <c:ptCount val="3"/>
                <c:pt idx="0">
                  <c:v>2018</c:v>
                </c:pt>
                <c:pt idx="1">
                  <c:v>2019</c:v>
                </c:pt>
                <c:pt idx="2">
                  <c:v>2020</c:v>
                </c:pt>
              </c:numCache>
            </c:numRef>
          </c:cat>
          <c:val>
            <c:numRef>
              <c:f>Bilanci!$T$5:$V$5</c:f>
              <c:numCache>
                <c:formatCode>0.00</c:formatCode>
                <c:ptCount val="3"/>
                <c:pt idx="0">
                  <c:v>8.6153426934718932E-2</c:v>
                </c:pt>
                <c:pt idx="1">
                  <c:v>0.17476147109348927</c:v>
                </c:pt>
                <c:pt idx="2">
                  <c:v>6.1259137905590351E-2</c:v>
                </c:pt>
              </c:numCache>
            </c:numRef>
          </c:val>
          <c:smooth val="0"/>
          <c:extLst>
            <c:ext xmlns:c16="http://schemas.microsoft.com/office/drawing/2014/chart" uri="{C3380CC4-5D6E-409C-BE32-E72D297353CC}">
              <c16:uniqueId val="{00000000-816D-144F-8603-5F086DC1F634}"/>
            </c:ext>
          </c:extLst>
        </c:ser>
        <c:ser>
          <c:idx val="1"/>
          <c:order val="1"/>
          <c:tx>
            <c:strRef>
              <c:f>Bilanci!$S$6</c:f>
              <c:strCache>
                <c:ptCount val="1"/>
                <c:pt idx="0">
                  <c:v>ROI</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Bilanci!$T$4:$V$4</c:f>
              <c:numCache>
                <c:formatCode>General</c:formatCode>
                <c:ptCount val="3"/>
                <c:pt idx="0">
                  <c:v>2018</c:v>
                </c:pt>
                <c:pt idx="1">
                  <c:v>2019</c:v>
                </c:pt>
                <c:pt idx="2">
                  <c:v>2020</c:v>
                </c:pt>
              </c:numCache>
            </c:numRef>
          </c:cat>
          <c:val>
            <c:numRef>
              <c:f>Bilanci!$T$6:$V$6</c:f>
              <c:numCache>
                <c:formatCode>0.00</c:formatCode>
                <c:ptCount val="3"/>
                <c:pt idx="0">
                  <c:v>0.11290221962088166</c:v>
                </c:pt>
                <c:pt idx="1">
                  <c:v>0.2187125648643497</c:v>
                </c:pt>
                <c:pt idx="2">
                  <c:v>4.4272816273251386E-2</c:v>
                </c:pt>
              </c:numCache>
            </c:numRef>
          </c:val>
          <c:smooth val="0"/>
          <c:extLst>
            <c:ext xmlns:c16="http://schemas.microsoft.com/office/drawing/2014/chart" uri="{C3380CC4-5D6E-409C-BE32-E72D297353CC}">
              <c16:uniqueId val="{00000001-816D-144F-8603-5F086DC1F634}"/>
            </c:ext>
          </c:extLst>
        </c:ser>
        <c:ser>
          <c:idx val="2"/>
          <c:order val="2"/>
          <c:tx>
            <c:strRef>
              <c:f>Bilanci!$S$7</c:f>
              <c:strCache>
                <c:ptCount val="1"/>
                <c:pt idx="0">
                  <c:v>ROS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Bilanci!$T$4:$V$4</c:f>
              <c:numCache>
                <c:formatCode>General</c:formatCode>
                <c:ptCount val="3"/>
                <c:pt idx="0">
                  <c:v>2018</c:v>
                </c:pt>
                <c:pt idx="1">
                  <c:v>2019</c:v>
                </c:pt>
                <c:pt idx="2">
                  <c:v>2020</c:v>
                </c:pt>
              </c:numCache>
            </c:numRef>
          </c:cat>
          <c:val>
            <c:numRef>
              <c:f>Bilanci!$T$7:$V$7</c:f>
              <c:numCache>
                <c:formatCode>0.00</c:formatCode>
                <c:ptCount val="3"/>
                <c:pt idx="0">
                  <c:v>4.8434029503102133E-2</c:v>
                </c:pt>
                <c:pt idx="1">
                  <c:v>9.7080313523839515E-2</c:v>
                </c:pt>
                <c:pt idx="2">
                  <c:v>2.2165201701064861E-2</c:v>
                </c:pt>
              </c:numCache>
            </c:numRef>
          </c:val>
          <c:smooth val="0"/>
          <c:extLst>
            <c:ext xmlns:c16="http://schemas.microsoft.com/office/drawing/2014/chart" uri="{C3380CC4-5D6E-409C-BE32-E72D297353CC}">
              <c16:uniqueId val="{00000002-816D-144F-8603-5F086DC1F634}"/>
            </c:ext>
          </c:extLst>
        </c:ser>
        <c:ser>
          <c:idx val="4"/>
          <c:order val="3"/>
          <c:tx>
            <c:strRef>
              <c:f>Bilanci!$S$9</c:f>
              <c:strCache>
                <c:ptCount val="1"/>
                <c:pt idx="0">
                  <c:v>r</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Bilanci!$T$4:$V$4</c:f>
              <c:numCache>
                <c:formatCode>General</c:formatCode>
                <c:ptCount val="3"/>
                <c:pt idx="0">
                  <c:v>2018</c:v>
                </c:pt>
                <c:pt idx="1">
                  <c:v>2019</c:v>
                </c:pt>
                <c:pt idx="2">
                  <c:v>2020</c:v>
                </c:pt>
              </c:numCache>
            </c:numRef>
          </c:cat>
          <c:val>
            <c:numRef>
              <c:f>Bilanci!$T$9:$V$9</c:f>
              <c:numCache>
                <c:formatCode>0.00</c:formatCode>
                <c:ptCount val="3"/>
                <c:pt idx="0">
                  <c:v>7.1295174217996318E-2</c:v>
                </c:pt>
                <c:pt idx="1">
                  <c:v>0.1054453557317639</c:v>
                </c:pt>
                <c:pt idx="2">
                  <c:v>2.4078213826907363E-2</c:v>
                </c:pt>
              </c:numCache>
            </c:numRef>
          </c:val>
          <c:smooth val="0"/>
          <c:extLst>
            <c:ext xmlns:c16="http://schemas.microsoft.com/office/drawing/2014/chart" uri="{C3380CC4-5D6E-409C-BE32-E72D297353CC}">
              <c16:uniqueId val="{00000003-816D-144F-8603-5F086DC1F634}"/>
            </c:ext>
          </c:extLst>
        </c:ser>
        <c:dLbls>
          <c:showLegendKey val="0"/>
          <c:showVal val="0"/>
          <c:showCatName val="0"/>
          <c:showSerName val="0"/>
          <c:showPercent val="0"/>
          <c:showBubbleSize val="0"/>
        </c:dLbls>
        <c:smooth val="0"/>
        <c:axId val="1632183536"/>
        <c:axId val="1692638528"/>
      </c:lineChart>
      <c:catAx>
        <c:axId val="16321835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692638528"/>
        <c:crosses val="autoZero"/>
        <c:auto val="1"/>
        <c:lblAlgn val="ctr"/>
        <c:lblOffset val="100"/>
        <c:noMultiLvlLbl val="0"/>
      </c:catAx>
      <c:valAx>
        <c:axId val="169263852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632183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4Ichea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lotArea>
      <c:layout/>
      <c:lineChart>
        <c:grouping val="standard"/>
        <c:varyColors val="0"/>
        <c:ser>
          <c:idx val="1"/>
          <c:order val="0"/>
          <c:tx>
            <c:strRef>
              <c:f>Bilanci!$S$16</c:f>
              <c:strCache>
                <c:ptCount val="1"/>
                <c:pt idx="0">
                  <c:v>ROE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Bilanci!$T$15:$V$15</c:f>
              <c:numCache>
                <c:formatCode>General</c:formatCode>
                <c:ptCount val="3"/>
                <c:pt idx="0">
                  <c:v>2018</c:v>
                </c:pt>
                <c:pt idx="1">
                  <c:v>2019</c:v>
                </c:pt>
                <c:pt idx="2">
                  <c:v>2020</c:v>
                </c:pt>
              </c:numCache>
            </c:numRef>
          </c:cat>
          <c:val>
            <c:numRef>
              <c:f>Bilanci!$T$16:$V$16</c:f>
              <c:numCache>
                <c:formatCode>0.00</c:formatCode>
                <c:ptCount val="3"/>
                <c:pt idx="0">
                  <c:v>8.6153426934718932E-2</c:v>
                </c:pt>
                <c:pt idx="1">
                  <c:v>0.17476147109348927</c:v>
                </c:pt>
                <c:pt idx="2">
                  <c:v>8.4723256247453527E-2</c:v>
                </c:pt>
              </c:numCache>
            </c:numRef>
          </c:val>
          <c:smooth val="0"/>
          <c:extLst>
            <c:ext xmlns:c16="http://schemas.microsoft.com/office/drawing/2014/chart" uri="{C3380CC4-5D6E-409C-BE32-E72D297353CC}">
              <c16:uniqueId val="{00000000-D939-6B4D-B339-77869F360DDA}"/>
            </c:ext>
          </c:extLst>
        </c:ser>
        <c:ser>
          <c:idx val="2"/>
          <c:order val="1"/>
          <c:tx>
            <c:strRef>
              <c:f>Bilanci!$S$17</c:f>
              <c:strCache>
                <c:ptCount val="1"/>
                <c:pt idx="0">
                  <c:v>ROI</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Bilanci!$T$15:$V$15</c:f>
              <c:numCache>
                <c:formatCode>General</c:formatCode>
                <c:ptCount val="3"/>
                <c:pt idx="0">
                  <c:v>2018</c:v>
                </c:pt>
                <c:pt idx="1">
                  <c:v>2019</c:v>
                </c:pt>
                <c:pt idx="2">
                  <c:v>2020</c:v>
                </c:pt>
              </c:numCache>
            </c:numRef>
          </c:cat>
          <c:val>
            <c:numRef>
              <c:f>Bilanci!$T$17:$V$17</c:f>
              <c:numCache>
                <c:formatCode>0.00</c:formatCode>
                <c:ptCount val="3"/>
                <c:pt idx="0">
                  <c:v>0.11290221962088166</c:v>
                </c:pt>
                <c:pt idx="1">
                  <c:v>0.2187125648643497</c:v>
                </c:pt>
                <c:pt idx="2">
                  <c:v>6.003380510801818E-2</c:v>
                </c:pt>
              </c:numCache>
            </c:numRef>
          </c:val>
          <c:smooth val="0"/>
          <c:extLst>
            <c:ext xmlns:c16="http://schemas.microsoft.com/office/drawing/2014/chart" uri="{C3380CC4-5D6E-409C-BE32-E72D297353CC}">
              <c16:uniqueId val="{00000001-D939-6B4D-B339-77869F360DDA}"/>
            </c:ext>
          </c:extLst>
        </c:ser>
        <c:ser>
          <c:idx val="3"/>
          <c:order val="2"/>
          <c:tx>
            <c:strRef>
              <c:f>Bilanci!$S$18</c:f>
              <c:strCache>
                <c:ptCount val="1"/>
                <c:pt idx="0">
                  <c:v>ROS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Bilanci!$T$15:$V$15</c:f>
              <c:numCache>
                <c:formatCode>General</c:formatCode>
                <c:ptCount val="3"/>
                <c:pt idx="0">
                  <c:v>2018</c:v>
                </c:pt>
                <c:pt idx="1">
                  <c:v>2019</c:v>
                </c:pt>
                <c:pt idx="2">
                  <c:v>2020</c:v>
                </c:pt>
              </c:numCache>
            </c:numRef>
          </c:cat>
          <c:val>
            <c:numRef>
              <c:f>Bilanci!$T$18:$V$18</c:f>
              <c:numCache>
                <c:formatCode>0.00</c:formatCode>
                <c:ptCount val="3"/>
                <c:pt idx="0">
                  <c:v>4.8434029503102133E-2</c:v>
                </c:pt>
                <c:pt idx="1">
                  <c:v>9.7080313523839515E-2</c:v>
                </c:pt>
                <c:pt idx="2">
                  <c:v>2.6905882568369868E-2</c:v>
                </c:pt>
              </c:numCache>
            </c:numRef>
          </c:val>
          <c:smooth val="0"/>
          <c:extLst>
            <c:ext xmlns:c16="http://schemas.microsoft.com/office/drawing/2014/chart" uri="{C3380CC4-5D6E-409C-BE32-E72D297353CC}">
              <c16:uniqueId val="{00000002-D939-6B4D-B339-77869F360DDA}"/>
            </c:ext>
          </c:extLst>
        </c:ser>
        <c:ser>
          <c:idx val="4"/>
          <c:order val="3"/>
          <c:tx>
            <c:strRef>
              <c:f>Bilanci!$S$20</c:f>
              <c:strCache>
                <c:ptCount val="1"/>
                <c:pt idx="0">
                  <c:v>r</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Bilanci!$T$15:$V$15</c:f>
              <c:numCache>
                <c:formatCode>General</c:formatCode>
                <c:ptCount val="3"/>
                <c:pt idx="0">
                  <c:v>2018</c:v>
                </c:pt>
                <c:pt idx="1">
                  <c:v>2019</c:v>
                </c:pt>
                <c:pt idx="2">
                  <c:v>2020</c:v>
                </c:pt>
              </c:numCache>
            </c:numRef>
          </c:cat>
          <c:val>
            <c:numRef>
              <c:f>Bilanci!$T$20:$V$20</c:f>
              <c:numCache>
                <c:formatCode>0.00</c:formatCode>
                <c:ptCount val="3"/>
                <c:pt idx="0">
                  <c:v>7.1295174217996318E-2</c:v>
                </c:pt>
                <c:pt idx="1">
                  <c:v>0.1054453557317639</c:v>
                </c:pt>
                <c:pt idx="2">
                  <c:v>1.8696862667050354E-2</c:v>
                </c:pt>
              </c:numCache>
            </c:numRef>
          </c:val>
          <c:smooth val="0"/>
          <c:extLst>
            <c:ext xmlns:c16="http://schemas.microsoft.com/office/drawing/2014/chart" uri="{C3380CC4-5D6E-409C-BE32-E72D297353CC}">
              <c16:uniqueId val="{00000003-D939-6B4D-B339-77869F360DDA}"/>
            </c:ext>
          </c:extLst>
        </c:ser>
        <c:dLbls>
          <c:showLegendKey val="0"/>
          <c:showVal val="0"/>
          <c:showCatName val="0"/>
          <c:showSerName val="0"/>
          <c:showPercent val="0"/>
          <c:showBubbleSize val="0"/>
        </c:dLbls>
        <c:smooth val="0"/>
        <c:axId val="1727738544"/>
        <c:axId val="1727037920"/>
      </c:lineChart>
      <c:catAx>
        <c:axId val="17277385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727037920"/>
        <c:crosses val="autoZero"/>
        <c:auto val="1"/>
        <c:lblAlgn val="ctr"/>
        <c:lblOffset val="100"/>
        <c:noMultiLvlLbl val="0"/>
      </c:catAx>
      <c:valAx>
        <c:axId val="172703792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727738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4JustInTeam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lotArea>
      <c:layout/>
      <c:lineChart>
        <c:grouping val="standard"/>
        <c:varyColors val="0"/>
        <c:ser>
          <c:idx val="0"/>
          <c:order val="0"/>
          <c:tx>
            <c:strRef>
              <c:f>Bilanci!$S$28</c:f>
              <c:strCache>
                <c:ptCount val="1"/>
                <c:pt idx="0">
                  <c:v>ROE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Bilanci!$T$27:$V$27</c:f>
              <c:numCache>
                <c:formatCode>General</c:formatCode>
                <c:ptCount val="3"/>
                <c:pt idx="0">
                  <c:v>2018</c:v>
                </c:pt>
                <c:pt idx="1">
                  <c:v>2019</c:v>
                </c:pt>
                <c:pt idx="2">
                  <c:v>2020</c:v>
                </c:pt>
              </c:numCache>
            </c:numRef>
          </c:cat>
          <c:val>
            <c:numRef>
              <c:f>Bilanci!$T$28:$V$28</c:f>
              <c:numCache>
                <c:formatCode>0.00</c:formatCode>
                <c:ptCount val="3"/>
                <c:pt idx="0">
                  <c:v>8.6153426934718932E-2</c:v>
                </c:pt>
                <c:pt idx="1">
                  <c:v>0.17476147109348927</c:v>
                </c:pt>
                <c:pt idx="2">
                  <c:v>-7.2370419540737361</c:v>
                </c:pt>
              </c:numCache>
            </c:numRef>
          </c:val>
          <c:smooth val="0"/>
          <c:extLst>
            <c:ext xmlns:c16="http://schemas.microsoft.com/office/drawing/2014/chart" uri="{C3380CC4-5D6E-409C-BE32-E72D297353CC}">
              <c16:uniqueId val="{00000000-E00C-6246-872E-3C313918770B}"/>
            </c:ext>
          </c:extLst>
        </c:ser>
        <c:ser>
          <c:idx val="1"/>
          <c:order val="1"/>
          <c:tx>
            <c:strRef>
              <c:f>Bilanci!$S$29</c:f>
              <c:strCache>
                <c:ptCount val="1"/>
                <c:pt idx="0">
                  <c:v>ROI</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Bilanci!$T$27:$V$27</c:f>
              <c:numCache>
                <c:formatCode>General</c:formatCode>
                <c:ptCount val="3"/>
                <c:pt idx="0">
                  <c:v>2018</c:v>
                </c:pt>
                <c:pt idx="1">
                  <c:v>2019</c:v>
                </c:pt>
                <c:pt idx="2">
                  <c:v>2020</c:v>
                </c:pt>
              </c:numCache>
            </c:numRef>
          </c:cat>
          <c:val>
            <c:numRef>
              <c:f>Bilanci!$T$29:$V$29</c:f>
              <c:numCache>
                <c:formatCode>0.00</c:formatCode>
                <c:ptCount val="3"/>
                <c:pt idx="0">
                  <c:v>0.11290221962088166</c:v>
                </c:pt>
                <c:pt idx="1">
                  <c:v>0.2187125648643497</c:v>
                </c:pt>
                <c:pt idx="2">
                  <c:v>-0.52207785632489256</c:v>
                </c:pt>
              </c:numCache>
            </c:numRef>
          </c:val>
          <c:smooth val="0"/>
          <c:extLst>
            <c:ext xmlns:c16="http://schemas.microsoft.com/office/drawing/2014/chart" uri="{C3380CC4-5D6E-409C-BE32-E72D297353CC}">
              <c16:uniqueId val="{00000001-E00C-6246-872E-3C313918770B}"/>
            </c:ext>
          </c:extLst>
        </c:ser>
        <c:ser>
          <c:idx val="2"/>
          <c:order val="2"/>
          <c:tx>
            <c:strRef>
              <c:f>Bilanci!$S$30</c:f>
              <c:strCache>
                <c:ptCount val="1"/>
                <c:pt idx="0">
                  <c:v>ROS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Bilanci!$T$27:$V$27</c:f>
              <c:numCache>
                <c:formatCode>General</c:formatCode>
                <c:ptCount val="3"/>
                <c:pt idx="0">
                  <c:v>2018</c:v>
                </c:pt>
                <c:pt idx="1">
                  <c:v>2019</c:v>
                </c:pt>
                <c:pt idx="2">
                  <c:v>2020</c:v>
                </c:pt>
              </c:numCache>
            </c:numRef>
          </c:cat>
          <c:val>
            <c:numRef>
              <c:f>Bilanci!$T$30:$V$30</c:f>
              <c:numCache>
                <c:formatCode>0.00</c:formatCode>
                <c:ptCount val="3"/>
                <c:pt idx="0">
                  <c:v>4.8434029503102133E-2</c:v>
                </c:pt>
                <c:pt idx="1">
                  <c:v>9.7080313523839515E-2</c:v>
                </c:pt>
                <c:pt idx="2">
                  <c:v>-0.21702963243031986</c:v>
                </c:pt>
              </c:numCache>
            </c:numRef>
          </c:val>
          <c:smooth val="0"/>
          <c:extLst>
            <c:ext xmlns:c16="http://schemas.microsoft.com/office/drawing/2014/chart" uri="{C3380CC4-5D6E-409C-BE32-E72D297353CC}">
              <c16:uniqueId val="{00000002-E00C-6246-872E-3C313918770B}"/>
            </c:ext>
          </c:extLst>
        </c:ser>
        <c:ser>
          <c:idx val="3"/>
          <c:order val="3"/>
          <c:tx>
            <c:strRef>
              <c:f>Bilanci!$S$32</c:f>
              <c:strCache>
                <c:ptCount val="1"/>
                <c:pt idx="0">
                  <c:v>r</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Bilanci!$T$27:$V$27</c:f>
              <c:numCache>
                <c:formatCode>General</c:formatCode>
                <c:ptCount val="3"/>
                <c:pt idx="0">
                  <c:v>2018</c:v>
                </c:pt>
                <c:pt idx="1">
                  <c:v>2019</c:v>
                </c:pt>
                <c:pt idx="2">
                  <c:v>2020</c:v>
                </c:pt>
              </c:numCache>
            </c:numRef>
          </c:cat>
          <c:val>
            <c:numRef>
              <c:f>Bilanci!$T$32:$V$32</c:f>
              <c:numCache>
                <c:formatCode>0.00</c:formatCode>
                <c:ptCount val="3"/>
                <c:pt idx="0">
                  <c:v>7.1295174217996318E-2</c:v>
                </c:pt>
                <c:pt idx="1">
                  <c:v>0.1054453557317639</c:v>
                </c:pt>
                <c:pt idx="2">
                  <c:v>4.4557580993206135E-2</c:v>
                </c:pt>
              </c:numCache>
            </c:numRef>
          </c:val>
          <c:smooth val="0"/>
          <c:extLst>
            <c:ext xmlns:c16="http://schemas.microsoft.com/office/drawing/2014/chart" uri="{C3380CC4-5D6E-409C-BE32-E72D297353CC}">
              <c16:uniqueId val="{00000003-E00C-6246-872E-3C313918770B}"/>
            </c:ext>
          </c:extLst>
        </c:ser>
        <c:dLbls>
          <c:showLegendKey val="0"/>
          <c:showVal val="0"/>
          <c:showCatName val="0"/>
          <c:showSerName val="0"/>
          <c:showPercent val="0"/>
          <c:showBubbleSize val="0"/>
        </c:dLbls>
        <c:smooth val="0"/>
        <c:axId val="1727766528"/>
        <c:axId val="1745047680"/>
      </c:lineChart>
      <c:catAx>
        <c:axId val="17277665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745047680"/>
        <c:crosses val="autoZero"/>
        <c:auto val="1"/>
        <c:lblAlgn val="ctr"/>
        <c:lblOffset val="100"/>
        <c:noMultiLvlLbl val="0"/>
      </c:catAx>
      <c:valAx>
        <c:axId val="174504768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727766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4LeeQuidity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lotArea>
      <c:layout/>
      <c:lineChart>
        <c:grouping val="standard"/>
        <c:varyColors val="0"/>
        <c:ser>
          <c:idx val="0"/>
          <c:order val="0"/>
          <c:tx>
            <c:strRef>
              <c:f>Bilanci!$S$39</c:f>
              <c:strCache>
                <c:ptCount val="1"/>
                <c:pt idx="0">
                  <c:v>ROE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Bilanci!$T$38:$V$38</c:f>
              <c:numCache>
                <c:formatCode>General</c:formatCode>
                <c:ptCount val="3"/>
                <c:pt idx="0">
                  <c:v>2018</c:v>
                </c:pt>
                <c:pt idx="1">
                  <c:v>2019</c:v>
                </c:pt>
                <c:pt idx="2">
                  <c:v>2020</c:v>
                </c:pt>
              </c:numCache>
            </c:numRef>
          </c:cat>
          <c:val>
            <c:numRef>
              <c:f>Bilanci!$T$39:$V$39</c:f>
              <c:numCache>
                <c:formatCode>0.00</c:formatCode>
                <c:ptCount val="3"/>
                <c:pt idx="0">
                  <c:v>8.6153426934718932E-2</c:v>
                </c:pt>
                <c:pt idx="1">
                  <c:v>0.17476147109348927</c:v>
                </c:pt>
                <c:pt idx="2">
                  <c:v>-0.32643426454673258</c:v>
                </c:pt>
              </c:numCache>
            </c:numRef>
          </c:val>
          <c:smooth val="0"/>
          <c:extLst>
            <c:ext xmlns:c16="http://schemas.microsoft.com/office/drawing/2014/chart" uri="{C3380CC4-5D6E-409C-BE32-E72D297353CC}">
              <c16:uniqueId val="{00000000-A82D-2846-B3DA-1AA940E5CF09}"/>
            </c:ext>
          </c:extLst>
        </c:ser>
        <c:ser>
          <c:idx val="1"/>
          <c:order val="1"/>
          <c:tx>
            <c:strRef>
              <c:f>Bilanci!$S$40</c:f>
              <c:strCache>
                <c:ptCount val="1"/>
                <c:pt idx="0">
                  <c:v>ROI</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Bilanci!$T$38:$V$38</c:f>
              <c:numCache>
                <c:formatCode>General</c:formatCode>
                <c:ptCount val="3"/>
                <c:pt idx="0">
                  <c:v>2018</c:v>
                </c:pt>
                <c:pt idx="1">
                  <c:v>2019</c:v>
                </c:pt>
                <c:pt idx="2">
                  <c:v>2020</c:v>
                </c:pt>
              </c:numCache>
            </c:numRef>
          </c:cat>
          <c:val>
            <c:numRef>
              <c:f>Bilanci!$T$40:$V$40</c:f>
              <c:numCache>
                <c:formatCode>0.00</c:formatCode>
                <c:ptCount val="3"/>
                <c:pt idx="0">
                  <c:v>0.11290221962088166</c:v>
                </c:pt>
                <c:pt idx="1">
                  <c:v>0.2187125648643497</c:v>
                </c:pt>
                <c:pt idx="2">
                  <c:v>-9.7642878359461213E-2</c:v>
                </c:pt>
              </c:numCache>
            </c:numRef>
          </c:val>
          <c:smooth val="0"/>
          <c:extLst>
            <c:ext xmlns:c16="http://schemas.microsoft.com/office/drawing/2014/chart" uri="{C3380CC4-5D6E-409C-BE32-E72D297353CC}">
              <c16:uniqueId val="{00000001-A82D-2846-B3DA-1AA940E5CF09}"/>
            </c:ext>
          </c:extLst>
        </c:ser>
        <c:ser>
          <c:idx val="2"/>
          <c:order val="2"/>
          <c:tx>
            <c:strRef>
              <c:f>Bilanci!$S$41</c:f>
              <c:strCache>
                <c:ptCount val="1"/>
                <c:pt idx="0">
                  <c:v>ROS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Bilanci!$T$38:$V$38</c:f>
              <c:numCache>
                <c:formatCode>General</c:formatCode>
                <c:ptCount val="3"/>
                <c:pt idx="0">
                  <c:v>2018</c:v>
                </c:pt>
                <c:pt idx="1">
                  <c:v>2019</c:v>
                </c:pt>
                <c:pt idx="2">
                  <c:v>2020</c:v>
                </c:pt>
              </c:numCache>
            </c:numRef>
          </c:cat>
          <c:val>
            <c:numRef>
              <c:f>Bilanci!$T$41:$V$41</c:f>
              <c:numCache>
                <c:formatCode>0.00</c:formatCode>
                <c:ptCount val="3"/>
                <c:pt idx="0">
                  <c:v>4.8434029503102133E-2</c:v>
                </c:pt>
                <c:pt idx="1">
                  <c:v>9.7080313523839515E-2</c:v>
                </c:pt>
                <c:pt idx="2">
                  <c:v>-4.9180987163690126E-2</c:v>
                </c:pt>
              </c:numCache>
            </c:numRef>
          </c:val>
          <c:smooth val="0"/>
          <c:extLst>
            <c:ext xmlns:c16="http://schemas.microsoft.com/office/drawing/2014/chart" uri="{C3380CC4-5D6E-409C-BE32-E72D297353CC}">
              <c16:uniqueId val="{00000002-A82D-2846-B3DA-1AA940E5CF09}"/>
            </c:ext>
          </c:extLst>
        </c:ser>
        <c:ser>
          <c:idx val="3"/>
          <c:order val="3"/>
          <c:tx>
            <c:strRef>
              <c:f>Bilanci!$S$43</c:f>
              <c:strCache>
                <c:ptCount val="1"/>
                <c:pt idx="0">
                  <c:v>r</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Bilanci!$T$38:$V$38</c:f>
              <c:numCache>
                <c:formatCode>General</c:formatCode>
                <c:ptCount val="3"/>
                <c:pt idx="0">
                  <c:v>2018</c:v>
                </c:pt>
                <c:pt idx="1">
                  <c:v>2019</c:v>
                </c:pt>
                <c:pt idx="2">
                  <c:v>2020</c:v>
                </c:pt>
              </c:numCache>
            </c:numRef>
          </c:cat>
          <c:val>
            <c:numRef>
              <c:f>Bilanci!$T$43:$V$43</c:f>
              <c:numCache>
                <c:formatCode>0.00</c:formatCode>
                <c:ptCount val="3"/>
                <c:pt idx="0">
                  <c:v>7.1295174217996318E-2</c:v>
                </c:pt>
                <c:pt idx="1">
                  <c:v>0.1054453557317639</c:v>
                </c:pt>
                <c:pt idx="2">
                  <c:v>1.8201123979211514E-2</c:v>
                </c:pt>
              </c:numCache>
            </c:numRef>
          </c:val>
          <c:smooth val="0"/>
          <c:extLst>
            <c:ext xmlns:c16="http://schemas.microsoft.com/office/drawing/2014/chart" uri="{C3380CC4-5D6E-409C-BE32-E72D297353CC}">
              <c16:uniqueId val="{00000003-A82D-2846-B3DA-1AA940E5CF09}"/>
            </c:ext>
          </c:extLst>
        </c:ser>
        <c:dLbls>
          <c:showLegendKey val="0"/>
          <c:showVal val="0"/>
          <c:showCatName val="0"/>
          <c:showSerName val="0"/>
          <c:showPercent val="0"/>
          <c:showBubbleSize val="0"/>
        </c:dLbls>
        <c:smooth val="0"/>
        <c:axId val="1746274160"/>
        <c:axId val="1724739216"/>
      </c:lineChart>
      <c:catAx>
        <c:axId val="17462741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724739216"/>
        <c:crosses val="autoZero"/>
        <c:auto val="1"/>
        <c:lblAlgn val="ctr"/>
        <c:lblOffset val="100"/>
        <c:noMultiLvlLbl val="0"/>
      </c:catAx>
      <c:valAx>
        <c:axId val="172473921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746274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4MonzaMilano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lotArea>
      <c:layout/>
      <c:lineChart>
        <c:grouping val="standard"/>
        <c:varyColors val="0"/>
        <c:ser>
          <c:idx val="0"/>
          <c:order val="0"/>
          <c:tx>
            <c:strRef>
              <c:f>Bilanci!$S$50</c:f>
              <c:strCache>
                <c:ptCount val="1"/>
                <c:pt idx="0">
                  <c:v>ROE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Bilanci!$T$49:$V$49</c:f>
              <c:numCache>
                <c:formatCode>General</c:formatCode>
                <c:ptCount val="3"/>
                <c:pt idx="0">
                  <c:v>2018</c:v>
                </c:pt>
                <c:pt idx="1">
                  <c:v>2019</c:v>
                </c:pt>
                <c:pt idx="2">
                  <c:v>2020</c:v>
                </c:pt>
              </c:numCache>
            </c:numRef>
          </c:cat>
          <c:val>
            <c:numRef>
              <c:f>Bilanci!$T$50:$V$50</c:f>
              <c:numCache>
                <c:formatCode>0.00</c:formatCode>
                <c:ptCount val="3"/>
                <c:pt idx="0">
                  <c:v>8.6153426934718932E-2</c:v>
                </c:pt>
                <c:pt idx="1">
                  <c:v>0.17476147109348927</c:v>
                </c:pt>
                <c:pt idx="2">
                  <c:v>6.3542474216888023E-2</c:v>
                </c:pt>
              </c:numCache>
            </c:numRef>
          </c:val>
          <c:smooth val="0"/>
          <c:extLst>
            <c:ext xmlns:c16="http://schemas.microsoft.com/office/drawing/2014/chart" uri="{C3380CC4-5D6E-409C-BE32-E72D297353CC}">
              <c16:uniqueId val="{00000000-2A95-644C-879F-511BD76D8304}"/>
            </c:ext>
          </c:extLst>
        </c:ser>
        <c:ser>
          <c:idx val="1"/>
          <c:order val="1"/>
          <c:tx>
            <c:strRef>
              <c:f>Bilanci!$S$51</c:f>
              <c:strCache>
                <c:ptCount val="1"/>
                <c:pt idx="0">
                  <c:v>ROI</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Bilanci!$T$49:$V$49</c:f>
              <c:numCache>
                <c:formatCode>General</c:formatCode>
                <c:ptCount val="3"/>
                <c:pt idx="0">
                  <c:v>2018</c:v>
                </c:pt>
                <c:pt idx="1">
                  <c:v>2019</c:v>
                </c:pt>
                <c:pt idx="2">
                  <c:v>2020</c:v>
                </c:pt>
              </c:numCache>
            </c:numRef>
          </c:cat>
          <c:val>
            <c:numRef>
              <c:f>Bilanci!$T$51:$V$51</c:f>
              <c:numCache>
                <c:formatCode>0.00</c:formatCode>
                <c:ptCount val="3"/>
                <c:pt idx="0">
                  <c:v>0.11290221962088166</c:v>
                </c:pt>
                <c:pt idx="1">
                  <c:v>0.2187125648643497</c:v>
                </c:pt>
                <c:pt idx="2">
                  <c:v>4.9972311592125784E-2</c:v>
                </c:pt>
              </c:numCache>
            </c:numRef>
          </c:val>
          <c:smooth val="0"/>
          <c:extLst>
            <c:ext xmlns:c16="http://schemas.microsoft.com/office/drawing/2014/chart" uri="{C3380CC4-5D6E-409C-BE32-E72D297353CC}">
              <c16:uniqueId val="{00000001-2A95-644C-879F-511BD76D8304}"/>
            </c:ext>
          </c:extLst>
        </c:ser>
        <c:ser>
          <c:idx val="2"/>
          <c:order val="2"/>
          <c:tx>
            <c:strRef>
              <c:f>Bilanci!$S$52</c:f>
              <c:strCache>
                <c:ptCount val="1"/>
                <c:pt idx="0">
                  <c:v>ROS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Bilanci!$T$49:$V$49</c:f>
              <c:numCache>
                <c:formatCode>General</c:formatCode>
                <c:ptCount val="3"/>
                <c:pt idx="0">
                  <c:v>2018</c:v>
                </c:pt>
                <c:pt idx="1">
                  <c:v>2019</c:v>
                </c:pt>
                <c:pt idx="2">
                  <c:v>2020</c:v>
                </c:pt>
              </c:numCache>
            </c:numRef>
          </c:cat>
          <c:val>
            <c:numRef>
              <c:f>Bilanci!$T$52:$V$52</c:f>
              <c:numCache>
                <c:formatCode>0.00</c:formatCode>
                <c:ptCount val="3"/>
                <c:pt idx="0">
                  <c:v>4.8434029503102133E-2</c:v>
                </c:pt>
                <c:pt idx="1">
                  <c:v>9.7080313523839515E-2</c:v>
                </c:pt>
                <c:pt idx="2">
                  <c:v>2.5076867332886534E-2</c:v>
                </c:pt>
              </c:numCache>
            </c:numRef>
          </c:val>
          <c:smooth val="0"/>
          <c:extLst>
            <c:ext xmlns:c16="http://schemas.microsoft.com/office/drawing/2014/chart" uri="{C3380CC4-5D6E-409C-BE32-E72D297353CC}">
              <c16:uniqueId val="{00000002-2A95-644C-879F-511BD76D8304}"/>
            </c:ext>
          </c:extLst>
        </c:ser>
        <c:ser>
          <c:idx val="3"/>
          <c:order val="3"/>
          <c:tx>
            <c:strRef>
              <c:f>Bilanci!$S$54</c:f>
              <c:strCache>
                <c:ptCount val="1"/>
                <c:pt idx="0">
                  <c:v>r</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Bilanci!$T$49:$V$49</c:f>
              <c:numCache>
                <c:formatCode>General</c:formatCode>
                <c:ptCount val="3"/>
                <c:pt idx="0">
                  <c:v>2018</c:v>
                </c:pt>
                <c:pt idx="1">
                  <c:v>2019</c:v>
                </c:pt>
                <c:pt idx="2">
                  <c:v>2020</c:v>
                </c:pt>
              </c:numCache>
            </c:numRef>
          </c:cat>
          <c:val>
            <c:numRef>
              <c:f>Bilanci!$T$54:$V$54</c:f>
              <c:numCache>
                <c:formatCode>0.00</c:formatCode>
                <c:ptCount val="3"/>
                <c:pt idx="0">
                  <c:v>7.1295174217996318E-2</c:v>
                </c:pt>
                <c:pt idx="1">
                  <c:v>0.1054453557317639</c:v>
                </c:pt>
                <c:pt idx="2">
                  <c:v>2.5492801128675996E-2</c:v>
                </c:pt>
              </c:numCache>
            </c:numRef>
          </c:val>
          <c:smooth val="0"/>
          <c:extLst>
            <c:ext xmlns:c16="http://schemas.microsoft.com/office/drawing/2014/chart" uri="{C3380CC4-5D6E-409C-BE32-E72D297353CC}">
              <c16:uniqueId val="{00000003-2A95-644C-879F-511BD76D8304}"/>
            </c:ext>
          </c:extLst>
        </c:ser>
        <c:dLbls>
          <c:showLegendKey val="0"/>
          <c:showVal val="0"/>
          <c:showCatName val="0"/>
          <c:showSerName val="0"/>
          <c:showPercent val="0"/>
          <c:showBubbleSize val="0"/>
        </c:dLbls>
        <c:smooth val="0"/>
        <c:axId val="1746974240"/>
        <c:axId val="1746975872"/>
      </c:lineChart>
      <c:catAx>
        <c:axId val="17469742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746975872"/>
        <c:crosses val="autoZero"/>
        <c:auto val="1"/>
        <c:lblAlgn val="ctr"/>
        <c:lblOffset val="100"/>
        <c:noMultiLvlLbl val="0"/>
      </c:catAx>
      <c:valAx>
        <c:axId val="174697587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746974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4NPRspa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lotArea>
      <c:layout/>
      <c:lineChart>
        <c:grouping val="standard"/>
        <c:varyColors val="0"/>
        <c:ser>
          <c:idx val="0"/>
          <c:order val="0"/>
          <c:tx>
            <c:strRef>
              <c:f>Bilanci!$S$61</c:f>
              <c:strCache>
                <c:ptCount val="1"/>
                <c:pt idx="0">
                  <c:v>ROE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Bilanci!$T$60:$V$60</c:f>
              <c:numCache>
                <c:formatCode>General</c:formatCode>
                <c:ptCount val="3"/>
                <c:pt idx="0">
                  <c:v>2018</c:v>
                </c:pt>
                <c:pt idx="1">
                  <c:v>2019</c:v>
                </c:pt>
                <c:pt idx="2">
                  <c:v>2020</c:v>
                </c:pt>
              </c:numCache>
            </c:numRef>
          </c:cat>
          <c:val>
            <c:numRef>
              <c:f>Bilanci!$T$61:$V$61</c:f>
              <c:numCache>
                <c:formatCode>0.00</c:formatCode>
                <c:ptCount val="3"/>
                <c:pt idx="0">
                  <c:v>8.6153426934718932E-2</c:v>
                </c:pt>
                <c:pt idx="1">
                  <c:v>0.17476147109348927</c:v>
                </c:pt>
                <c:pt idx="2">
                  <c:v>-0.1218444241526882</c:v>
                </c:pt>
              </c:numCache>
            </c:numRef>
          </c:val>
          <c:smooth val="0"/>
          <c:extLst>
            <c:ext xmlns:c16="http://schemas.microsoft.com/office/drawing/2014/chart" uri="{C3380CC4-5D6E-409C-BE32-E72D297353CC}">
              <c16:uniqueId val="{00000000-44CC-5C46-9F34-863AA989BF6F}"/>
            </c:ext>
          </c:extLst>
        </c:ser>
        <c:ser>
          <c:idx val="1"/>
          <c:order val="1"/>
          <c:tx>
            <c:strRef>
              <c:f>Bilanci!$S$62</c:f>
              <c:strCache>
                <c:ptCount val="1"/>
                <c:pt idx="0">
                  <c:v>ROI</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Bilanci!$T$60:$V$60</c:f>
              <c:numCache>
                <c:formatCode>General</c:formatCode>
                <c:ptCount val="3"/>
                <c:pt idx="0">
                  <c:v>2018</c:v>
                </c:pt>
                <c:pt idx="1">
                  <c:v>2019</c:v>
                </c:pt>
                <c:pt idx="2">
                  <c:v>2020</c:v>
                </c:pt>
              </c:numCache>
            </c:numRef>
          </c:cat>
          <c:val>
            <c:numRef>
              <c:f>Bilanci!$T$62:$V$62</c:f>
              <c:numCache>
                <c:formatCode>0.00</c:formatCode>
                <c:ptCount val="3"/>
                <c:pt idx="0">
                  <c:v>0.11290221962088166</c:v>
                </c:pt>
                <c:pt idx="1">
                  <c:v>0.2187125648643497</c:v>
                </c:pt>
                <c:pt idx="2">
                  <c:v>-3.375667110955672E-2</c:v>
                </c:pt>
              </c:numCache>
            </c:numRef>
          </c:val>
          <c:smooth val="0"/>
          <c:extLst>
            <c:ext xmlns:c16="http://schemas.microsoft.com/office/drawing/2014/chart" uri="{C3380CC4-5D6E-409C-BE32-E72D297353CC}">
              <c16:uniqueId val="{00000001-44CC-5C46-9F34-863AA989BF6F}"/>
            </c:ext>
          </c:extLst>
        </c:ser>
        <c:ser>
          <c:idx val="2"/>
          <c:order val="2"/>
          <c:tx>
            <c:strRef>
              <c:f>Bilanci!$S$63</c:f>
              <c:strCache>
                <c:ptCount val="1"/>
                <c:pt idx="0">
                  <c:v>ROS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Bilanci!$T$60:$V$60</c:f>
              <c:numCache>
                <c:formatCode>General</c:formatCode>
                <c:ptCount val="3"/>
                <c:pt idx="0">
                  <c:v>2018</c:v>
                </c:pt>
                <c:pt idx="1">
                  <c:v>2019</c:v>
                </c:pt>
                <c:pt idx="2">
                  <c:v>2020</c:v>
                </c:pt>
              </c:numCache>
            </c:numRef>
          </c:cat>
          <c:val>
            <c:numRef>
              <c:f>Bilanci!$T$63:$V$63</c:f>
              <c:numCache>
                <c:formatCode>0.00</c:formatCode>
                <c:ptCount val="3"/>
                <c:pt idx="0">
                  <c:v>4.8434029503102133E-2</c:v>
                </c:pt>
                <c:pt idx="1">
                  <c:v>9.7080313523839515E-2</c:v>
                </c:pt>
                <c:pt idx="2">
                  <c:v>-1.783608204683031E-2</c:v>
                </c:pt>
              </c:numCache>
            </c:numRef>
          </c:val>
          <c:smooth val="0"/>
          <c:extLst>
            <c:ext xmlns:c16="http://schemas.microsoft.com/office/drawing/2014/chart" uri="{C3380CC4-5D6E-409C-BE32-E72D297353CC}">
              <c16:uniqueId val="{00000002-44CC-5C46-9F34-863AA989BF6F}"/>
            </c:ext>
          </c:extLst>
        </c:ser>
        <c:ser>
          <c:idx val="3"/>
          <c:order val="3"/>
          <c:tx>
            <c:strRef>
              <c:f>Bilanci!$S$65</c:f>
              <c:strCache>
                <c:ptCount val="1"/>
                <c:pt idx="0">
                  <c:v>r</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Bilanci!$T$60:$V$60</c:f>
              <c:numCache>
                <c:formatCode>General</c:formatCode>
                <c:ptCount val="3"/>
                <c:pt idx="0">
                  <c:v>2018</c:v>
                </c:pt>
                <c:pt idx="1">
                  <c:v>2019</c:v>
                </c:pt>
                <c:pt idx="2">
                  <c:v>2020</c:v>
                </c:pt>
              </c:numCache>
            </c:numRef>
          </c:cat>
          <c:val>
            <c:numRef>
              <c:f>Bilanci!$T$65:$V$65</c:f>
              <c:numCache>
                <c:formatCode>0.00</c:formatCode>
                <c:ptCount val="3"/>
                <c:pt idx="0">
                  <c:v>7.1295174217996318E-2</c:v>
                </c:pt>
                <c:pt idx="1">
                  <c:v>0.1054453557317639</c:v>
                </c:pt>
                <c:pt idx="2">
                  <c:v>2.1534359760579956E-2</c:v>
                </c:pt>
              </c:numCache>
            </c:numRef>
          </c:val>
          <c:smooth val="0"/>
          <c:extLst>
            <c:ext xmlns:c16="http://schemas.microsoft.com/office/drawing/2014/chart" uri="{C3380CC4-5D6E-409C-BE32-E72D297353CC}">
              <c16:uniqueId val="{00000003-44CC-5C46-9F34-863AA989BF6F}"/>
            </c:ext>
          </c:extLst>
        </c:ser>
        <c:dLbls>
          <c:showLegendKey val="0"/>
          <c:showVal val="0"/>
          <c:showCatName val="0"/>
          <c:showSerName val="0"/>
          <c:showPercent val="0"/>
          <c:showBubbleSize val="0"/>
        </c:dLbls>
        <c:smooth val="0"/>
        <c:axId val="1747395296"/>
        <c:axId val="1746988288"/>
      </c:lineChart>
      <c:catAx>
        <c:axId val="17473952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746988288"/>
        <c:crosses val="autoZero"/>
        <c:auto val="1"/>
        <c:lblAlgn val="ctr"/>
        <c:lblOffset val="100"/>
        <c:noMultiLvlLbl val="0"/>
      </c:catAx>
      <c:valAx>
        <c:axId val="174698828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747395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4ObladiEBITda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lotArea>
      <c:layout/>
      <c:lineChart>
        <c:grouping val="standard"/>
        <c:varyColors val="0"/>
        <c:ser>
          <c:idx val="0"/>
          <c:order val="0"/>
          <c:tx>
            <c:strRef>
              <c:f>Bilanci!$S$8</c:f>
              <c:strCache>
                <c:ptCount val="1"/>
                <c:pt idx="0">
                  <c:v>ROT</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Bilanci!$T$4:$V$4</c:f>
              <c:numCache>
                <c:formatCode>General</c:formatCode>
                <c:ptCount val="3"/>
                <c:pt idx="0">
                  <c:v>2018</c:v>
                </c:pt>
                <c:pt idx="1">
                  <c:v>2019</c:v>
                </c:pt>
                <c:pt idx="2">
                  <c:v>2020</c:v>
                </c:pt>
              </c:numCache>
            </c:numRef>
          </c:cat>
          <c:val>
            <c:numRef>
              <c:f>Bilanci!$T$8:$V$8</c:f>
              <c:numCache>
                <c:formatCode>0.00</c:formatCode>
                <c:ptCount val="3"/>
                <c:pt idx="0">
                  <c:v>2.3310515515470467</c:v>
                </c:pt>
                <c:pt idx="1">
                  <c:v>2.2529033634676257</c:v>
                </c:pt>
                <c:pt idx="2">
                  <c:v>1.9974019127073603</c:v>
                </c:pt>
              </c:numCache>
            </c:numRef>
          </c:val>
          <c:smooth val="0"/>
          <c:extLst>
            <c:ext xmlns:c16="http://schemas.microsoft.com/office/drawing/2014/chart" uri="{C3380CC4-5D6E-409C-BE32-E72D297353CC}">
              <c16:uniqueId val="{00000000-BD06-3347-A92A-8F16C730BAD4}"/>
            </c:ext>
          </c:extLst>
        </c:ser>
        <c:ser>
          <c:idx val="1"/>
          <c:order val="1"/>
          <c:tx>
            <c:strRef>
              <c:f>Bilanci!$S$11</c:f>
              <c:strCache>
                <c:ptCount val="1"/>
                <c:pt idx="0">
                  <c:v>D/E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Bilanci!$T$4:$V$4</c:f>
              <c:numCache>
                <c:formatCode>General</c:formatCode>
                <c:ptCount val="3"/>
                <c:pt idx="0">
                  <c:v>2018</c:v>
                </c:pt>
                <c:pt idx="1">
                  <c:v>2019</c:v>
                </c:pt>
                <c:pt idx="2">
                  <c:v>2020</c:v>
                </c:pt>
              </c:numCache>
            </c:numRef>
          </c:cat>
          <c:val>
            <c:numRef>
              <c:f>Bilanci!$T$11:$V$11</c:f>
              <c:numCache>
                <c:formatCode>0.00</c:formatCode>
                <c:ptCount val="3"/>
                <c:pt idx="0">
                  <c:v>1.4277542102145189</c:v>
                </c:pt>
                <c:pt idx="1">
                  <c:v>1.1548828434031781</c:v>
                </c:pt>
                <c:pt idx="2">
                  <c:v>1.8522791358621109</c:v>
                </c:pt>
              </c:numCache>
            </c:numRef>
          </c:val>
          <c:smooth val="0"/>
          <c:extLst>
            <c:ext xmlns:c16="http://schemas.microsoft.com/office/drawing/2014/chart" uri="{C3380CC4-5D6E-409C-BE32-E72D297353CC}">
              <c16:uniqueId val="{00000001-BD06-3347-A92A-8F16C730BAD4}"/>
            </c:ext>
          </c:extLst>
        </c:ser>
        <c:ser>
          <c:idx val="2"/>
          <c:order val="2"/>
          <c:tx>
            <c:strRef>
              <c:f>Bilanci!$S$12</c:f>
              <c:strCache>
                <c:ptCount val="1"/>
                <c:pt idx="0">
                  <c:v>ACID TEST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Bilanci!$T$4:$V$4</c:f>
              <c:numCache>
                <c:formatCode>General</c:formatCode>
                <c:ptCount val="3"/>
                <c:pt idx="0">
                  <c:v>2018</c:v>
                </c:pt>
                <c:pt idx="1">
                  <c:v>2019</c:v>
                </c:pt>
                <c:pt idx="2">
                  <c:v>2020</c:v>
                </c:pt>
              </c:numCache>
            </c:numRef>
          </c:cat>
          <c:val>
            <c:numRef>
              <c:f>Bilanci!$T$12:$V$12</c:f>
              <c:numCache>
                <c:formatCode>0.00</c:formatCode>
                <c:ptCount val="3"/>
                <c:pt idx="0">
                  <c:v>2.1711560552504254</c:v>
                </c:pt>
                <c:pt idx="1">
                  <c:v>2.7055252544350239</c:v>
                </c:pt>
                <c:pt idx="2">
                  <c:v>5.1018852205002272</c:v>
                </c:pt>
              </c:numCache>
            </c:numRef>
          </c:val>
          <c:smooth val="0"/>
          <c:extLst>
            <c:ext xmlns:c16="http://schemas.microsoft.com/office/drawing/2014/chart" uri="{C3380CC4-5D6E-409C-BE32-E72D297353CC}">
              <c16:uniqueId val="{00000002-BD06-3347-A92A-8F16C730BAD4}"/>
            </c:ext>
          </c:extLst>
        </c:ser>
        <c:dLbls>
          <c:showLegendKey val="0"/>
          <c:showVal val="0"/>
          <c:showCatName val="0"/>
          <c:showSerName val="0"/>
          <c:showPercent val="0"/>
          <c:showBubbleSize val="0"/>
        </c:dLbls>
        <c:smooth val="0"/>
        <c:axId val="1631912480"/>
        <c:axId val="1726144752"/>
      </c:lineChart>
      <c:catAx>
        <c:axId val="16319124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726144752"/>
        <c:crosses val="autoZero"/>
        <c:auto val="1"/>
        <c:lblAlgn val="ctr"/>
        <c:lblOffset val="100"/>
        <c:noMultiLvlLbl val="0"/>
      </c:catAx>
      <c:valAx>
        <c:axId val="172614475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631912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sz="1800" b="1" i="0" baseline="0">
                <a:effectLst>
                  <a:outerShdw blurRad="50800" dist="38100" dir="5400000" algn="t" rotWithShape="0">
                    <a:srgbClr val="000000">
                      <a:alpha val="40000"/>
                    </a:srgbClr>
                  </a:outerShdw>
                </a:effectLst>
              </a:rPr>
              <a:t>Demand profile &amp; trend line (FITTINGS)</a:t>
            </a:r>
            <a:endParaRPr lang="it-IT">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lotArea>
      <c:layout/>
      <c:lineChart>
        <c:grouping val="standard"/>
        <c:varyColors val="0"/>
        <c:ser>
          <c:idx val="1"/>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'FITTINGS - retail'!$A$38:$A$45</c:f>
              <c:strCache>
                <c:ptCount val="8"/>
                <c:pt idx="0">
                  <c:v>Q1 - 2018</c:v>
                </c:pt>
                <c:pt idx="1">
                  <c:v>Q2 - 2018</c:v>
                </c:pt>
                <c:pt idx="2">
                  <c:v>Q3 - 2018</c:v>
                </c:pt>
                <c:pt idx="3">
                  <c:v>Q4 - 2018</c:v>
                </c:pt>
                <c:pt idx="4">
                  <c:v>Q1 - 2019</c:v>
                </c:pt>
                <c:pt idx="5">
                  <c:v>Q2 - 2019</c:v>
                </c:pt>
                <c:pt idx="6">
                  <c:v>Q3 - 2019</c:v>
                </c:pt>
                <c:pt idx="7">
                  <c:v>Q4 - 2019</c:v>
                </c:pt>
              </c:strCache>
            </c:strRef>
          </c:cat>
          <c:val>
            <c:numRef>
              <c:f>'FITTINGS - retail'!$F$12:$F$17</c:f>
              <c:numCache>
                <c:formatCode>General</c:formatCode>
                <c:ptCount val="6"/>
                <c:pt idx="2" formatCode="#,##0.00">
                  <c:v>847245.125</c:v>
                </c:pt>
                <c:pt idx="3" formatCode="#,##0.00">
                  <c:v>867243.25</c:v>
                </c:pt>
                <c:pt idx="4" formatCode="#,##0.00">
                  <c:v>884934</c:v>
                </c:pt>
                <c:pt idx="5" formatCode="#,##0.00">
                  <c:v>873365.375</c:v>
                </c:pt>
              </c:numCache>
            </c:numRef>
          </c:val>
          <c:smooth val="0"/>
          <c:extLst>
            <c:ext xmlns:c16="http://schemas.microsoft.com/office/drawing/2014/chart" uri="{C3380CC4-5D6E-409C-BE32-E72D297353CC}">
              <c16:uniqueId val="{00000002-2740-FD45-860C-14F300C64B8A}"/>
            </c:ext>
          </c:extLst>
        </c:ser>
        <c:ser>
          <c:idx val="0"/>
          <c:order val="1"/>
          <c:spPr>
            <a:ln w="34925" cap="rnd">
              <a:solidFill>
                <a:schemeClr val="accent2"/>
              </a:solidFill>
              <a:round/>
            </a:ln>
            <a:effectLst>
              <a:outerShdw blurRad="57150" dist="19050" dir="5400000" algn="ctr" rotWithShape="0">
                <a:srgbClr val="000000">
                  <a:alpha val="63000"/>
                </a:srgbClr>
              </a:outerShdw>
            </a:effectLst>
          </c:spPr>
          <c:marker>
            <c:symbol val="none"/>
          </c:marker>
          <c:val>
            <c:numRef>
              <c:f>'FITTINGS - retail'!$B$38:$B$45</c:f>
              <c:numCache>
                <c:formatCode>#,##0</c:formatCode>
                <c:ptCount val="8"/>
                <c:pt idx="0">
                  <c:v>720554</c:v>
                </c:pt>
                <c:pt idx="1">
                  <c:v>1260207</c:v>
                </c:pt>
                <c:pt idx="2">
                  <c:v>370983</c:v>
                </c:pt>
                <c:pt idx="3">
                  <c:v>1026082</c:v>
                </c:pt>
                <c:pt idx="4">
                  <c:v>742863</c:v>
                </c:pt>
                <c:pt idx="5">
                  <c:v>1397883</c:v>
                </c:pt>
                <c:pt idx="6">
                  <c:v>374833</c:v>
                </c:pt>
                <c:pt idx="7">
                  <c:v>929683</c:v>
                </c:pt>
              </c:numCache>
            </c:numRef>
          </c:val>
          <c:smooth val="0"/>
          <c:extLst>
            <c:ext xmlns:c16="http://schemas.microsoft.com/office/drawing/2014/chart" uri="{C3380CC4-5D6E-409C-BE32-E72D297353CC}">
              <c16:uniqueId val="{00000001-2D62-FB40-9535-A2382AACC4BC}"/>
            </c:ext>
          </c:extLst>
        </c:ser>
        <c:dLbls>
          <c:showLegendKey val="0"/>
          <c:showVal val="0"/>
          <c:showCatName val="0"/>
          <c:showSerName val="0"/>
          <c:showPercent val="0"/>
          <c:showBubbleSize val="0"/>
        </c:dLbls>
        <c:smooth val="0"/>
        <c:axId val="1709994175"/>
        <c:axId val="1709648847"/>
      </c:lineChart>
      <c:catAx>
        <c:axId val="17099941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709648847"/>
        <c:crosses val="autoZero"/>
        <c:auto val="1"/>
        <c:lblAlgn val="ctr"/>
        <c:lblOffset val="100"/>
        <c:noMultiLvlLbl val="0"/>
      </c:catAx>
      <c:valAx>
        <c:axId val="1709648847"/>
        <c:scaling>
          <c:orientation val="minMax"/>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70999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4Ichea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lotArea>
      <c:layout/>
      <c:lineChart>
        <c:grouping val="standard"/>
        <c:varyColors val="0"/>
        <c:ser>
          <c:idx val="0"/>
          <c:order val="0"/>
          <c:tx>
            <c:strRef>
              <c:f>Bilanci!$S$19</c:f>
              <c:strCache>
                <c:ptCount val="1"/>
                <c:pt idx="0">
                  <c:v>ROT</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Bilanci!$T$15:$V$15</c:f>
              <c:numCache>
                <c:formatCode>General</c:formatCode>
                <c:ptCount val="3"/>
                <c:pt idx="0">
                  <c:v>2018</c:v>
                </c:pt>
                <c:pt idx="1">
                  <c:v>2019</c:v>
                </c:pt>
                <c:pt idx="2">
                  <c:v>2020</c:v>
                </c:pt>
              </c:numCache>
            </c:numRef>
          </c:cat>
          <c:val>
            <c:numRef>
              <c:f>Bilanci!$T$19:$V$19</c:f>
              <c:numCache>
                <c:formatCode>0.00</c:formatCode>
                <c:ptCount val="3"/>
                <c:pt idx="0">
                  <c:v>2.3310515515470467</c:v>
                </c:pt>
                <c:pt idx="1">
                  <c:v>2.2529033634676257</c:v>
                </c:pt>
                <c:pt idx="2">
                  <c:v>2.2312520303122474</c:v>
                </c:pt>
              </c:numCache>
            </c:numRef>
          </c:val>
          <c:smooth val="0"/>
          <c:extLst>
            <c:ext xmlns:c16="http://schemas.microsoft.com/office/drawing/2014/chart" uri="{C3380CC4-5D6E-409C-BE32-E72D297353CC}">
              <c16:uniqueId val="{00000000-7A64-1D47-A5E6-C8AC6A8A0D11}"/>
            </c:ext>
          </c:extLst>
        </c:ser>
        <c:ser>
          <c:idx val="1"/>
          <c:order val="1"/>
          <c:tx>
            <c:strRef>
              <c:f>Bilanci!$S$22</c:f>
              <c:strCache>
                <c:ptCount val="1"/>
                <c:pt idx="0">
                  <c:v>D/E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Bilanci!$T$15:$V$15</c:f>
              <c:numCache>
                <c:formatCode>General</c:formatCode>
                <c:ptCount val="3"/>
                <c:pt idx="0">
                  <c:v>2018</c:v>
                </c:pt>
                <c:pt idx="1">
                  <c:v>2019</c:v>
                </c:pt>
                <c:pt idx="2">
                  <c:v>2020</c:v>
                </c:pt>
              </c:numCache>
            </c:numRef>
          </c:cat>
          <c:val>
            <c:numRef>
              <c:f>Bilanci!$T$22:$V$22</c:f>
              <c:numCache>
                <c:formatCode>0.00</c:formatCode>
                <c:ptCount val="3"/>
                <c:pt idx="0">
                  <c:v>1.4277542102145189</c:v>
                </c:pt>
                <c:pt idx="1">
                  <c:v>1.1548828434031781</c:v>
                </c:pt>
                <c:pt idx="2">
                  <c:v>1.28046584406208</c:v>
                </c:pt>
              </c:numCache>
            </c:numRef>
          </c:val>
          <c:smooth val="0"/>
          <c:extLst>
            <c:ext xmlns:c16="http://schemas.microsoft.com/office/drawing/2014/chart" uri="{C3380CC4-5D6E-409C-BE32-E72D297353CC}">
              <c16:uniqueId val="{00000001-7A64-1D47-A5E6-C8AC6A8A0D11}"/>
            </c:ext>
          </c:extLst>
        </c:ser>
        <c:ser>
          <c:idx val="2"/>
          <c:order val="2"/>
          <c:tx>
            <c:strRef>
              <c:f>Bilanci!$S$23</c:f>
              <c:strCache>
                <c:ptCount val="1"/>
                <c:pt idx="0">
                  <c:v>ACID TEST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Bilanci!$T$15:$V$15</c:f>
              <c:numCache>
                <c:formatCode>General</c:formatCode>
                <c:ptCount val="3"/>
                <c:pt idx="0">
                  <c:v>2018</c:v>
                </c:pt>
                <c:pt idx="1">
                  <c:v>2019</c:v>
                </c:pt>
                <c:pt idx="2">
                  <c:v>2020</c:v>
                </c:pt>
              </c:numCache>
            </c:numRef>
          </c:cat>
          <c:val>
            <c:numRef>
              <c:f>Bilanci!$T$23:$V$23</c:f>
              <c:numCache>
                <c:formatCode>0.00</c:formatCode>
                <c:ptCount val="3"/>
                <c:pt idx="0">
                  <c:v>2.1711560552504254</c:v>
                </c:pt>
                <c:pt idx="1">
                  <c:v>2.7055252544350239</c:v>
                </c:pt>
                <c:pt idx="2">
                  <c:v>2.6433472588876992</c:v>
                </c:pt>
              </c:numCache>
            </c:numRef>
          </c:val>
          <c:smooth val="0"/>
          <c:extLst>
            <c:ext xmlns:c16="http://schemas.microsoft.com/office/drawing/2014/chart" uri="{C3380CC4-5D6E-409C-BE32-E72D297353CC}">
              <c16:uniqueId val="{00000002-7A64-1D47-A5E6-C8AC6A8A0D11}"/>
            </c:ext>
          </c:extLst>
        </c:ser>
        <c:dLbls>
          <c:showLegendKey val="0"/>
          <c:showVal val="0"/>
          <c:showCatName val="0"/>
          <c:showSerName val="0"/>
          <c:showPercent val="0"/>
          <c:showBubbleSize val="0"/>
        </c:dLbls>
        <c:smooth val="0"/>
        <c:axId val="1747871056"/>
        <c:axId val="1747438416"/>
      </c:lineChart>
      <c:catAx>
        <c:axId val="17478710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747438416"/>
        <c:crosses val="autoZero"/>
        <c:auto val="1"/>
        <c:lblAlgn val="ctr"/>
        <c:lblOffset val="100"/>
        <c:noMultiLvlLbl val="0"/>
      </c:catAx>
      <c:valAx>
        <c:axId val="174743841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747871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4JustInTeam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lotArea>
      <c:layout/>
      <c:lineChart>
        <c:grouping val="standard"/>
        <c:varyColors val="0"/>
        <c:ser>
          <c:idx val="0"/>
          <c:order val="0"/>
          <c:tx>
            <c:strRef>
              <c:f>Bilanci!$S$31</c:f>
              <c:strCache>
                <c:ptCount val="1"/>
                <c:pt idx="0">
                  <c:v>ROT</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Bilanci!$T$27:$V$27</c:f>
              <c:numCache>
                <c:formatCode>General</c:formatCode>
                <c:ptCount val="3"/>
                <c:pt idx="0">
                  <c:v>2018</c:v>
                </c:pt>
                <c:pt idx="1">
                  <c:v>2019</c:v>
                </c:pt>
                <c:pt idx="2">
                  <c:v>2020</c:v>
                </c:pt>
              </c:numCache>
            </c:numRef>
          </c:cat>
          <c:val>
            <c:numRef>
              <c:f>Bilanci!$T$31:$V$31</c:f>
              <c:numCache>
                <c:formatCode>0.00</c:formatCode>
                <c:ptCount val="3"/>
                <c:pt idx="0">
                  <c:v>2.3310515515470467</c:v>
                </c:pt>
                <c:pt idx="1">
                  <c:v>2.2529033634676257</c:v>
                </c:pt>
                <c:pt idx="2">
                  <c:v>2.4055602475966609</c:v>
                </c:pt>
              </c:numCache>
            </c:numRef>
          </c:val>
          <c:smooth val="0"/>
          <c:extLst>
            <c:ext xmlns:c16="http://schemas.microsoft.com/office/drawing/2014/chart" uri="{C3380CC4-5D6E-409C-BE32-E72D297353CC}">
              <c16:uniqueId val="{00000000-0773-6941-8D05-674F434CA59F}"/>
            </c:ext>
          </c:extLst>
        </c:ser>
        <c:ser>
          <c:idx val="1"/>
          <c:order val="1"/>
          <c:tx>
            <c:strRef>
              <c:f>Bilanci!$S$34</c:f>
              <c:strCache>
                <c:ptCount val="1"/>
                <c:pt idx="0">
                  <c:v>D/E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Bilanci!$T$27:$V$27</c:f>
              <c:numCache>
                <c:formatCode>General</c:formatCode>
                <c:ptCount val="3"/>
                <c:pt idx="0">
                  <c:v>2018</c:v>
                </c:pt>
                <c:pt idx="1">
                  <c:v>2019</c:v>
                </c:pt>
                <c:pt idx="2">
                  <c:v>2020</c:v>
                </c:pt>
              </c:numCache>
            </c:numRef>
          </c:cat>
          <c:val>
            <c:numRef>
              <c:f>Bilanci!$T$34:$V$34</c:f>
              <c:numCache>
                <c:formatCode>0.00</c:formatCode>
                <c:ptCount val="3"/>
                <c:pt idx="0">
                  <c:v>1.4277542102145189</c:v>
                </c:pt>
                <c:pt idx="1">
                  <c:v>1.1548828434031781</c:v>
                </c:pt>
                <c:pt idx="2">
                  <c:v>11.850589736376101</c:v>
                </c:pt>
              </c:numCache>
            </c:numRef>
          </c:val>
          <c:smooth val="0"/>
          <c:extLst>
            <c:ext xmlns:c16="http://schemas.microsoft.com/office/drawing/2014/chart" uri="{C3380CC4-5D6E-409C-BE32-E72D297353CC}">
              <c16:uniqueId val="{00000001-0773-6941-8D05-674F434CA59F}"/>
            </c:ext>
          </c:extLst>
        </c:ser>
        <c:ser>
          <c:idx val="2"/>
          <c:order val="2"/>
          <c:tx>
            <c:strRef>
              <c:f>Bilanci!$S$35</c:f>
              <c:strCache>
                <c:ptCount val="1"/>
                <c:pt idx="0">
                  <c:v>ACID TEST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Bilanci!$T$27:$V$27</c:f>
              <c:numCache>
                <c:formatCode>General</c:formatCode>
                <c:ptCount val="3"/>
                <c:pt idx="0">
                  <c:v>2018</c:v>
                </c:pt>
                <c:pt idx="1">
                  <c:v>2019</c:v>
                </c:pt>
                <c:pt idx="2">
                  <c:v>2020</c:v>
                </c:pt>
              </c:numCache>
            </c:numRef>
          </c:cat>
          <c:val>
            <c:numRef>
              <c:f>Bilanci!$T$35:$V$35</c:f>
              <c:numCache>
                <c:formatCode>0.00</c:formatCode>
                <c:ptCount val="3"/>
                <c:pt idx="0">
                  <c:v>2.1711560552504254</c:v>
                </c:pt>
                <c:pt idx="1">
                  <c:v>2.7055252544350239</c:v>
                </c:pt>
                <c:pt idx="2">
                  <c:v>2.5537630456236777</c:v>
                </c:pt>
              </c:numCache>
            </c:numRef>
          </c:val>
          <c:smooth val="0"/>
          <c:extLst>
            <c:ext xmlns:c16="http://schemas.microsoft.com/office/drawing/2014/chart" uri="{C3380CC4-5D6E-409C-BE32-E72D297353CC}">
              <c16:uniqueId val="{00000002-0773-6941-8D05-674F434CA59F}"/>
            </c:ext>
          </c:extLst>
        </c:ser>
        <c:dLbls>
          <c:showLegendKey val="0"/>
          <c:showVal val="0"/>
          <c:showCatName val="0"/>
          <c:showSerName val="0"/>
          <c:showPercent val="0"/>
          <c:showBubbleSize val="0"/>
        </c:dLbls>
        <c:smooth val="0"/>
        <c:axId val="1721222896"/>
        <c:axId val="1749178096"/>
      </c:lineChart>
      <c:catAx>
        <c:axId val="17212228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749178096"/>
        <c:crosses val="autoZero"/>
        <c:auto val="1"/>
        <c:lblAlgn val="ctr"/>
        <c:lblOffset val="100"/>
        <c:noMultiLvlLbl val="0"/>
      </c:catAx>
      <c:valAx>
        <c:axId val="174917809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721222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4LeeQuidity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lotArea>
      <c:layout/>
      <c:lineChart>
        <c:grouping val="standard"/>
        <c:varyColors val="0"/>
        <c:ser>
          <c:idx val="0"/>
          <c:order val="0"/>
          <c:tx>
            <c:strRef>
              <c:f>Bilanci!$S$42</c:f>
              <c:strCache>
                <c:ptCount val="1"/>
                <c:pt idx="0">
                  <c:v>ROT</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Bilanci!$T$38:$V$38</c:f>
              <c:numCache>
                <c:formatCode>General</c:formatCode>
                <c:ptCount val="3"/>
                <c:pt idx="0">
                  <c:v>2018</c:v>
                </c:pt>
                <c:pt idx="1">
                  <c:v>2019</c:v>
                </c:pt>
                <c:pt idx="2">
                  <c:v>2020</c:v>
                </c:pt>
              </c:numCache>
            </c:numRef>
          </c:cat>
          <c:val>
            <c:numRef>
              <c:f>Bilanci!$T$42:$V$42</c:f>
              <c:numCache>
                <c:formatCode>0.00</c:formatCode>
                <c:ptCount val="3"/>
                <c:pt idx="0">
                  <c:v>2.3310515515470467</c:v>
                </c:pt>
                <c:pt idx="1">
                  <c:v>2.2529033634676257</c:v>
                </c:pt>
                <c:pt idx="2">
                  <c:v>1.9853785779954831</c:v>
                </c:pt>
              </c:numCache>
            </c:numRef>
          </c:val>
          <c:smooth val="0"/>
          <c:extLst>
            <c:ext xmlns:c16="http://schemas.microsoft.com/office/drawing/2014/chart" uri="{C3380CC4-5D6E-409C-BE32-E72D297353CC}">
              <c16:uniqueId val="{00000000-2502-7342-9AA1-6661AADE59ED}"/>
            </c:ext>
          </c:extLst>
        </c:ser>
        <c:ser>
          <c:idx val="1"/>
          <c:order val="1"/>
          <c:tx>
            <c:strRef>
              <c:f>Bilanci!$S$45</c:f>
              <c:strCache>
                <c:ptCount val="1"/>
                <c:pt idx="0">
                  <c:v>D/E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Bilanci!$T$38:$V$38</c:f>
              <c:numCache>
                <c:formatCode>General</c:formatCode>
                <c:ptCount val="3"/>
                <c:pt idx="0">
                  <c:v>2018</c:v>
                </c:pt>
                <c:pt idx="1">
                  <c:v>2019</c:v>
                </c:pt>
                <c:pt idx="2">
                  <c:v>2020</c:v>
                </c:pt>
              </c:numCache>
            </c:numRef>
          </c:cat>
          <c:val>
            <c:numRef>
              <c:f>Bilanci!$T$45:$V$45</c:f>
              <c:numCache>
                <c:formatCode>0.00</c:formatCode>
                <c:ptCount val="3"/>
                <c:pt idx="0">
                  <c:v>1.4277542102145189</c:v>
                </c:pt>
                <c:pt idx="1">
                  <c:v>1.1548828434031781</c:v>
                </c:pt>
                <c:pt idx="2">
                  <c:v>1.9749955247436484</c:v>
                </c:pt>
              </c:numCache>
            </c:numRef>
          </c:val>
          <c:smooth val="0"/>
          <c:extLst>
            <c:ext xmlns:c16="http://schemas.microsoft.com/office/drawing/2014/chart" uri="{C3380CC4-5D6E-409C-BE32-E72D297353CC}">
              <c16:uniqueId val="{00000001-2502-7342-9AA1-6661AADE59ED}"/>
            </c:ext>
          </c:extLst>
        </c:ser>
        <c:ser>
          <c:idx val="2"/>
          <c:order val="2"/>
          <c:tx>
            <c:strRef>
              <c:f>Bilanci!$S$46</c:f>
              <c:strCache>
                <c:ptCount val="1"/>
                <c:pt idx="0">
                  <c:v>ACID TEST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Bilanci!$T$38:$V$38</c:f>
              <c:numCache>
                <c:formatCode>General</c:formatCode>
                <c:ptCount val="3"/>
                <c:pt idx="0">
                  <c:v>2018</c:v>
                </c:pt>
                <c:pt idx="1">
                  <c:v>2019</c:v>
                </c:pt>
                <c:pt idx="2">
                  <c:v>2020</c:v>
                </c:pt>
              </c:numCache>
            </c:numRef>
          </c:cat>
          <c:val>
            <c:numRef>
              <c:f>Bilanci!$T$46:$V$46</c:f>
              <c:numCache>
                <c:formatCode>0.00</c:formatCode>
                <c:ptCount val="3"/>
                <c:pt idx="0">
                  <c:v>2.1711560552504254</c:v>
                </c:pt>
                <c:pt idx="1">
                  <c:v>2.7055252544350239</c:v>
                </c:pt>
                <c:pt idx="2">
                  <c:v>2.262923014226589</c:v>
                </c:pt>
              </c:numCache>
            </c:numRef>
          </c:val>
          <c:smooth val="0"/>
          <c:extLst>
            <c:ext xmlns:c16="http://schemas.microsoft.com/office/drawing/2014/chart" uri="{C3380CC4-5D6E-409C-BE32-E72D297353CC}">
              <c16:uniqueId val="{00000002-2502-7342-9AA1-6661AADE59ED}"/>
            </c:ext>
          </c:extLst>
        </c:ser>
        <c:dLbls>
          <c:showLegendKey val="0"/>
          <c:showVal val="0"/>
          <c:showCatName val="0"/>
          <c:showSerName val="0"/>
          <c:showPercent val="0"/>
          <c:showBubbleSize val="0"/>
        </c:dLbls>
        <c:smooth val="0"/>
        <c:axId val="1748766240"/>
        <c:axId val="1748900288"/>
      </c:lineChart>
      <c:catAx>
        <c:axId val="17487662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748900288"/>
        <c:crosses val="autoZero"/>
        <c:auto val="1"/>
        <c:lblAlgn val="ctr"/>
        <c:lblOffset val="100"/>
        <c:noMultiLvlLbl val="0"/>
      </c:catAx>
      <c:valAx>
        <c:axId val="174890028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748766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4MonzaMilano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lotArea>
      <c:layout/>
      <c:lineChart>
        <c:grouping val="standard"/>
        <c:varyColors val="0"/>
        <c:ser>
          <c:idx val="0"/>
          <c:order val="0"/>
          <c:tx>
            <c:strRef>
              <c:f>Bilanci!$S$53</c:f>
              <c:strCache>
                <c:ptCount val="1"/>
                <c:pt idx="0">
                  <c:v>ROT</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Bilanci!$T$49:$V$49</c:f>
              <c:numCache>
                <c:formatCode>General</c:formatCode>
                <c:ptCount val="3"/>
                <c:pt idx="0">
                  <c:v>2018</c:v>
                </c:pt>
                <c:pt idx="1">
                  <c:v>2019</c:v>
                </c:pt>
                <c:pt idx="2">
                  <c:v>2020</c:v>
                </c:pt>
              </c:numCache>
            </c:numRef>
          </c:cat>
          <c:val>
            <c:numRef>
              <c:f>Bilanci!$T$53:$V$53</c:f>
              <c:numCache>
                <c:formatCode>0.00</c:formatCode>
                <c:ptCount val="3"/>
                <c:pt idx="0">
                  <c:v>2.3310515515470467</c:v>
                </c:pt>
                <c:pt idx="1">
                  <c:v>2.2529033634676257</c:v>
                </c:pt>
                <c:pt idx="2">
                  <c:v>1.9927653214718191</c:v>
                </c:pt>
              </c:numCache>
            </c:numRef>
          </c:val>
          <c:smooth val="0"/>
          <c:extLst>
            <c:ext xmlns:c16="http://schemas.microsoft.com/office/drawing/2014/chart" uri="{C3380CC4-5D6E-409C-BE32-E72D297353CC}">
              <c16:uniqueId val="{00000000-17B9-5E48-A542-91F5D4960D7F}"/>
            </c:ext>
          </c:extLst>
        </c:ser>
        <c:ser>
          <c:idx val="1"/>
          <c:order val="1"/>
          <c:tx>
            <c:strRef>
              <c:f>Bilanci!$S$56</c:f>
              <c:strCache>
                <c:ptCount val="1"/>
                <c:pt idx="0">
                  <c:v>D/E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Bilanci!$T$49:$V$49</c:f>
              <c:numCache>
                <c:formatCode>General</c:formatCode>
                <c:ptCount val="3"/>
                <c:pt idx="0">
                  <c:v>2018</c:v>
                </c:pt>
                <c:pt idx="1">
                  <c:v>2019</c:v>
                </c:pt>
                <c:pt idx="2">
                  <c:v>2020</c:v>
                </c:pt>
              </c:numCache>
            </c:numRef>
          </c:cat>
          <c:val>
            <c:numRef>
              <c:f>Bilanci!$T$56:$V$56</c:f>
              <c:numCache>
                <c:formatCode>0.00</c:formatCode>
                <c:ptCount val="3"/>
                <c:pt idx="0">
                  <c:v>1.4277542102145189</c:v>
                </c:pt>
                <c:pt idx="1">
                  <c:v>1.1548828434031781</c:v>
                </c:pt>
                <c:pt idx="2">
                  <c:v>1.4195948654942017</c:v>
                </c:pt>
              </c:numCache>
            </c:numRef>
          </c:val>
          <c:smooth val="0"/>
          <c:extLst>
            <c:ext xmlns:c16="http://schemas.microsoft.com/office/drawing/2014/chart" uri="{C3380CC4-5D6E-409C-BE32-E72D297353CC}">
              <c16:uniqueId val="{00000001-17B9-5E48-A542-91F5D4960D7F}"/>
            </c:ext>
          </c:extLst>
        </c:ser>
        <c:ser>
          <c:idx val="2"/>
          <c:order val="2"/>
          <c:tx>
            <c:strRef>
              <c:f>Bilanci!$S$57</c:f>
              <c:strCache>
                <c:ptCount val="1"/>
                <c:pt idx="0">
                  <c:v>ACID TEST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Bilanci!$T$49:$V$49</c:f>
              <c:numCache>
                <c:formatCode>General</c:formatCode>
                <c:ptCount val="3"/>
                <c:pt idx="0">
                  <c:v>2018</c:v>
                </c:pt>
                <c:pt idx="1">
                  <c:v>2019</c:v>
                </c:pt>
                <c:pt idx="2">
                  <c:v>2020</c:v>
                </c:pt>
              </c:numCache>
            </c:numRef>
          </c:cat>
          <c:val>
            <c:numRef>
              <c:f>Bilanci!$T$57:$V$57</c:f>
              <c:numCache>
                <c:formatCode>0.00</c:formatCode>
                <c:ptCount val="3"/>
                <c:pt idx="0">
                  <c:v>2.1711560552504254</c:v>
                </c:pt>
                <c:pt idx="1">
                  <c:v>2.7055252544350239</c:v>
                </c:pt>
                <c:pt idx="2">
                  <c:v>2.4042502143094895</c:v>
                </c:pt>
              </c:numCache>
            </c:numRef>
          </c:val>
          <c:smooth val="0"/>
          <c:extLst>
            <c:ext xmlns:c16="http://schemas.microsoft.com/office/drawing/2014/chart" uri="{C3380CC4-5D6E-409C-BE32-E72D297353CC}">
              <c16:uniqueId val="{00000002-17B9-5E48-A542-91F5D4960D7F}"/>
            </c:ext>
          </c:extLst>
        </c:ser>
        <c:dLbls>
          <c:showLegendKey val="0"/>
          <c:showVal val="0"/>
          <c:showCatName val="0"/>
          <c:showSerName val="0"/>
          <c:showPercent val="0"/>
          <c:showBubbleSize val="0"/>
        </c:dLbls>
        <c:smooth val="0"/>
        <c:axId val="1747734496"/>
        <c:axId val="1745165520"/>
      </c:lineChart>
      <c:catAx>
        <c:axId val="17477344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745165520"/>
        <c:crosses val="autoZero"/>
        <c:auto val="1"/>
        <c:lblAlgn val="ctr"/>
        <c:lblOffset val="100"/>
        <c:noMultiLvlLbl val="0"/>
      </c:catAx>
      <c:valAx>
        <c:axId val="174516552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747734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4NPRspa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lotArea>
      <c:layout/>
      <c:lineChart>
        <c:grouping val="standard"/>
        <c:varyColors val="0"/>
        <c:ser>
          <c:idx val="0"/>
          <c:order val="0"/>
          <c:tx>
            <c:strRef>
              <c:f>Bilanci!$S$64</c:f>
              <c:strCache>
                <c:ptCount val="1"/>
                <c:pt idx="0">
                  <c:v>ROT</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Bilanci!$T$60:$V$60</c:f>
              <c:numCache>
                <c:formatCode>General</c:formatCode>
                <c:ptCount val="3"/>
                <c:pt idx="0">
                  <c:v>2018</c:v>
                </c:pt>
                <c:pt idx="1">
                  <c:v>2019</c:v>
                </c:pt>
                <c:pt idx="2">
                  <c:v>2020</c:v>
                </c:pt>
              </c:numCache>
            </c:numRef>
          </c:cat>
          <c:val>
            <c:numRef>
              <c:f>Bilanci!$T$64:$V$64</c:f>
              <c:numCache>
                <c:formatCode>0.00</c:formatCode>
                <c:ptCount val="3"/>
                <c:pt idx="0">
                  <c:v>2.3310515515470467</c:v>
                </c:pt>
                <c:pt idx="1">
                  <c:v>2.2529033634676257</c:v>
                </c:pt>
                <c:pt idx="2">
                  <c:v>1.8926057315124143</c:v>
                </c:pt>
              </c:numCache>
            </c:numRef>
          </c:val>
          <c:smooth val="0"/>
          <c:extLst>
            <c:ext xmlns:c16="http://schemas.microsoft.com/office/drawing/2014/chart" uri="{C3380CC4-5D6E-409C-BE32-E72D297353CC}">
              <c16:uniqueId val="{00000000-06D1-B147-8DA6-0BB07DC28317}"/>
            </c:ext>
          </c:extLst>
        </c:ser>
        <c:ser>
          <c:idx val="1"/>
          <c:order val="1"/>
          <c:tx>
            <c:strRef>
              <c:f>Bilanci!$S$67</c:f>
              <c:strCache>
                <c:ptCount val="1"/>
                <c:pt idx="0">
                  <c:v>D/E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Bilanci!$T$60:$V$60</c:f>
              <c:numCache>
                <c:formatCode>General</c:formatCode>
                <c:ptCount val="3"/>
                <c:pt idx="0">
                  <c:v>2018</c:v>
                </c:pt>
                <c:pt idx="1">
                  <c:v>2019</c:v>
                </c:pt>
                <c:pt idx="2">
                  <c:v>2020</c:v>
                </c:pt>
              </c:numCache>
            </c:numRef>
          </c:cat>
          <c:val>
            <c:numRef>
              <c:f>Bilanci!$T$67:$V$67</c:f>
              <c:numCache>
                <c:formatCode>0.00</c:formatCode>
                <c:ptCount val="3"/>
                <c:pt idx="0">
                  <c:v>1.4277542102145189</c:v>
                </c:pt>
                <c:pt idx="1">
                  <c:v>1.1548828434031781</c:v>
                </c:pt>
                <c:pt idx="2">
                  <c:v>1.5931653227812885</c:v>
                </c:pt>
              </c:numCache>
            </c:numRef>
          </c:val>
          <c:smooth val="0"/>
          <c:extLst>
            <c:ext xmlns:c16="http://schemas.microsoft.com/office/drawing/2014/chart" uri="{C3380CC4-5D6E-409C-BE32-E72D297353CC}">
              <c16:uniqueId val="{00000001-06D1-B147-8DA6-0BB07DC28317}"/>
            </c:ext>
          </c:extLst>
        </c:ser>
        <c:ser>
          <c:idx val="2"/>
          <c:order val="2"/>
          <c:tx>
            <c:strRef>
              <c:f>Bilanci!$S$68</c:f>
              <c:strCache>
                <c:ptCount val="1"/>
                <c:pt idx="0">
                  <c:v>ACID TEST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Bilanci!$T$60:$V$60</c:f>
              <c:numCache>
                <c:formatCode>General</c:formatCode>
                <c:ptCount val="3"/>
                <c:pt idx="0">
                  <c:v>2018</c:v>
                </c:pt>
                <c:pt idx="1">
                  <c:v>2019</c:v>
                </c:pt>
                <c:pt idx="2">
                  <c:v>2020</c:v>
                </c:pt>
              </c:numCache>
            </c:numRef>
          </c:cat>
          <c:val>
            <c:numRef>
              <c:f>Bilanci!$T$68:$V$68</c:f>
              <c:numCache>
                <c:formatCode>0.00</c:formatCode>
                <c:ptCount val="3"/>
                <c:pt idx="0">
                  <c:v>2.1711560552504254</c:v>
                </c:pt>
                <c:pt idx="1">
                  <c:v>2.7055252544350239</c:v>
                </c:pt>
                <c:pt idx="2">
                  <c:v>1.9997773899828564</c:v>
                </c:pt>
              </c:numCache>
            </c:numRef>
          </c:val>
          <c:smooth val="0"/>
          <c:extLst>
            <c:ext xmlns:c16="http://schemas.microsoft.com/office/drawing/2014/chart" uri="{C3380CC4-5D6E-409C-BE32-E72D297353CC}">
              <c16:uniqueId val="{00000002-06D1-B147-8DA6-0BB07DC28317}"/>
            </c:ext>
          </c:extLst>
        </c:ser>
        <c:dLbls>
          <c:showLegendKey val="0"/>
          <c:showVal val="0"/>
          <c:showCatName val="0"/>
          <c:showSerName val="0"/>
          <c:showPercent val="0"/>
          <c:showBubbleSize val="0"/>
        </c:dLbls>
        <c:smooth val="0"/>
        <c:axId val="1748530704"/>
        <c:axId val="1748205840"/>
      </c:lineChart>
      <c:catAx>
        <c:axId val="17485307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748205840"/>
        <c:crosses val="autoZero"/>
        <c:auto val="1"/>
        <c:lblAlgn val="ctr"/>
        <c:lblOffset val="100"/>
        <c:noMultiLvlLbl val="0"/>
      </c:catAx>
      <c:valAx>
        <c:axId val="174820584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748530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sz="1800" b="1" i="0" baseline="0">
                <a:effectLst>
                  <a:outerShdw blurRad="50800" dist="38100" dir="5400000" algn="t" rotWithShape="0">
                    <a:srgbClr val="000000">
                      <a:alpha val="40000"/>
                    </a:srgbClr>
                  </a:outerShdw>
                </a:effectLst>
              </a:rPr>
              <a:t>Demand profile &amp; trend line (FURNITURE)</a:t>
            </a:r>
            <a:endParaRPr lang="it-IT">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lotArea>
      <c:layout/>
      <c:lineChart>
        <c:grouping val="standard"/>
        <c:varyColors val="0"/>
        <c:ser>
          <c:idx val="2"/>
          <c:order val="0"/>
          <c:spPr>
            <a:ln w="34925" cap="rnd">
              <a:solidFill>
                <a:schemeClr val="accent2"/>
              </a:solidFill>
              <a:round/>
            </a:ln>
            <a:effectLst>
              <a:outerShdw blurRad="57150" dist="19050" dir="5400000" algn="ctr" rotWithShape="0">
                <a:srgbClr val="000000">
                  <a:alpha val="63000"/>
                </a:srgbClr>
              </a:outerShdw>
            </a:effectLst>
          </c:spPr>
          <c:marker>
            <c:symbol val="none"/>
          </c:marker>
          <c:cat>
            <c:strRef>
              <c:f>'FURNITURE - retail'!$A$38:$A$45</c:f>
              <c:strCache>
                <c:ptCount val="8"/>
                <c:pt idx="0">
                  <c:v>Q1 - 2018</c:v>
                </c:pt>
                <c:pt idx="1">
                  <c:v>Q2 - 2018</c:v>
                </c:pt>
                <c:pt idx="2">
                  <c:v>Q3 - 2018</c:v>
                </c:pt>
                <c:pt idx="3">
                  <c:v>Q4 - 2018</c:v>
                </c:pt>
                <c:pt idx="4">
                  <c:v>Q1 - 2019</c:v>
                </c:pt>
                <c:pt idx="5">
                  <c:v>Q2 - 2019</c:v>
                </c:pt>
                <c:pt idx="6">
                  <c:v>Q3 - 2019</c:v>
                </c:pt>
                <c:pt idx="7">
                  <c:v>Q4 - 2019</c:v>
                </c:pt>
              </c:strCache>
            </c:strRef>
          </c:cat>
          <c:val>
            <c:numRef>
              <c:f>'FURNITURE - retail'!$B$38:$B$45</c:f>
              <c:numCache>
                <c:formatCode>#,##0</c:formatCode>
                <c:ptCount val="8"/>
                <c:pt idx="0">
                  <c:v>91402</c:v>
                </c:pt>
                <c:pt idx="1">
                  <c:v>73876</c:v>
                </c:pt>
                <c:pt idx="2">
                  <c:v>123163</c:v>
                </c:pt>
                <c:pt idx="3">
                  <c:v>177223</c:v>
                </c:pt>
                <c:pt idx="4">
                  <c:v>92999</c:v>
                </c:pt>
                <c:pt idx="5">
                  <c:v>67706</c:v>
                </c:pt>
                <c:pt idx="6">
                  <c:v>120902</c:v>
                </c:pt>
                <c:pt idx="7">
                  <c:v>166940</c:v>
                </c:pt>
              </c:numCache>
            </c:numRef>
          </c:val>
          <c:smooth val="0"/>
          <c:extLst>
            <c:ext xmlns:c16="http://schemas.microsoft.com/office/drawing/2014/chart" uri="{C3380CC4-5D6E-409C-BE32-E72D297353CC}">
              <c16:uniqueId val="{00000002-B29C-014C-BAB9-F213253EA6BF}"/>
            </c:ext>
          </c:extLst>
        </c:ser>
        <c:ser>
          <c:idx val="0"/>
          <c:order val="1"/>
          <c:spPr>
            <a:ln w="34925" cap="rnd">
              <a:solidFill>
                <a:schemeClr val="accent1"/>
              </a:solidFill>
              <a:round/>
            </a:ln>
            <a:effectLst>
              <a:outerShdw blurRad="57150" dist="19050" dir="5400000" algn="ctr" rotWithShape="0">
                <a:srgbClr val="000000">
                  <a:alpha val="63000"/>
                </a:srgbClr>
              </a:outerShdw>
            </a:effectLst>
          </c:spPr>
          <c:marker>
            <c:symbol val="none"/>
          </c:marker>
          <c:val>
            <c:numRef>
              <c:f>'FURNITURE - retail'!$F$12:$F$17</c:f>
              <c:numCache>
                <c:formatCode>General</c:formatCode>
                <c:ptCount val="6"/>
                <c:pt idx="2" formatCode="#,##0.00">
                  <c:v>116615.625</c:v>
                </c:pt>
                <c:pt idx="3" formatCode="#,##0.00">
                  <c:v>116044</c:v>
                </c:pt>
                <c:pt idx="4" formatCode="#,##0.00">
                  <c:v>114990.125</c:v>
                </c:pt>
                <c:pt idx="5" formatCode="#,##0.00">
                  <c:v>113422.125</c:v>
                </c:pt>
              </c:numCache>
            </c:numRef>
          </c:val>
          <c:smooth val="0"/>
          <c:extLst>
            <c:ext xmlns:c16="http://schemas.microsoft.com/office/drawing/2014/chart" uri="{C3380CC4-5D6E-409C-BE32-E72D297353CC}">
              <c16:uniqueId val="{00000003-B29C-014C-BAB9-F213253EA6BF}"/>
            </c:ext>
          </c:extLst>
        </c:ser>
        <c:dLbls>
          <c:showLegendKey val="0"/>
          <c:showVal val="0"/>
          <c:showCatName val="0"/>
          <c:showSerName val="0"/>
          <c:showPercent val="0"/>
          <c:showBubbleSize val="0"/>
        </c:dLbls>
        <c:smooth val="0"/>
        <c:axId val="1709994175"/>
        <c:axId val="1709648847"/>
      </c:lineChart>
      <c:catAx>
        <c:axId val="17099941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709648847"/>
        <c:crosses val="autoZero"/>
        <c:auto val="1"/>
        <c:lblAlgn val="ctr"/>
        <c:lblOffset val="100"/>
        <c:noMultiLvlLbl val="0"/>
      </c:catAx>
      <c:valAx>
        <c:axId val="1709648847"/>
        <c:scaling>
          <c:orientation val="minMax"/>
          <c:min val="0"/>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70999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Time series demand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lotArea>
      <c:layout/>
      <c:lineChart>
        <c:grouping val="standard"/>
        <c:varyColors val="0"/>
        <c:ser>
          <c:idx val="0"/>
          <c:order val="0"/>
          <c:tx>
            <c:strRef>
              <c:f>'ANALISI DOMANDA'!$A$3</c:f>
              <c:strCache>
                <c:ptCount val="1"/>
                <c:pt idx="0">
                  <c:v>Fabrics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'ANALISI DOMANDA'!$B$2:$I$2</c:f>
              <c:strCache>
                <c:ptCount val="8"/>
                <c:pt idx="0">
                  <c:v>JAN-MAR 18</c:v>
                </c:pt>
                <c:pt idx="1">
                  <c:v>APR-JUN 18</c:v>
                </c:pt>
                <c:pt idx="2">
                  <c:v>JUL-SEP 18</c:v>
                </c:pt>
                <c:pt idx="3">
                  <c:v>OCT-DEC 18</c:v>
                </c:pt>
                <c:pt idx="4">
                  <c:v>JAN-MAR 19</c:v>
                </c:pt>
                <c:pt idx="5">
                  <c:v>APR-JUN 19</c:v>
                </c:pt>
                <c:pt idx="6">
                  <c:v>JUL-SEP 19</c:v>
                </c:pt>
                <c:pt idx="7">
                  <c:v>OCT-DEC 19</c:v>
                </c:pt>
              </c:strCache>
            </c:strRef>
          </c:cat>
          <c:val>
            <c:numRef>
              <c:f>'ANALISI DOMANDA'!$B$3:$I$3</c:f>
              <c:numCache>
                <c:formatCode>#,##0</c:formatCode>
                <c:ptCount val="8"/>
                <c:pt idx="0">
                  <c:v>370731</c:v>
                </c:pt>
                <c:pt idx="1">
                  <c:v>356706</c:v>
                </c:pt>
                <c:pt idx="2">
                  <c:v>704155</c:v>
                </c:pt>
                <c:pt idx="3">
                  <c:v>311874</c:v>
                </c:pt>
                <c:pt idx="4">
                  <c:v>382201</c:v>
                </c:pt>
                <c:pt idx="5">
                  <c:v>354179</c:v>
                </c:pt>
                <c:pt idx="6">
                  <c:v>856584</c:v>
                </c:pt>
                <c:pt idx="7">
                  <c:v>309963</c:v>
                </c:pt>
              </c:numCache>
            </c:numRef>
          </c:val>
          <c:smooth val="0"/>
          <c:extLst>
            <c:ext xmlns:c16="http://schemas.microsoft.com/office/drawing/2014/chart" uri="{C3380CC4-5D6E-409C-BE32-E72D297353CC}">
              <c16:uniqueId val="{00000000-76EE-B94D-86E5-6587E882E5D7}"/>
            </c:ext>
          </c:extLst>
        </c:ser>
        <c:ser>
          <c:idx val="1"/>
          <c:order val="1"/>
          <c:tx>
            <c:strRef>
              <c:f>'ANALISI DOMANDA'!$A$4</c:f>
              <c:strCache>
                <c:ptCount val="1"/>
                <c:pt idx="0">
                  <c:v>Fittings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'ANALISI DOMANDA'!$B$2:$I$2</c:f>
              <c:strCache>
                <c:ptCount val="8"/>
                <c:pt idx="0">
                  <c:v>JAN-MAR 18</c:v>
                </c:pt>
                <c:pt idx="1">
                  <c:v>APR-JUN 18</c:v>
                </c:pt>
                <c:pt idx="2">
                  <c:v>JUL-SEP 18</c:v>
                </c:pt>
                <c:pt idx="3">
                  <c:v>OCT-DEC 18</c:v>
                </c:pt>
                <c:pt idx="4">
                  <c:v>JAN-MAR 19</c:v>
                </c:pt>
                <c:pt idx="5">
                  <c:v>APR-JUN 19</c:v>
                </c:pt>
                <c:pt idx="6">
                  <c:v>JUL-SEP 19</c:v>
                </c:pt>
                <c:pt idx="7">
                  <c:v>OCT-DEC 19</c:v>
                </c:pt>
              </c:strCache>
            </c:strRef>
          </c:cat>
          <c:val>
            <c:numRef>
              <c:f>'ANALISI DOMANDA'!$B$4:$I$4</c:f>
              <c:numCache>
                <c:formatCode>#,##0</c:formatCode>
                <c:ptCount val="8"/>
                <c:pt idx="0">
                  <c:v>720554</c:v>
                </c:pt>
                <c:pt idx="1">
                  <c:v>1260207</c:v>
                </c:pt>
                <c:pt idx="2">
                  <c:v>370983</c:v>
                </c:pt>
                <c:pt idx="3">
                  <c:v>1026082</c:v>
                </c:pt>
                <c:pt idx="4">
                  <c:v>742863</c:v>
                </c:pt>
                <c:pt idx="5">
                  <c:v>1397883</c:v>
                </c:pt>
                <c:pt idx="6">
                  <c:v>374833</c:v>
                </c:pt>
                <c:pt idx="7">
                  <c:v>929683</c:v>
                </c:pt>
              </c:numCache>
            </c:numRef>
          </c:val>
          <c:smooth val="0"/>
          <c:extLst>
            <c:ext xmlns:c16="http://schemas.microsoft.com/office/drawing/2014/chart" uri="{C3380CC4-5D6E-409C-BE32-E72D297353CC}">
              <c16:uniqueId val="{00000001-76EE-B94D-86E5-6587E882E5D7}"/>
            </c:ext>
          </c:extLst>
        </c:ser>
        <c:ser>
          <c:idx val="2"/>
          <c:order val="2"/>
          <c:tx>
            <c:strRef>
              <c:f>'ANALISI DOMANDA'!$A$5</c:f>
              <c:strCache>
                <c:ptCount val="1"/>
                <c:pt idx="0">
                  <c:v>Furniture</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'ANALISI DOMANDA'!$B$2:$I$2</c:f>
              <c:strCache>
                <c:ptCount val="8"/>
                <c:pt idx="0">
                  <c:v>JAN-MAR 18</c:v>
                </c:pt>
                <c:pt idx="1">
                  <c:v>APR-JUN 18</c:v>
                </c:pt>
                <c:pt idx="2">
                  <c:v>JUL-SEP 18</c:v>
                </c:pt>
                <c:pt idx="3">
                  <c:v>OCT-DEC 18</c:v>
                </c:pt>
                <c:pt idx="4">
                  <c:v>JAN-MAR 19</c:v>
                </c:pt>
                <c:pt idx="5">
                  <c:v>APR-JUN 19</c:v>
                </c:pt>
                <c:pt idx="6">
                  <c:v>JUL-SEP 19</c:v>
                </c:pt>
                <c:pt idx="7">
                  <c:v>OCT-DEC 19</c:v>
                </c:pt>
              </c:strCache>
            </c:strRef>
          </c:cat>
          <c:val>
            <c:numRef>
              <c:f>'ANALISI DOMANDA'!$B$5:$I$5</c:f>
              <c:numCache>
                <c:formatCode>#,##0</c:formatCode>
                <c:ptCount val="8"/>
                <c:pt idx="0">
                  <c:v>91402</c:v>
                </c:pt>
                <c:pt idx="1">
                  <c:v>73876</c:v>
                </c:pt>
                <c:pt idx="2">
                  <c:v>123163</c:v>
                </c:pt>
                <c:pt idx="3">
                  <c:v>177223</c:v>
                </c:pt>
                <c:pt idx="4">
                  <c:v>92999</c:v>
                </c:pt>
                <c:pt idx="5">
                  <c:v>67706</c:v>
                </c:pt>
                <c:pt idx="6">
                  <c:v>120902</c:v>
                </c:pt>
                <c:pt idx="7">
                  <c:v>166940</c:v>
                </c:pt>
              </c:numCache>
            </c:numRef>
          </c:val>
          <c:smooth val="0"/>
          <c:extLst>
            <c:ext xmlns:c16="http://schemas.microsoft.com/office/drawing/2014/chart" uri="{C3380CC4-5D6E-409C-BE32-E72D297353CC}">
              <c16:uniqueId val="{00000002-76EE-B94D-86E5-6587E882E5D7}"/>
            </c:ext>
          </c:extLst>
        </c:ser>
        <c:dLbls>
          <c:dLblPos val="ctr"/>
          <c:showLegendKey val="0"/>
          <c:showVal val="1"/>
          <c:showCatName val="0"/>
          <c:showSerName val="0"/>
          <c:showPercent val="0"/>
          <c:showBubbleSize val="0"/>
        </c:dLbls>
        <c:smooth val="0"/>
        <c:axId val="953706896"/>
        <c:axId val="953585776"/>
      </c:lineChart>
      <c:catAx>
        <c:axId val="9537068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953585776"/>
        <c:crosses val="autoZero"/>
        <c:auto val="1"/>
        <c:lblAlgn val="ctr"/>
        <c:lblOffset val="100"/>
        <c:noMultiLvlLbl val="0"/>
      </c:catAx>
      <c:valAx>
        <c:axId val="95358577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953706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ROE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lotArea>
      <c:layout/>
      <c:barChart>
        <c:barDir val="col"/>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cat>
            <c:strRef>
              <c:f>Bilanci!$AM$1:$AM$6</c:f>
              <c:strCache>
                <c:ptCount val="6"/>
                <c:pt idx="0">
                  <c:v>4ObladiEBITda</c:v>
                </c:pt>
                <c:pt idx="1">
                  <c:v>4Ichea</c:v>
                </c:pt>
                <c:pt idx="2">
                  <c:v>4JustInTeam</c:v>
                </c:pt>
                <c:pt idx="3">
                  <c:v>4LeeQuidity</c:v>
                </c:pt>
                <c:pt idx="4">
                  <c:v>4MonzaMilano</c:v>
                </c:pt>
                <c:pt idx="5">
                  <c:v>4NPRspa</c:v>
                </c:pt>
              </c:strCache>
            </c:strRef>
          </c:cat>
          <c:val>
            <c:numRef>
              <c:f>(Bilanci!$B$69,Bilanci!$E$69,Bilanci!$H$69,Bilanci!$K$69,Bilanci!$N$69,Bilanci!$Q$69)</c:f>
              <c:numCache>
                <c:formatCode>0.00</c:formatCode>
                <c:ptCount val="6"/>
                <c:pt idx="0">
                  <c:v>6.1259137905590351E-2</c:v>
                </c:pt>
                <c:pt idx="1">
                  <c:v>8.4723256247453527E-2</c:v>
                </c:pt>
                <c:pt idx="2">
                  <c:v>-7.2370419540737361</c:v>
                </c:pt>
                <c:pt idx="3">
                  <c:v>-0.32643426454673258</c:v>
                </c:pt>
                <c:pt idx="4">
                  <c:v>6.3542474216888023E-2</c:v>
                </c:pt>
                <c:pt idx="5">
                  <c:v>-0.1218444241526882</c:v>
                </c:pt>
              </c:numCache>
            </c:numRef>
          </c:val>
          <c:extLst>
            <c:ext xmlns:c16="http://schemas.microsoft.com/office/drawing/2014/chart" uri="{C3380CC4-5D6E-409C-BE32-E72D297353CC}">
              <c16:uniqueId val="{00000000-B96B-CC43-9292-EB8A5890842F}"/>
            </c:ext>
          </c:extLst>
        </c:ser>
        <c:dLbls>
          <c:showLegendKey val="0"/>
          <c:showVal val="0"/>
          <c:showCatName val="0"/>
          <c:showSerName val="0"/>
          <c:showPercent val="0"/>
          <c:showBubbleSize val="0"/>
        </c:dLbls>
        <c:gapWidth val="100"/>
        <c:overlap val="-24"/>
        <c:axId val="1687432832"/>
        <c:axId val="1687359104"/>
      </c:barChart>
      <c:catAx>
        <c:axId val="1687432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687359104"/>
        <c:crosses val="autoZero"/>
        <c:auto val="0"/>
        <c:lblAlgn val="ctr"/>
        <c:lblOffset val="100"/>
        <c:noMultiLvlLbl val="0"/>
      </c:catAx>
      <c:valAx>
        <c:axId val="16873591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68743283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ROI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lotArea>
      <c:layout/>
      <c:barChart>
        <c:barDir val="col"/>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cat>
            <c:strRef>
              <c:f>Bilanci!$AM$1:$AM$6</c:f>
              <c:strCache>
                <c:ptCount val="6"/>
                <c:pt idx="0">
                  <c:v>4ObladiEBITda</c:v>
                </c:pt>
                <c:pt idx="1">
                  <c:v>4Ichea</c:v>
                </c:pt>
                <c:pt idx="2">
                  <c:v>4JustInTeam</c:v>
                </c:pt>
                <c:pt idx="3">
                  <c:v>4LeeQuidity</c:v>
                </c:pt>
                <c:pt idx="4">
                  <c:v>4MonzaMilano</c:v>
                </c:pt>
                <c:pt idx="5">
                  <c:v>4NPRspa</c:v>
                </c:pt>
              </c:strCache>
            </c:strRef>
          </c:cat>
          <c:val>
            <c:numRef>
              <c:f>(Bilanci!$B$70,Bilanci!$E$70,Bilanci!$H$70,Bilanci!$K$70,Bilanci!$N$70,Bilanci!$Q$70)</c:f>
              <c:numCache>
                <c:formatCode>0.00</c:formatCode>
                <c:ptCount val="6"/>
                <c:pt idx="0">
                  <c:v>4.4272816273251386E-2</c:v>
                </c:pt>
                <c:pt idx="1">
                  <c:v>6.003380510801818E-2</c:v>
                </c:pt>
                <c:pt idx="2">
                  <c:v>-0.52207785632489256</c:v>
                </c:pt>
                <c:pt idx="3">
                  <c:v>-9.7642878359461213E-2</c:v>
                </c:pt>
                <c:pt idx="4">
                  <c:v>4.9972311592125784E-2</c:v>
                </c:pt>
                <c:pt idx="5">
                  <c:v>-3.375667110955672E-2</c:v>
                </c:pt>
              </c:numCache>
            </c:numRef>
          </c:val>
          <c:extLst>
            <c:ext xmlns:c16="http://schemas.microsoft.com/office/drawing/2014/chart" uri="{C3380CC4-5D6E-409C-BE32-E72D297353CC}">
              <c16:uniqueId val="{00000000-60A4-3C4D-900E-7F77CE952A1E}"/>
            </c:ext>
          </c:extLst>
        </c:ser>
        <c:dLbls>
          <c:showLegendKey val="0"/>
          <c:showVal val="0"/>
          <c:showCatName val="0"/>
          <c:showSerName val="0"/>
          <c:showPercent val="0"/>
          <c:showBubbleSize val="0"/>
        </c:dLbls>
        <c:gapWidth val="100"/>
        <c:overlap val="-24"/>
        <c:axId val="1687432832"/>
        <c:axId val="1687359104"/>
      </c:barChart>
      <c:catAx>
        <c:axId val="1687432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687359104"/>
        <c:crosses val="autoZero"/>
        <c:auto val="0"/>
        <c:lblAlgn val="ctr"/>
        <c:lblOffset val="100"/>
        <c:noMultiLvlLbl val="0"/>
      </c:catAx>
      <c:valAx>
        <c:axId val="16873591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68743283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ROS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lotArea>
      <c:layout/>
      <c:barChart>
        <c:barDir val="col"/>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cat>
            <c:strRef>
              <c:f>Bilanci!$AM$1:$AM$6</c:f>
              <c:strCache>
                <c:ptCount val="6"/>
                <c:pt idx="0">
                  <c:v>4ObladiEBITda</c:v>
                </c:pt>
                <c:pt idx="1">
                  <c:v>4Ichea</c:v>
                </c:pt>
                <c:pt idx="2">
                  <c:v>4JustInTeam</c:v>
                </c:pt>
                <c:pt idx="3">
                  <c:v>4LeeQuidity</c:v>
                </c:pt>
                <c:pt idx="4">
                  <c:v>4MonzaMilano</c:v>
                </c:pt>
                <c:pt idx="5">
                  <c:v>4NPRspa</c:v>
                </c:pt>
              </c:strCache>
            </c:strRef>
          </c:cat>
          <c:val>
            <c:numRef>
              <c:f>(Bilanci!$B$71,Bilanci!$E$71,Bilanci!$H$71,Bilanci!$K$71,Bilanci!$N$71,Bilanci!$Q$71)</c:f>
              <c:numCache>
                <c:formatCode>0.00</c:formatCode>
                <c:ptCount val="6"/>
                <c:pt idx="0">
                  <c:v>2.2165201701064861E-2</c:v>
                </c:pt>
                <c:pt idx="1">
                  <c:v>2.6905882568369868E-2</c:v>
                </c:pt>
                <c:pt idx="2">
                  <c:v>-0.21702963243031986</c:v>
                </c:pt>
                <c:pt idx="3">
                  <c:v>-4.9180987163690126E-2</c:v>
                </c:pt>
                <c:pt idx="4">
                  <c:v>2.5076867332886534E-2</c:v>
                </c:pt>
                <c:pt idx="5">
                  <c:v>-1.783608204683031E-2</c:v>
                </c:pt>
              </c:numCache>
            </c:numRef>
          </c:val>
          <c:extLst>
            <c:ext xmlns:c16="http://schemas.microsoft.com/office/drawing/2014/chart" uri="{C3380CC4-5D6E-409C-BE32-E72D297353CC}">
              <c16:uniqueId val="{00000000-F95A-CB47-8F0B-3CA068462A87}"/>
            </c:ext>
          </c:extLst>
        </c:ser>
        <c:dLbls>
          <c:showLegendKey val="0"/>
          <c:showVal val="0"/>
          <c:showCatName val="0"/>
          <c:showSerName val="0"/>
          <c:showPercent val="0"/>
          <c:showBubbleSize val="0"/>
        </c:dLbls>
        <c:gapWidth val="100"/>
        <c:overlap val="-24"/>
        <c:axId val="1687432832"/>
        <c:axId val="1687359104"/>
      </c:barChart>
      <c:catAx>
        <c:axId val="1687432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687359104"/>
        <c:crosses val="autoZero"/>
        <c:auto val="0"/>
        <c:lblAlgn val="ctr"/>
        <c:lblOffset val="100"/>
        <c:noMultiLvlLbl val="0"/>
      </c:catAx>
      <c:valAx>
        <c:axId val="16873591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68743283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ROT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lotArea>
      <c:layout/>
      <c:barChart>
        <c:barDir val="col"/>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cat>
            <c:strRef>
              <c:f>Bilanci!$AM$1:$AM$6</c:f>
              <c:strCache>
                <c:ptCount val="6"/>
                <c:pt idx="0">
                  <c:v>4ObladiEBITda</c:v>
                </c:pt>
                <c:pt idx="1">
                  <c:v>4Ichea</c:v>
                </c:pt>
                <c:pt idx="2">
                  <c:v>4JustInTeam</c:v>
                </c:pt>
                <c:pt idx="3">
                  <c:v>4LeeQuidity</c:v>
                </c:pt>
                <c:pt idx="4">
                  <c:v>4MonzaMilano</c:v>
                </c:pt>
                <c:pt idx="5">
                  <c:v>4NPRspa</c:v>
                </c:pt>
              </c:strCache>
            </c:strRef>
          </c:cat>
          <c:val>
            <c:numRef>
              <c:f>(Bilanci!$B$72,Bilanci!$E$72,Bilanci!$H$72,Bilanci!$K$72,Bilanci!$N$72,Bilanci!$Q$72)</c:f>
              <c:numCache>
                <c:formatCode>0.00</c:formatCode>
                <c:ptCount val="6"/>
                <c:pt idx="0">
                  <c:v>1.9974019127073603</c:v>
                </c:pt>
                <c:pt idx="1">
                  <c:v>2.2312520303122474</c:v>
                </c:pt>
                <c:pt idx="2">
                  <c:v>2.4055602475966609</c:v>
                </c:pt>
                <c:pt idx="3">
                  <c:v>1.9853785779954831</c:v>
                </c:pt>
                <c:pt idx="4">
                  <c:v>1.9927653214718191</c:v>
                </c:pt>
                <c:pt idx="5">
                  <c:v>1.8926057315124143</c:v>
                </c:pt>
              </c:numCache>
            </c:numRef>
          </c:val>
          <c:extLst>
            <c:ext xmlns:c16="http://schemas.microsoft.com/office/drawing/2014/chart" uri="{C3380CC4-5D6E-409C-BE32-E72D297353CC}">
              <c16:uniqueId val="{00000000-EC8E-C24A-AEE5-E5AAEBF0D581}"/>
            </c:ext>
          </c:extLst>
        </c:ser>
        <c:dLbls>
          <c:showLegendKey val="0"/>
          <c:showVal val="0"/>
          <c:showCatName val="0"/>
          <c:showSerName val="0"/>
          <c:showPercent val="0"/>
          <c:showBubbleSize val="0"/>
        </c:dLbls>
        <c:gapWidth val="100"/>
        <c:overlap val="-24"/>
        <c:axId val="1687432832"/>
        <c:axId val="1687359104"/>
      </c:barChart>
      <c:catAx>
        <c:axId val="1687432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687359104"/>
        <c:crosses val="autoZero"/>
        <c:auto val="0"/>
        <c:lblAlgn val="ctr"/>
        <c:lblOffset val="100"/>
        <c:noMultiLvlLbl val="0"/>
      </c:catAx>
      <c:valAx>
        <c:axId val="16873591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68743283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lotArea>
      <c:layout/>
      <c:barChart>
        <c:barDir val="col"/>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cat>
            <c:strRef>
              <c:f>Bilanci!$AM$1:$AM$6</c:f>
              <c:strCache>
                <c:ptCount val="6"/>
                <c:pt idx="0">
                  <c:v>4ObladiEBITda</c:v>
                </c:pt>
                <c:pt idx="1">
                  <c:v>4Ichea</c:v>
                </c:pt>
                <c:pt idx="2">
                  <c:v>4JustInTeam</c:v>
                </c:pt>
                <c:pt idx="3">
                  <c:v>4LeeQuidity</c:v>
                </c:pt>
                <c:pt idx="4">
                  <c:v>4MonzaMilano</c:v>
                </c:pt>
                <c:pt idx="5">
                  <c:v>4NPRspa</c:v>
                </c:pt>
              </c:strCache>
            </c:strRef>
          </c:cat>
          <c:val>
            <c:numRef>
              <c:f>(Bilanci!$B$73,Bilanci!$E$73,Bilanci!$H$73,Bilanci!$K$73,Bilanci!$N$73,Bilanci!$Q$73)</c:f>
              <c:numCache>
                <c:formatCode>0.00</c:formatCode>
                <c:ptCount val="6"/>
                <c:pt idx="0">
                  <c:v>2.4078213826907363E-2</c:v>
                </c:pt>
                <c:pt idx="1">
                  <c:v>1.8696862667050354E-2</c:v>
                </c:pt>
                <c:pt idx="2">
                  <c:v>4.4557580993206135E-2</c:v>
                </c:pt>
                <c:pt idx="3">
                  <c:v>1.8201123979211514E-2</c:v>
                </c:pt>
                <c:pt idx="4">
                  <c:v>2.5492801128675996E-2</c:v>
                </c:pt>
                <c:pt idx="5">
                  <c:v>2.1534359760579956E-2</c:v>
                </c:pt>
              </c:numCache>
            </c:numRef>
          </c:val>
          <c:extLst>
            <c:ext xmlns:c16="http://schemas.microsoft.com/office/drawing/2014/chart" uri="{C3380CC4-5D6E-409C-BE32-E72D297353CC}">
              <c16:uniqueId val="{00000000-A9B6-2340-AA74-F527EEEB1C70}"/>
            </c:ext>
          </c:extLst>
        </c:ser>
        <c:dLbls>
          <c:showLegendKey val="0"/>
          <c:showVal val="0"/>
          <c:showCatName val="0"/>
          <c:showSerName val="0"/>
          <c:showPercent val="0"/>
          <c:showBubbleSize val="0"/>
        </c:dLbls>
        <c:gapWidth val="100"/>
        <c:overlap val="-24"/>
        <c:axId val="1687432832"/>
        <c:axId val="1687359104"/>
      </c:barChart>
      <c:catAx>
        <c:axId val="1687432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687359104"/>
        <c:crosses val="autoZero"/>
        <c:auto val="0"/>
        <c:lblAlgn val="ctr"/>
        <c:lblOffset val="100"/>
        <c:noMultiLvlLbl val="0"/>
      </c:catAx>
      <c:valAx>
        <c:axId val="16873591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68743283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18" Type="http://schemas.openxmlformats.org/officeDocument/2006/relationships/chart" Target="../charts/chart22.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17" Type="http://schemas.openxmlformats.org/officeDocument/2006/relationships/chart" Target="../charts/chart21.xml"/><Relationship Id="rId2" Type="http://schemas.openxmlformats.org/officeDocument/2006/relationships/chart" Target="../charts/chart6.xml"/><Relationship Id="rId16" Type="http://schemas.openxmlformats.org/officeDocument/2006/relationships/chart" Target="../charts/chart20.xml"/><Relationship Id="rId20" Type="http://schemas.openxmlformats.org/officeDocument/2006/relationships/chart" Target="../charts/chart24.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5" Type="http://schemas.openxmlformats.org/officeDocument/2006/relationships/chart" Target="../charts/chart19.xml"/><Relationship Id="rId10" Type="http://schemas.openxmlformats.org/officeDocument/2006/relationships/chart" Target="../charts/chart14.xml"/><Relationship Id="rId19" Type="http://schemas.openxmlformats.org/officeDocument/2006/relationships/chart" Target="../charts/chart23.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7</xdr:col>
      <xdr:colOff>199570</xdr:colOff>
      <xdr:row>8</xdr:row>
      <xdr:rowOff>29934</xdr:rowOff>
    </xdr:from>
    <xdr:to>
      <xdr:col>14</xdr:col>
      <xdr:colOff>725714</xdr:colOff>
      <xdr:row>25</xdr:row>
      <xdr:rowOff>190500</xdr:rowOff>
    </xdr:to>
    <xdr:graphicFrame macro="">
      <xdr:nvGraphicFramePr>
        <xdr:cNvPr id="6" name="Grafico 5">
          <a:extLst>
            <a:ext uri="{FF2B5EF4-FFF2-40B4-BE49-F238E27FC236}">
              <a16:creationId xmlns:a16="http://schemas.microsoft.com/office/drawing/2014/main" id="{15990F60-5BD2-A94F-89B5-33D0E41FE5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199570</xdr:colOff>
      <xdr:row>8</xdr:row>
      <xdr:rowOff>29934</xdr:rowOff>
    </xdr:from>
    <xdr:to>
      <xdr:col>14</xdr:col>
      <xdr:colOff>725714</xdr:colOff>
      <xdr:row>25</xdr:row>
      <xdr:rowOff>190500</xdr:rowOff>
    </xdr:to>
    <xdr:graphicFrame macro="">
      <xdr:nvGraphicFramePr>
        <xdr:cNvPr id="2" name="Grafico 1">
          <a:extLst>
            <a:ext uri="{FF2B5EF4-FFF2-40B4-BE49-F238E27FC236}">
              <a16:creationId xmlns:a16="http://schemas.microsoft.com/office/drawing/2014/main" id="{8C5935D7-3B6E-264B-B8F2-7D3D826D7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199570</xdr:colOff>
      <xdr:row>8</xdr:row>
      <xdr:rowOff>29934</xdr:rowOff>
    </xdr:from>
    <xdr:to>
      <xdr:col>14</xdr:col>
      <xdr:colOff>725714</xdr:colOff>
      <xdr:row>25</xdr:row>
      <xdr:rowOff>190500</xdr:rowOff>
    </xdr:to>
    <xdr:graphicFrame macro="">
      <xdr:nvGraphicFramePr>
        <xdr:cNvPr id="2" name="Grafico 1">
          <a:extLst>
            <a:ext uri="{FF2B5EF4-FFF2-40B4-BE49-F238E27FC236}">
              <a16:creationId xmlns:a16="http://schemas.microsoft.com/office/drawing/2014/main" id="{B7CD38D2-C7D2-9A4E-99B8-859B053B3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31750</xdr:colOff>
      <xdr:row>5</xdr:row>
      <xdr:rowOff>114300</xdr:rowOff>
    </xdr:from>
    <xdr:to>
      <xdr:col>7</xdr:col>
      <xdr:colOff>749300</xdr:colOff>
      <xdr:row>24</xdr:row>
      <xdr:rowOff>165100</xdr:rowOff>
    </xdr:to>
    <xdr:graphicFrame macro="">
      <xdr:nvGraphicFramePr>
        <xdr:cNvPr id="2" name="Grafico 1">
          <a:extLst>
            <a:ext uri="{FF2B5EF4-FFF2-40B4-BE49-F238E27FC236}">
              <a16:creationId xmlns:a16="http://schemas.microsoft.com/office/drawing/2014/main" id="{8D5D0F2B-BC1A-2A43-8E8F-682F375A8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77</xdr:row>
      <xdr:rowOff>95250</xdr:rowOff>
    </xdr:from>
    <xdr:to>
      <xdr:col>3</xdr:col>
      <xdr:colOff>1085850</xdr:colOff>
      <xdr:row>95</xdr:row>
      <xdr:rowOff>38100</xdr:rowOff>
    </xdr:to>
    <xdr:graphicFrame macro="">
      <xdr:nvGraphicFramePr>
        <xdr:cNvPr id="2" name="Grafico 1">
          <a:extLst>
            <a:ext uri="{FF2B5EF4-FFF2-40B4-BE49-F238E27FC236}">
              <a16:creationId xmlns:a16="http://schemas.microsoft.com/office/drawing/2014/main" id="{A0FB3428-7C54-284D-868E-82575D740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1143000</xdr:colOff>
      <xdr:row>77</xdr:row>
      <xdr:rowOff>101600</xdr:rowOff>
    </xdr:from>
    <xdr:to>
      <xdr:col>7</xdr:col>
      <xdr:colOff>69850</xdr:colOff>
      <xdr:row>95</xdr:row>
      <xdr:rowOff>44450</xdr:rowOff>
    </xdr:to>
    <xdr:graphicFrame macro="">
      <xdr:nvGraphicFramePr>
        <xdr:cNvPr id="3" name="Grafico 2">
          <a:extLst>
            <a:ext uri="{FF2B5EF4-FFF2-40B4-BE49-F238E27FC236}">
              <a16:creationId xmlns:a16="http://schemas.microsoft.com/office/drawing/2014/main" id="{D8CBBDAA-E340-4644-B91F-D642CB0C6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101600</xdr:colOff>
      <xdr:row>77</xdr:row>
      <xdr:rowOff>101600</xdr:rowOff>
    </xdr:from>
    <xdr:to>
      <xdr:col>11</xdr:col>
      <xdr:colOff>95250</xdr:colOff>
      <xdr:row>95</xdr:row>
      <xdr:rowOff>44450</xdr:rowOff>
    </xdr:to>
    <xdr:graphicFrame macro="">
      <xdr:nvGraphicFramePr>
        <xdr:cNvPr id="4" name="Grafico 3">
          <a:extLst>
            <a:ext uri="{FF2B5EF4-FFF2-40B4-BE49-F238E27FC236}">
              <a16:creationId xmlns:a16="http://schemas.microsoft.com/office/drawing/2014/main" id="{7018B8D2-771A-6844-9B92-2EE8981E3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165100</xdr:colOff>
      <xdr:row>77</xdr:row>
      <xdr:rowOff>88900</xdr:rowOff>
    </xdr:from>
    <xdr:to>
      <xdr:col>15</xdr:col>
      <xdr:colOff>298450</xdr:colOff>
      <xdr:row>95</xdr:row>
      <xdr:rowOff>31750</xdr:rowOff>
    </xdr:to>
    <xdr:graphicFrame macro="">
      <xdr:nvGraphicFramePr>
        <xdr:cNvPr id="5" name="Grafico 4">
          <a:extLst>
            <a:ext uri="{FF2B5EF4-FFF2-40B4-BE49-F238E27FC236}">
              <a16:creationId xmlns:a16="http://schemas.microsoft.com/office/drawing/2014/main" id="{C9EF815E-65C7-A24D-BC21-C987088BB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95</xdr:row>
      <xdr:rowOff>114300</xdr:rowOff>
    </xdr:from>
    <xdr:to>
      <xdr:col>3</xdr:col>
      <xdr:colOff>1085850</xdr:colOff>
      <xdr:row>113</xdr:row>
      <xdr:rowOff>57150</xdr:rowOff>
    </xdr:to>
    <xdr:graphicFrame macro="">
      <xdr:nvGraphicFramePr>
        <xdr:cNvPr id="6" name="Grafico 5">
          <a:extLst>
            <a:ext uri="{FF2B5EF4-FFF2-40B4-BE49-F238E27FC236}">
              <a16:creationId xmlns:a16="http://schemas.microsoft.com/office/drawing/2014/main" id="{BB89AB41-7330-B047-A173-F23EEDD47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1143000</xdr:colOff>
      <xdr:row>95</xdr:row>
      <xdr:rowOff>101600</xdr:rowOff>
    </xdr:from>
    <xdr:to>
      <xdr:col>7</xdr:col>
      <xdr:colOff>69850</xdr:colOff>
      <xdr:row>113</xdr:row>
      <xdr:rowOff>44450</xdr:rowOff>
    </xdr:to>
    <xdr:graphicFrame macro="">
      <xdr:nvGraphicFramePr>
        <xdr:cNvPr id="7" name="Grafico 6">
          <a:extLst>
            <a:ext uri="{FF2B5EF4-FFF2-40B4-BE49-F238E27FC236}">
              <a16:creationId xmlns:a16="http://schemas.microsoft.com/office/drawing/2014/main" id="{F3A0ECF6-0300-6142-B39E-F77FF4DCA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88900</xdr:colOff>
      <xdr:row>95</xdr:row>
      <xdr:rowOff>101600</xdr:rowOff>
    </xdr:from>
    <xdr:to>
      <xdr:col>11</xdr:col>
      <xdr:colOff>82550</xdr:colOff>
      <xdr:row>113</xdr:row>
      <xdr:rowOff>44450</xdr:rowOff>
    </xdr:to>
    <xdr:graphicFrame macro="">
      <xdr:nvGraphicFramePr>
        <xdr:cNvPr id="8" name="Grafico 7">
          <a:extLst>
            <a:ext uri="{FF2B5EF4-FFF2-40B4-BE49-F238E27FC236}">
              <a16:creationId xmlns:a16="http://schemas.microsoft.com/office/drawing/2014/main" id="{A46084EF-DBEA-0A4A-A523-AFE7593262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165100</xdr:colOff>
      <xdr:row>95</xdr:row>
      <xdr:rowOff>101600</xdr:rowOff>
    </xdr:from>
    <xdr:to>
      <xdr:col>15</xdr:col>
      <xdr:colOff>298450</xdr:colOff>
      <xdr:row>113</xdr:row>
      <xdr:rowOff>44450</xdr:rowOff>
    </xdr:to>
    <xdr:graphicFrame macro="">
      <xdr:nvGraphicFramePr>
        <xdr:cNvPr id="9" name="Grafico 8">
          <a:extLst>
            <a:ext uri="{FF2B5EF4-FFF2-40B4-BE49-F238E27FC236}">
              <a16:creationId xmlns:a16="http://schemas.microsoft.com/office/drawing/2014/main" id="{7D422DB7-565D-964D-BE9D-0C14943A8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6350</xdr:colOff>
      <xdr:row>0</xdr:row>
      <xdr:rowOff>0</xdr:rowOff>
    </xdr:from>
    <xdr:to>
      <xdr:col>29</xdr:col>
      <xdr:colOff>599016</xdr:colOff>
      <xdr:row>14</xdr:row>
      <xdr:rowOff>139700</xdr:rowOff>
    </xdr:to>
    <xdr:graphicFrame macro="">
      <xdr:nvGraphicFramePr>
        <xdr:cNvPr id="10" name="Grafico 9">
          <a:extLst>
            <a:ext uri="{FF2B5EF4-FFF2-40B4-BE49-F238E27FC236}">
              <a16:creationId xmlns:a16="http://schemas.microsoft.com/office/drawing/2014/main" id="{24CA6FF3-56E1-F84F-98B9-6C9544630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6351</xdr:colOff>
      <xdr:row>14</xdr:row>
      <xdr:rowOff>203200</xdr:rowOff>
    </xdr:from>
    <xdr:to>
      <xdr:col>29</xdr:col>
      <xdr:colOff>599017</xdr:colOff>
      <xdr:row>32</xdr:row>
      <xdr:rowOff>88900</xdr:rowOff>
    </xdr:to>
    <xdr:graphicFrame macro="">
      <xdr:nvGraphicFramePr>
        <xdr:cNvPr id="11" name="Grafico 10">
          <a:extLst>
            <a:ext uri="{FF2B5EF4-FFF2-40B4-BE49-F238E27FC236}">
              <a16:creationId xmlns:a16="http://schemas.microsoft.com/office/drawing/2014/main" id="{AAAADB40-BC5C-624E-A803-C12997F02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12700</xdr:colOff>
      <xdr:row>32</xdr:row>
      <xdr:rowOff>177800</xdr:rowOff>
    </xdr:from>
    <xdr:to>
      <xdr:col>29</xdr:col>
      <xdr:colOff>605367</xdr:colOff>
      <xdr:row>49</xdr:row>
      <xdr:rowOff>38100</xdr:rowOff>
    </xdr:to>
    <xdr:graphicFrame macro="">
      <xdr:nvGraphicFramePr>
        <xdr:cNvPr id="12" name="Grafico 11">
          <a:extLst>
            <a:ext uri="{FF2B5EF4-FFF2-40B4-BE49-F238E27FC236}">
              <a16:creationId xmlns:a16="http://schemas.microsoft.com/office/drawing/2014/main" id="{C3995E5A-8AEC-A24E-9E68-B3B60AB08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xdr:col>
      <xdr:colOff>19050</xdr:colOff>
      <xdr:row>49</xdr:row>
      <xdr:rowOff>120650</xdr:rowOff>
    </xdr:from>
    <xdr:to>
      <xdr:col>29</xdr:col>
      <xdr:colOff>622300</xdr:colOff>
      <xdr:row>65</xdr:row>
      <xdr:rowOff>152400</xdr:rowOff>
    </xdr:to>
    <xdr:graphicFrame macro="">
      <xdr:nvGraphicFramePr>
        <xdr:cNvPr id="13" name="Grafico 12">
          <a:extLst>
            <a:ext uri="{FF2B5EF4-FFF2-40B4-BE49-F238E27FC236}">
              <a16:creationId xmlns:a16="http://schemas.microsoft.com/office/drawing/2014/main" id="{86A7D1B3-028D-5845-84A9-112B7A37E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23</xdr:col>
      <xdr:colOff>19050</xdr:colOff>
      <xdr:row>66</xdr:row>
      <xdr:rowOff>31750</xdr:rowOff>
    </xdr:from>
    <xdr:to>
      <xdr:col>29</xdr:col>
      <xdr:colOff>622300</xdr:colOff>
      <xdr:row>83</xdr:row>
      <xdr:rowOff>25400</xdr:rowOff>
    </xdr:to>
    <xdr:graphicFrame macro="">
      <xdr:nvGraphicFramePr>
        <xdr:cNvPr id="14" name="Grafico 13">
          <a:extLst>
            <a:ext uri="{FF2B5EF4-FFF2-40B4-BE49-F238E27FC236}">
              <a16:creationId xmlns:a16="http://schemas.microsoft.com/office/drawing/2014/main" id="{0C50A492-B37C-D04F-A69D-F19D50553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31750</xdr:colOff>
      <xdr:row>83</xdr:row>
      <xdr:rowOff>111760</xdr:rowOff>
    </xdr:from>
    <xdr:to>
      <xdr:col>29</xdr:col>
      <xdr:colOff>622300</xdr:colOff>
      <xdr:row>100</xdr:row>
      <xdr:rowOff>135890</xdr:rowOff>
    </xdr:to>
    <xdr:graphicFrame macro="">
      <xdr:nvGraphicFramePr>
        <xdr:cNvPr id="15" name="Grafico 14">
          <a:extLst>
            <a:ext uri="{FF2B5EF4-FFF2-40B4-BE49-F238E27FC236}">
              <a16:creationId xmlns:a16="http://schemas.microsoft.com/office/drawing/2014/main" id="{36C37203-0AC4-C549-B8C7-BB199C0E0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29</xdr:col>
      <xdr:colOff>654050</xdr:colOff>
      <xdr:row>0</xdr:row>
      <xdr:rowOff>6350</xdr:rowOff>
    </xdr:from>
    <xdr:to>
      <xdr:col>36</xdr:col>
      <xdr:colOff>682640</xdr:colOff>
      <xdr:row>14</xdr:row>
      <xdr:rowOff>152400</xdr:rowOff>
    </xdr:to>
    <xdr:graphicFrame macro="">
      <xdr:nvGraphicFramePr>
        <xdr:cNvPr id="16" name="Grafico 15">
          <a:extLst>
            <a:ext uri="{FF2B5EF4-FFF2-40B4-BE49-F238E27FC236}">
              <a16:creationId xmlns:a16="http://schemas.microsoft.com/office/drawing/2014/main" id="{44DD0071-7356-0D4F-8155-D6A2E1417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29</xdr:col>
      <xdr:colOff>654050</xdr:colOff>
      <xdr:row>14</xdr:row>
      <xdr:rowOff>181610</xdr:rowOff>
    </xdr:from>
    <xdr:to>
      <xdr:col>36</xdr:col>
      <xdr:colOff>673100</xdr:colOff>
      <xdr:row>32</xdr:row>
      <xdr:rowOff>66040</xdr:rowOff>
    </xdr:to>
    <xdr:graphicFrame macro="">
      <xdr:nvGraphicFramePr>
        <xdr:cNvPr id="17" name="Grafico 16">
          <a:extLst>
            <a:ext uri="{FF2B5EF4-FFF2-40B4-BE49-F238E27FC236}">
              <a16:creationId xmlns:a16="http://schemas.microsoft.com/office/drawing/2014/main" id="{E7853A3B-E30C-454F-9E0A-782C8D313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29</xdr:col>
      <xdr:colOff>666750</xdr:colOff>
      <xdr:row>32</xdr:row>
      <xdr:rowOff>171450</xdr:rowOff>
    </xdr:from>
    <xdr:to>
      <xdr:col>36</xdr:col>
      <xdr:colOff>673100</xdr:colOff>
      <xdr:row>49</xdr:row>
      <xdr:rowOff>22860</xdr:rowOff>
    </xdr:to>
    <xdr:graphicFrame macro="">
      <xdr:nvGraphicFramePr>
        <xdr:cNvPr id="18" name="Grafico 17">
          <a:extLst>
            <a:ext uri="{FF2B5EF4-FFF2-40B4-BE49-F238E27FC236}">
              <a16:creationId xmlns:a16="http://schemas.microsoft.com/office/drawing/2014/main" id="{A94ACD05-D870-A748-8FC8-7B6BF44F52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29</xdr:col>
      <xdr:colOff>666750</xdr:colOff>
      <xdr:row>49</xdr:row>
      <xdr:rowOff>107950</xdr:rowOff>
    </xdr:from>
    <xdr:to>
      <xdr:col>36</xdr:col>
      <xdr:colOff>698500</xdr:colOff>
      <xdr:row>65</xdr:row>
      <xdr:rowOff>139700</xdr:rowOff>
    </xdr:to>
    <xdr:graphicFrame macro="">
      <xdr:nvGraphicFramePr>
        <xdr:cNvPr id="19" name="Grafico 18">
          <a:extLst>
            <a:ext uri="{FF2B5EF4-FFF2-40B4-BE49-F238E27FC236}">
              <a16:creationId xmlns:a16="http://schemas.microsoft.com/office/drawing/2014/main" id="{C813E595-C119-4647-9775-0646E18D7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29</xdr:col>
      <xdr:colOff>654050</xdr:colOff>
      <xdr:row>66</xdr:row>
      <xdr:rowOff>19050</xdr:rowOff>
    </xdr:from>
    <xdr:to>
      <xdr:col>36</xdr:col>
      <xdr:colOff>698500</xdr:colOff>
      <xdr:row>83</xdr:row>
      <xdr:rowOff>20320</xdr:rowOff>
    </xdr:to>
    <xdr:graphicFrame macro="">
      <xdr:nvGraphicFramePr>
        <xdr:cNvPr id="20" name="Grafico 19">
          <a:extLst>
            <a:ext uri="{FF2B5EF4-FFF2-40B4-BE49-F238E27FC236}">
              <a16:creationId xmlns:a16="http://schemas.microsoft.com/office/drawing/2014/main" id="{EDD3E0E0-6682-CB46-B5D6-658C3C37B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29</xdr:col>
      <xdr:colOff>654050</xdr:colOff>
      <xdr:row>83</xdr:row>
      <xdr:rowOff>95250</xdr:rowOff>
    </xdr:from>
    <xdr:to>
      <xdr:col>36</xdr:col>
      <xdr:colOff>698500</xdr:colOff>
      <xdr:row>100</xdr:row>
      <xdr:rowOff>134620</xdr:rowOff>
    </xdr:to>
    <xdr:graphicFrame macro="">
      <xdr:nvGraphicFramePr>
        <xdr:cNvPr id="21" name="Grafico 20">
          <a:extLst>
            <a:ext uri="{FF2B5EF4-FFF2-40B4-BE49-F238E27FC236}">
              <a16:creationId xmlns:a16="http://schemas.microsoft.com/office/drawing/2014/main" id="{E17DF76C-DE1C-A042-9F56-8FC371E12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A604A-2AC2-BA48-ABC2-2300208E808A}">
  <sheetPr codeName="Foglio1"/>
  <dimension ref="A1:O115"/>
  <sheetViews>
    <sheetView topLeftCell="A31" zoomScale="140" workbookViewId="0">
      <selection activeCell="B36" sqref="B36"/>
    </sheetView>
  </sheetViews>
  <sheetFormatPr baseColWidth="10" defaultRowHeight="16" x14ac:dyDescent="0.2"/>
  <cols>
    <col min="3" max="5" width="11" bestFit="1" customWidth="1"/>
    <col min="6" max="6" width="12.83203125" bestFit="1" customWidth="1"/>
    <col min="7" max="7" width="11" bestFit="1" customWidth="1"/>
    <col min="9" max="9" width="13.33203125" bestFit="1" customWidth="1"/>
    <col min="10" max="10" width="12.83203125" bestFit="1" customWidth="1"/>
  </cols>
  <sheetData>
    <row r="1" spans="1:9" x14ac:dyDescent="0.2">
      <c r="A1" s="510" t="s">
        <v>24</v>
      </c>
      <c r="B1" s="510"/>
      <c r="C1" s="510"/>
      <c r="D1" s="510"/>
      <c r="E1" s="510"/>
      <c r="F1" s="510"/>
      <c r="G1" s="510"/>
      <c r="H1" s="510"/>
    </row>
    <row r="2" spans="1:9" x14ac:dyDescent="0.2">
      <c r="A2" s="510"/>
      <c r="B2" s="510"/>
      <c r="C2" s="510"/>
      <c r="D2" s="510"/>
      <c r="E2" s="510"/>
      <c r="F2" s="510"/>
      <c r="G2" s="510"/>
      <c r="H2" s="510"/>
    </row>
    <row r="3" spans="1:9" ht="17" thickBot="1" x14ac:dyDescent="0.25"/>
    <row r="4" spans="1:9" ht="17" thickTop="1" x14ac:dyDescent="0.2">
      <c r="A4" s="511" t="s">
        <v>0</v>
      </c>
      <c r="B4" s="512"/>
      <c r="C4" s="513"/>
    </row>
    <row r="5" spans="1:9" ht="17" thickBot="1" x14ac:dyDescent="0.25">
      <c r="A5" s="514"/>
      <c r="B5" s="515"/>
      <c r="C5" s="516"/>
    </row>
    <row r="6" spans="1:9" ht="17" thickTop="1" x14ac:dyDescent="0.2"/>
    <row r="7" spans="1:9" x14ac:dyDescent="0.2">
      <c r="A7" s="521" t="s">
        <v>11</v>
      </c>
      <c r="B7" s="521"/>
      <c r="E7" s="13" t="s">
        <v>15</v>
      </c>
    </row>
    <row r="8" spans="1:9" ht="17" thickBot="1" x14ac:dyDescent="0.25"/>
    <row r="9" spans="1:9" ht="16" customHeight="1" x14ac:dyDescent="0.2">
      <c r="A9" s="6" t="s">
        <v>12</v>
      </c>
      <c r="B9" s="6" t="s">
        <v>13</v>
      </c>
      <c r="C9" s="3"/>
      <c r="D9" s="14"/>
      <c r="E9" s="506" t="s">
        <v>23</v>
      </c>
      <c r="F9" s="507"/>
      <c r="G9" s="314"/>
      <c r="H9" s="14"/>
      <c r="I9" s="14"/>
    </row>
    <row r="10" spans="1:9" ht="17" thickBot="1" x14ac:dyDescent="0.25">
      <c r="A10" s="4">
        <v>2</v>
      </c>
      <c r="B10" s="5">
        <f>CORREL(B38:B43,B40:B45)</f>
        <v>-0.10264752203994171</v>
      </c>
      <c r="C10" s="3"/>
      <c r="D10" s="14"/>
      <c r="E10" s="508"/>
      <c r="F10" s="509"/>
      <c r="G10" s="314"/>
      <c r="H10" s="14"/>
      <c r="I10" s="14"/>
    </row>
    <row r="11" spans="1:9" x14ac:dyDescent="0.2">
      <c r="A11" s="4">
        <v>3</v>
      </c>
      <c r="B11" s="5">
        <f>CORREL(B38:B42,B41:B45)</f>
        <v>-0.37002419878595177</v>
      </c>
      <c r="C11" s="3"/>
      <c r="D11" s="14"/>
      <c r="E11" s="15" t="s">
        <v>260</v>
      </c>
      <c r="F11" s="308" t="s">
        <v>261</v>
      </c>
      <c r="G11" s="310"/>
      <c r="H11" s="14"/>
      <c r="I11" s="14"/>
    </row>
    <row r="12" spans="1:9" x14ac:dyDescent="0.2">
      <c r="A12" s="4">
        <v>4</v>
      </c>
      <c r="B12" s="5">
        <f>CORREL(B38:B41,B42:B45)</f>
        <v>0.99952018915672791</v>
      </c>
      <c r="C12" s="3"/>
      <c r="D12" s="14"/>
      <c r="E12" s="309"/>
      <c r="F12" s="313"/>
      <c r="G12" s="311"/>
      <c r="H12" s="14"/>
      <c r="I12" s="14"/>
    </row>
    <row r="13" spans="1:9" x14ac:dyDescent="0.2">
      <c r="A13" s="93"/>
      <c r="B13" s="315"/>
      <c r="C13" s="3"/>
      <c r="D13" s="14"/>
      <c r="E13" s="309"/>
      <c r="F13" s="313"/>
      <c r="G13" s="311"/>
      <c r="H13" s="14"/>
      <c r="I13" s="14"/>
    </row>
    <row r="14" spans="1:9" x14ac:dyDescent="0.2">
      <c r="C14" s="3"/>
      <c r="D14" s="14"/>
      <c r="E14" s="304" t="s">
        <v>28</v>
      </c>
      <c r="F14" s="306">
        <f ca="1">IF(ISEVEN($C$17),0.5*(AVERAGE(OFFSET(B38,0,0,$C$17,1))+AVERAGE(OFFSET(B39,0,0,$C$17,1))),AVERAGE(OFFSET(B38,0,0,$C$17,1)))</f>
        <v>437300.25</v>
      </c>
      <c r="G14" s="312"/>
      <c r="H14" s="14"/>
      <c r="I14" s="14"/>
    </row>
    <row r="15" spans="1:9" ht="17" thickBot="1" x14ac:dyDescent="0.25">
      <c r="D15" s="14"/>
      <c r="E15" s="304" t="s">
        <v>29</v>
      </c>
      <c r="F15" s="306">
        <f ca="1">IF(ISEVEN($C$17),0.5*(AVERAGE(OFFSET(B39,0,0,$C$17,1))+AVERAGE(OFFSET(B40,0,0,$C$17,1))),AVERAGE(OFFSET(B39,0,0,$C$17,1)))</f>
        <v>438418.125</v>
      </c>
      <c r="G15" s="312"/>
      <c r="H15" s="14"/>
      <c r="I15" s="14"/>
    </row>
    <row r="16" spans="1:9" x14ac:dyDescent="0.2">
      <c r="A16" s="517" t="s">
        <v>14</v>
      </c>
      <c r="B16" s="518"/>
      <c r="C16" s="58" t="b">
        <f>OR(B10&gt;0.5,B11&gt;0.5,B12&gt;0.5)</f>
        <v>1</v>
      </c>
      <c r="D16" s="14"/>
      <c r="E16" s="304" t="s">
        <v>33</v>
      </c>
      <c r="F16" s="306">
        <f ca="1">IF(ISEVEN($C$17),0.5*(AVERAGE(OFFSET(B40,0,0,$C$17,1))+AVERAGE(OFFSET(B41,0,0,$C$17,1))),AVERAGE(OFFSET(B40,0,0,$C$17,1)))</f>
        <v>457155.875</v>
      </c>
      <c r="G16" s="312"/>
      <c r="H16" s="14"/>
      <c r="I16" s="14"/>
    </row>
    <row r="17" spans="1:9" x14ac:dyDescent="0.2">
      <c r="A17" s="519" t="s">
        <v>43</v>
      </c>
      <c r="B17" s="520"/>
      <c r="C17" s="60">
        <f>IF(C16,INDEX(A10:B13,MATCH(C18,B10:B13,0),1),NA())</f>
        <v>4</v>
      </c>
      <c r="D17" s="14"/>
      <c r="E17" s="304" t="s">
        <v>36</v>
      </c>
      <c r="F17" s="306">
        <f ca="1">IF(ISEVEN($C$17),0.5*(AVERAGE(OFFSET(B41,0,0,$C$17,1))+AVERAGE(OFFSET(B42,0,0,$C$17,1))),AVERAGE(OFFSET(B41,0,0,$C$17,1)))</f>
        <v>475970.625</v>
      </c>
      <c r="G17" s="312"/>
      <c r="H17" s="14"/>
      <c r="I17" s="14"/>
    </row>
    <row r="18" spans="1:9" ht="17" thickBot="1" x14ac:dyDescent="0.25">
      <c r="A18" s="528" t="s">
        <v>42</v>
      </c>
      <c r="B18" s="529"/>
      <c r="C18" s="59">
        <f>MAX(B10:B13)</f>
        <v>0.99952018915672791</v>
      </c>
      <c r="D18" s="14"/>
      <c r="E18" s="9"/>
      <c r="F18" s="312"/>
      <c r="G18" s="312"/>
      <c r="H18" s="14"/>
      <c r="I18" s="14"/>
    </row>
    <row r="19" spans="1:9" x14ac:dyDescent="0.2">
      <c r="D19" s="14"/>
      <c r="E19" s="9"/>
      <c r="F19" s="312"/>
      <c r="G19" s="312"/>
      <c r="H19" s="14"/>
      <c r="I19" s="14"/>
    </row>
    <row r="20" spans="1:9" x14ac:dyDescent="0.2">
      <c r="D20" s="14"/>
      <c r="H20" s="14"/>
      <c r="I20" s="14"/>
    </row>
    <row r="21" spans="1:9" x14ac:dyDescent="0.2">
      <c r="E21" s="10" t="s">
        <v>17</v>
      </c>
      <c r="F21" s="8" t="s">
        <v>20</v>
      </c>
    </row>
    <row r="22" spans="1:9" ht="17" thickBot="1" x14ac:dyDescent="0.25">
      <c r="E22" s="10" t="s">
        <v>18</v>
      </c>
      <c r="F22" s="16">
        <f ca="1">_xlfn.IFNA(INDEX(LINEST(OFFSET(F14,0,0,8-C17,1)),2),INDEX(LINEST(B38:B45),2))</f>
        <v>418524</v>
      </c>
      <c r="G22" s="9"/>
    </row>
    <row r="23" spans="1:9" ht="17" thickBot="1" x14ac:dyDescent="0.25">
      <c r="A23" s="530" t="s">
        <v>22</v>
      </c>
      <c r="B23" s="531"/>
      <c r="C23" s="534" t="b">
        <f ca="1">OR(C16,F24)</f>
        <v>1</v>
      </c>
      <c r="E23" s="10" t="s">
        <v>19</v>
      </c>
      <c r="F23" s="16">
        <f ca="1">_xlfn.IFNA(INDEX(LINEST(OFFSET(F14,0,0,8-C17,1)),1),INDEX(LINEST(B38:B45),1))</f>
        <v>13474.887500000003</v>
      </c>
      <c r="G23" s="9"/>
    </row>
    <row r="24" spans="1:9" ht="17" thickBot="1" x14ac:dyDescent="0.25">
      <c r="A24" s="532"/>
      <c r="B24" s="533"/>
      <c r="C24" s="535"/>
      <c r="E24" s="11" t="s">
        <v>21</v>
      </c>
      <c r="F24" s="12" t="b">
        <f ca="1">OR(F23&lt;&gt;0)</f>
        <v>1</v>
      </c>
    </row>
    <row r="27" spans="1:9" ht="17" thickBot="1" x14ac:dyDescent="0.25"/>
    <row r="28" spans="1:9" ht="25" thickTop="1" x14ac:dyDescent="0.2">
      <c r="A28" s="522" t="s">
        <v>1</v>
      </c>
      <c r="B28" s="523"/>
      <c r="C28" s="7"/>
    </row>
    <row r="29" spans="1:9" ht="25" thickBot="1" x14ac:dyDescent="0.25">
      <c r="A29" s="524"/>
      <c r="B29" s="525"/>
      <c r="C29" s="526" t="s">
        <v>44</v>
      </c>
      <c r="D29" s="527"/>
      <c r="E29" s="527"/>
    </row>
    <row r="30" spans="1:9" ht="17" thickTop="1" x14ac:dyDescent="0.2">
      <c r="I30" s="344"/>
    </row>
    <row r="31" spans="1:9" x14ac:dyDescent="0.2">
      <c r="A31" s="1" t="s">
        <v>2</v>
      </c>
      <c r="B31" s="461">
        <v>0</v>
      </c>
      <c r="I31" s="344"/>
    </row>
    <row r="32" spans="1:9" x14ac:dyDescent="0.2">
      <c r="A32" s="1" t="s">
        <v>4</v>
      </c>
      <c r="B32" s="461">
        <v>0</v>
      </c>
      <c r="I32" s="344"/>
    </row>
    <row r="33" spans="1:10" x14ac:dyDescent="0.2">
      <c r="A33" s="1" t="s">
        <v>3</v>
      </c>
      <c r="B33" s="461">
        <v>0</v>
      </c>
      <c r="I33" s="344"/>
    </row>
    <row r="34" spans="1:10" x14ac:dyDescent="0.2">
      <c r="A34" s="1" t="s">
        <v>45</v>
      </c>
      <c r="B34" s="22">
        <f>SQRT(SUMSQ(G42:G53)/(COUNT(G42:G53)-1))</f>
        <v>27901.040541024686</v>
      </c>
    </row>
    <row r="35" spans="1:10" x14ac:dyDescent="0.2">
      <c r="A35" s="1" t="s">
        <v>425</v>
      </c>
      <c r="B35" s="460">
        <f>(SUM(ABS(G46)/B46,ABS(G47)/B47,ABS(G48)/B48,ABS(G49)/B49))/4</f>
        <v>2.1471717574097327E-2</v>
      </c>
    </row>
    <row r="37" spans="1:10" ht="17" thickBot="1" x14ac:dyDescent="0.25">
      <c r="A37" s="2" t="s">
        <v>5</v>
      </c>
      <c r="B37" s="2" t="s">
        <v>46</v>
      </c>
      <c r="C37" s="2" t="s">
        <v>6</v>
      </c>
      <c r="D37" s="2" t="s">
        <v>7</v>
      </c>
      <c r="E37" s="2" t="s">
        <v>8</v>
      </c>
      <c r="F37" s="2" t="s">
        <v>9</v>
      </c>
      <c r="G37" s="2" t="s">
        <v>10</v>
      </c>
      <c r="H37" s="61"/>
    </row>
    <row r="38" spans="1:10" x14ac:dyDescent="0.2">
      <c r="A38" s="37" t="s">
        <v>27</v>
      </c>
      <c r="B38" s="38">
        <v>370731</v>
      </c>
      <c r="C38" s="39"/>
      <c r="D38" s="30"/>
      <c r="E38" s="40"/>
      <c r="F38" s="30"/>
      <c r="G38" s="31"/>
      <c r="H38" s="61"/>
    </row>
    <row r="39" spans="1:10" x14ac:dyDescent="0.2">
      <c r="A39" s="41" t="s">
        <v>26</v>
      </c>
      <c r="B39" s="33">
        <v>356706</v>
      </c>
      <c r="C39" s="17"/>
      <c r="D39" s="18"/>
      <c r="E39" s="21"/>
      <c r="F39" s="18"/>
      <c r="G39" s="42"/>
      <c r="H39" s="61"/>
      <c r="J39" t="s">
        <v>262</v>
      </c>
    </row>
    <row r="40" spans="1:10" x14ac:dyDescent="0.2">
      <c r="A40" s="41" t="s">
        <v>28</v>
      </c>
      <c r="B40" s="33">
        <v>704155</v>
      </c>
      <c r="C40" s="17"/>
      <c r="D40" s="18"/>
      <c r="E40" s="21"/>
      <c r="F40" s="18"/>
      <c r="G40" s="42"/>
      <c r="H40" s="61"/>
      <c r="J40" t="s">
        <v>263</v>
      </c>
    </row>
    <row r="41" spans="1:10" ht="17" thickBot="1" x14ac:dyDescent="0.25">
      <c r="A41" s="453" t="s">
        <v>29</v>
      </c>
      <c r="B41" s="454">
        <v>311874</v>
      </c>
      <c r="C41" s="455"/>
      <c r="D41" s="456"/>
      <c r="E41" s="441"/>
      <c r="F41" s="456"/>
      <c r="G41" s="457"/>
      <c r="H41" s="61"/>
      <c r="J41" t="s">
        <v>264</v>
      </c>
    </row>
    <row r="42" spans="1:10" x14ac:dyDescent="0.2">
      <c r="A42" s="74" t="s">
        <v>33</v>
      </c>
      <c r="B42" s="75">
        <v>382201</v>
      </c>
      <c r="C42" s="76"/>
      <c r="D42" s="77"/>
      <c r="E42" s="78">
        <f>AVERAGE(B38/AVERAGE($B$38:$B$41),B42/AVERAGE($B$42:$B$45))</f>
        <v>0.82697846285039245</v>
      </c>
      <c r="F42" s="30"/>
      <c r="G42" s="31"/>
      <c r="J42" t="s">
        <v>265</v>
      </c>
    </row>
    <row r="43" spans="1:10" x14ac:dyDescent="0.2">
      <c r="A43" s="79" t="s">
        <v>36</v>
      </c>
      <c r="B43" s="80">
        <v>354179</v>
      </c>
      <c r="C43" s="81"/>
      <c r="D43" s="82"/>
      <c r="E43" s="442">
        <f t="shared" ref="E43:E45" si="0">AVERAGE(B39/AVERAGE($B$38:$B$41),B43/AVERAGE($B$42:$B$45))</f>
        <v>0.78143834969139125</v>
      </c>
      <c r="F43" s="82"/>
      <c r="G43" s="83"/>
      <c r="J43" t="s">
        <v>272</v>
      </c>
    </row>
    <row r="44" spans="1:10" x14ac:dyDescent="0.2">
      <c r="A44" s="79" t="s">
        <v>37</v>
      </c>
      <c r="B44" s="80">
        <v>856584</v>
      </c>
      <c r="C44" s="81"/>
      <c r="D44" s="82"/>
      <c r="E44" s="442">
        <f t="shared" si="0"/>
        <v>1.7080449960831525</v>
      </c>
      <c r="F44" s="82"/>
      <c r="G44" s="83"/>
      <c r="J44" t="s">
        <v>268</v>
      </c>
    </row>
    <row r="45" spans="1:10" ht="17" thickBot="1" x14ac:dyDescent="0.25">
      <c r="A45" s="449" t="s">
        <v>30</v>
      </c>
      <c r="B45" s="444">
        <v>309963</v>
      </c>
      <c r="C45" s="445">
        <f>AVERAGE(B42:B45)+C17/2*D45</f>
        <v>495664.375</v>
      </c>
      <c r="D45" s="446">
        <f>(AVERAGE(B42:B45)-AVERAGE(B38:B41))/4</f>
        <v>9966.3125</v>
      </c>
      <c r="E45" s="447">
        <f t="shared" si="0"/>
        <v>0.683538191375064</v>
      </c>
      <c r="F45" s="446"/>
      <c r="G45" s="448"/>
      <c r="J45" t="s">
        <v>269</v>
      </c>
    </row>
    <row r="46" spans="1:10" x14ac:dyDescent="0.2">
      <c r="A46" s="53" t="s">
        <v>38</v>
      </c>
      <c r="B46" s="54">
        <v>408535</v>
      </c>
      <c r="C46" s="55">
        <f>$B$31*B46/E42+(1-$B$31)*(C45+D45)</f>
        <v>505630.6875</v>
      </c>
      <c r="D46" s="55">
        <f>$B$33*(C46-C45)+(1-$B$33)*D45</f>
        <v>9966.3125</v>
      </c>
      <c r="E46" s="56">
        <f>$B$32*B46/C46+(1-$B$32)*E42</f>
        <v>0.82697846285039245</v>
      </c>
      <c r="F46" s="55">
        <f>(C45+D45)*E42</f>
        <v>418145.68871873716</v>
      </c>
      <c r="G46" s="57">
        <f>B46-F46</f>
        <v>-9610.6887187371613</v>
      </c>
      <c r="J46" t="s">
        <v>270</v>
      </c>
    </row>
    <row r="47" spans="1:10" ht="16" customHeight="1" x14ac:dyDescent="0.2">
      <c r="A47" s="72" t="s">
        <v>34</v>
      </c>
      <c r="B47" s="49">
        <v>386844</v>
      </c>
      <c r="C47" s="50">
        <f t="shared" ref="C47:C50" si="1">$B$31*B47/E43+(1-$B$31)*(C46+D46)</f>
        <v>515597</v>
      </c>
      <c r="D47" s="50">
        <f t="shared" ref="D47:D50" si="2">$B$33*(C47-C46)+(1-$B$33)*D46</f>
        <v>9966.3125</v>
      </c>
      <c r="E47" s="51">
        <f t="shared" ref="E47:E50" si="3">$B$32*B47/C47+(1-$B$32)*E43</f>
        <v>0.78143834969139125</v>
      </c>
      <c r="F47" s="50">
        <f t="shared" ref="F47:F49" si="4">(C46+D46)*E43</f>
        <v>402907.26878583228</v>
      </c>
      <c r="G47" s="73">
        <f t="shared" ref="G47:G50" si="5">B47-F47</f>
        <v>-16063.268785832275</v>
      </c>
      <c r="J47" t="s">
        <v>271</v>
      </c>
    </row>
    <row r="48" spans="1:10" ht="16" customHeight="1" x14ac:dyDescent="0.2">
      <c r="A48" s="72" t="s">
        <v>40</v>
      </c>
      <c r="B48" s="334">
        <f>457216*2</f>
        <v>914432</v>
      </c>
      <c r="C48" s="50">
        <f t="shared" si="1"/>
        <v>525563.3125</v>
      </c>
      <c r="D48" s="50">
        <f t="shared" si="2"/>
        <v>9966.3125</v>
      </c>
      <c r="E48" s="51">
        <f t="shared" si="3"/>
        <v>1.7080449960831525</v>
      </c>
      <c r="F48" s="50">
        <f t="shared" si="4"/>
        <v>897685.78604051122</v>
      </c>
      <c r="G48" s="73">
        <f t="shared" si="5"/>
        <v>16746.213959488785</v>
      </c>
    </row>
    <row r="49" spans="1:8" ht="17" thickBot="1" x14ac:dyDescent="0.25">
      <c r="A49" s="450" t="s">
        <v>31</v>
      </c>
      <c r="B49" s="451">
        <v>365133</v>
      </c>
      <c r="C49" s="52">
        <f t="shared" si="1"/>
        <v>535529.625</v>
      </c>
      <c r="D49" s="52">
        <f t="shared" si="2"/>
        <v>9966.3125</v>
      </c>
      <c r="E49" s="452">
        <f t="shared" si="3"/>
        <v>0.683538191375064</v>
      </c>
      <c r="F49" s="52">
        <f t="shared" si="4"/>
        <v>366054.95130026626</v>
      </c>
      <c r="G49" s="95">
        <f t="shared" si="5"/>
        <v>-921.95130026625702</v>
      </c>
    </row>
    <row r="50" spans="1:8" ht="17" thickBot="1" x14ac:dyDescent="0.25">
      <c r="A50" s="53" t="s">
        <v>41</v>
      </c>
      <c r="B50" s="54">
        <v>500935</v>
      </c>
      <c r="C50" s="52">
        <f t="shared" si="1"/>
        <v>545495.9375</v>
      </c>
      <c r="D50" s="52">
        <f t="shared" si="2"/>
        <v>9966.3125</v>
      </c>
      <c r="E50" s="452">
        <f t="shared" si="3"/>
        <v>0.82697846285039245</v>
      </c>
      <c r="F50" s="326">
        <f>($C$49+$D$49)*E46</f>
        <v>451113.39188488375</v>
      </c>
      <c r="G50" s="57">
        <f t="shared" si="5"/>
        <v>49821.608115116251</v>
      </c>
      <c r="H50" s="443" t="s">
        <v>25</v>
      </c>
    </row>
    <row r="51" spans="1:8" x14ac:dyDescent="0.2">
      <c r="A51" s="36" t="s">
        <v>39</v>
      </c>
      <c r="B51" s="35"/>
      <c r="C51" s="19"/>
      <c r="D51" s="20"/>
      <c r="E51" s="25"/>
      <c r="F51" s="437">
        <f>($C$50+H51*$D$50)*E47</f>
        <v>434059.50395586697</v>
      </c>
      <c r="G51" s="73"/>
      <c r="H51" s="89">
        <v>1</v>
      </c>
    </row>
    <row r="52" spans="1:8" x14ac:dyDescent="0.2">
      <c r="A52" s="36" t="s">
        <v>35</v>
      </c>
      <c r="B52" s="35"/>
      <c r="C52" s="19"/>
      <c r="D52" s="20"/>
      <c r="E52" s="25"/>
      <c r="F52" s="437">
        <f>($C$50+H52*$D$50)*E48</f>
        <v>965777.42682061507</v>
      </c>
      <c r="G52" s="73"/>
      <c r="H52" s="89">
        <v>2</v>
      </c>
    </row>
    <row r="53" spans="1:8" ht="17" thickBot="1" x14ac:dyDescent="0.25">
      <c r="A53" s="45" t="s">
        <v>32</v>
      </c>
      <c r="B53" s="46"/>
      <c r="C53" s="29"/>
      <c r="D53" s="47"/>
      <c r="E53" s="32"/>
      <c r="F53" s="437">
        <f>($C$50+H53*$D$50)*E49</f>
        <v>393304.372183981</v>
      </c>
      <c r="G53" s="95"/>
      <c r="H53" s="89">
        <v>3</v>
      </c>
    </row>
    <row r="54" spans="1:8" x14ac:dyDescent="0.2">
      <c r="H54" s="89">
        <v>4</v>
      </c>
    </row>
    <row r="55" spans="1:8" x14ac:dyDescent="0.2">
      <c r="H55" s="90">
        <v>5</v>
      </c>
    </row>
    <row r="56" spans="1:8" x14ac:dyDescent="0.2">
      <c r="H56" s="89">
        <v>6</v>
      </c>
    </row>
    <row r="57" spans="1:8" x14ac:dyDescent="0.2">
      <c r="H57" s="90">
        <v>7</v>
      </c>
    </row>
    <row r="58" spans="1:8" ht="17" thickBot="1" x14ac:dyDescent="0.25">
      <c r="H58" s="94">
        <v>8</v>
      </c>
    </row>
    <row r="79" spans="1:7" x14ac:dyDescent="0.2">
      <c r="A79" s="62"/>
      <c r="B79" s="63"/>
      <c r="C79" s="64"/>
      <c r="D79" s="64"/>
      <c r="E79" s="65"/>
      <c r="F79" s="66"/>
      <c r="G79" s="64"/>
    </row>
    <row r="80" spans="1:7" x14ac:dyDescent="0.2">
      <c r="A80" s="62"/>
      <c r="B80" s="63"/>
      <c r="C80" s="64"/>
      <c r="D80" s="64"/>
      <c r="E80" s="65"/>
      <c r="F80" s="66"/>
      <c r="G80" s="64"/>
    </row>
    <row r="81" spans="1:15" x14ac:dyDescent="0.2">
      <c r="A81" s="62"/>
      <c r="B81" s="63"/>
      <c r="C81" s="64"/>
      <c r="D81" s="64"/>
      <c r="E81" s="65"/>
      <c r="F81" s="66"/>
      <c r="G81" s="64"/>
    </row>
    <row r="82" spans="1:15" x14ac:dyDescent="0.2">
      <c r="A82" s="62"/>
      <c r="B82" s="63"/>
      <c r="C82" s="64"/>
      <c r="D82" s="64"/>
      <c r="E82" s="65"/>
      <c r="F82" s="66"/>
      <c r="G82" s="64"/>
    </row>
    <row r="83" spans="1:15" x14ac:dyDescent="0.2">
      <c r="A83" s="62"/>
      <c r="B83" s="63"/>
      <c r="C83" s="64"/>
      <c r="D83" s="64"/>
      <c r="E83" s="65"/>
      <c r="F83" s="66"/>
      <c r="G83" s="64"/>
    </row>
    <row r="84" spans="1:15" x14ac:dyDescent="0.2">
      <c r="A84" s="62"/>
      <c r="B84" s="63"/>
      <c r="C84" s="64"/>
      <c r="D84" s="64"/>
      <c r="E84" s="65"/>
      <c r="F84" s="66"/>
      <c r="G84" s="64"/>
    </row>
    <row r="85" spans="1:15" x14ac:dyDescent="0.2">
      <c r="A85" s="62"/>
      <c r="B85" s="63"/>
      <c r="C85" s="64"/>
      <c r="D85" s="64"/>
      <c r="E85" s="65"/>
      <c r="F85" s="66"/>
      <c r="G85" s="64"/>
    </row>
    <row r="86" spans="1:15" x14ac:dyDescent="0.2">
      <c r="A86" s="62"/>
      <c r="B86" s="63"/>
      <c r="C86" s="64"/>
      <c r="D86" s="64"/>
      <c r="E86" s="65"/>
      <c r="F86" s="66"/>
      <c r="G86" s="64"/>
    </row>
    <row r="87" spans="1:15" x14ac:dyDescent="0.2">
      <c r="A87" s="62"/>
      <c r="B87" s="67"/>
      <c r="C87" s="64"/>
      <c r="D87" s="64"/>
      <c r="E87" s="65"/>
      <c r="F87" s="66"/>
      <c r="G87" s="64"/>
    </row>
    <row r="88" spans="1:15" x14ac:dyDescent="0.2">
      <c r="A88" s="62"/>
      <c r="B88" s="67"/>
      <c r="C88" s="64"/>
      <c r="D88" s="64"/>
      <c r="E88" s="65"/>
      <c r="F88" s="66"/>
      <c r="G88" s="64"/>
    </row>
    <row r="89" spans="1:15" x14ac:dyDescent="0.2">
      <c r="A89" s="62"/>
      <c r="B89" s="67"/>
      <c r="C89" s="64"/>
      <c r="D89" s="64"/>
      <c r="E89" s="65"/>
      <c r="F89" s="66"/>
      <c r="G89" s="64"/>
    </row>
    <row r="90" spans="1:15" x14ac:dyDescent="0.2">
      <c r="A90" s="62"/>
      <c r="B90" s="68"/>
      <c r="C90" s="64"/>
      <c r="D90" s="64"/>
      <c r="E90" s="65"/>
      <c r="F90" s="66"/>
      <c r="G90" s="64"/>
    </row>
    <row r="91" spans="1:15" x14ac:dyDescent="0.2">
      <c r="A91" s="62"/>
      <c r="B91" s="68"/>
      <c r="C91" s="64"/>
      <c r="D91" s="64"/>
      <c r="E91" s="65"/>
      <c r="F91" s="66"/>
      <c r="G91" s="64"/>
      <c r="I91" s="23"/>
      <c r="J91" s="23"/>
      <c r="K91" s="23"/>
      <c r="L91" s="23"/>
      <c r="M91" s="23"/>
      <c r="N91" s="23"/>
      <c r="O91" s="23"/>
    </row>
    <row r="92" spans="1:15" x14ac:dyDescent="0.2">
      <c r="A92" s="62"/>
      <c r="B92" s="68"/>
      <c r="C92" s="64"/>
      <c r="D92" s="64"/>
      <c r="E92" s="65"/>
      <c r="F92" s="66"/>
      <c r="G92" s="64"/>
      <c r="I92" s="23"/>
      <c r="J92" s="23"/>
      <c r="K92" s="23"/>
      <c r="L92" s="23"/>
      <c r="M92" s="23"/>
      <c r="N92" s="23"/>
      <c r="O92" s="23"/>
    </row>
    <row r="93" spans="1:15" x14ac:dyDescent="0.2">
      <c r="A93" s="62"/>
      <c r="B93" s="69"/>
      <c r="C93" s="64"/>
      <c r="D93" s="64"/>
      <c r="E93" s="65"/>
      <c r="F93" s="66"/>
      <c r="G93" s="64"/>
      <c r="I93" s="23"/>
      <c r="J93" s="23"/>
      <c r="K93" s="23"/>
      <c r="L93" s="23"/>
      <c r="M93" s="23"/>
      <c r="N93" s="23"/>
      <c r="O93" s="23"/>
    </row>
    <row r="94" spans="1:15" x14ac:dyDescent="0.2">
      <c r="A94" s="62"/>
      <c r="B94" s="69"/>
      <c r="C94" s="64"/>
      <c r="D94" s="64"/>
      <c r="E94" s="65"/>
      <c r="F94" s="66"/>
      <c r="G94" s="64"/>
      <c r="I94" s="23"/>
      <c r="J94" s="23"/>
      <c r="K94" s="23"/>
      <c r="L94" s="23"/>
      <c r="M94" s="23"/>
      <c r="N94" s="23"/>
      <c r="O94" s="23"/>
    </row>
    <row r="95" spans="1:15" x14ac:dyDescent="0.2">
      <c r="A95" s="62"/>
      <c r="B95" s="69"/>
      <c r="C95" s="64"/>
      <c r="D95" s="64"/>
      <c r="E95" s="65"/>
      <c r="F95" s="66"/>
      <c r="G95" s="64"/>
      <c r="I95" s="23"/>
      <c r="J95" s="23"/>
      <c r="K95" s="23"/>
      <c r="L95" s="23"/>
      <c r="M95" s="23"/>
      <c r="N95" s="23"/>
      <c r="O95" s="23"/>
    </row>
    <row r="96" spans="1:15" x14ac:dyDescent="0.2">
      <c r="A96" s="62"/>
      <c r="B96" s="69"/>
      <c r="C96" s="64"/>
      <c r="D96" s="64"/>
      <c r="E96" s="65"/>
      <c r="F96" s="66"/>
      <c r="G96" s="64"/>
      <c r="I96" s="24"/>
      <c r="J96" s="24"/>
      <c r="K96" s="24"/>
      <c r="L96" s="24"/>
      <c r="M96" s="24"/>
      <c r="N96" s="24"/>
      <c r="O96" s="24"/>
    </row>
    <row r="97" spans="1:15" x14ac:dyDescent="0.2">
      <c r="A97" s="62"/>
      <c r="B97" s="69"/>
      <c r="C97" s="64"/>
      <c r="D97" s="64"/>
      <c r="E97" s="65"/>
      <c r="F97" s="66"/>
      <c r="G97" s="64"/>
      <c r="I97" s="23"/>
      <c r="J97" s="23"/>
      <c r="K97" s="23"/>
      <c r="L97" s="23"/>
      <c r="M97" s="23"/>
      <c r="N97" s="23"/>
      <c r="O97" s="23"/>
    </row>
    <row r="98" spans="1:15" x14ac:dyDescent="0.2">
      <c r="A98" s="62"/>
      <c r="B98" s="70"/>
      <c r="C98" s="64"/>
      <c r="D98" s="64"/>
      <c r="E98" s="65"/>
      <c r="F98" s="66"/>
      <c r="G98" s="64"/>
      <c r="I98" s="23"/>
      <c r="J98" s="23"/>
      <c r="K98" s="23"/>
      <c r="L98" s="23"/>
      <c r="M98" s="23"/>
      <c r="N98" s="23"/>
      <c r="O98" s="23"/>
    </row>
    <row r="99" spans="1:15" x14ac:dyDescent="0.2">
      <c r="A99" s="23"/>
      <c r="B99" s="24"/>
      <c r="C99" s="23"/>
      <c r="D99" s="23"/>
      <c r="E99" s="23"/>
      <c r="F99" s="23"/>
      <c r="G99" s="23"/>
      <c r="H99" s="23"/>
      <c r="I99" s="23"/>
      <c r="J99" s="23"/>
      <c r="K99" s="23"/>
      <c r="L99" s="23"/>
      <c r="M99" s="23"/>
      <c r="N99" s="23"/>
      <c r="O99" s="23"/>
    </row>
    <row r="100" spans="1:15" x14ac:dyDescent="0.2">
      <c r="A100" s="23"/>
      <c r="B100" s="24"/>
      <c r="C100" s="23"/>
      <c r="D100" s="23"/>
      <c r="E100" s="23"/>
      <c r="F100" s="23"/>
      <c r="G100" s="23"/>
      <c r="H100" s="23"/>
      <c r="I100" s="23"/>
      <c r="J100" s="23"/>
      <c r="K100" s="23"/>
      <c r="L100" s="23"/>
      <c r="M100" s="23"/>
      <c r="N100" s="23"/>
      <c r="O100" s="23"/>
    </row>
    <row r="101" spans="1:15" x14ac:dyDescent="0.2">
      <c r="A101" s="23"/>
      <c r="B101" s="24"/>
      <c r="C101" s="23"/>
      <c r="D101" s="23"/>
      <c r="E101" s="23"/>
      <c r="F101" s="23"/>
      <c r="G101" s="23"/>
      <c r="H101" s="23"/>
      <c r="I101" s="23"/>
      <c r="J101" s="23"/>
      <c r="K101" s="23"/>
      <c r="L101" s="23"/>
      <c r="M101" s="23"/>
      <c r="N101" s="23"/>
      <c r="O101" s="23"/>
    </row>
    <row r="102" spans="1:15" x14ac:dyDescent="0.2">
      <c r="A102" s="23"/>
      <c r="B102" s="24"/>
      <c r="C102" s="23"/>
      <c r="D102" s="23"/>
      <c r="E102" s="23"/>
      <c r="F102" s="23"/>
      <c r="G102" s="23"/>
      <c r="H102" s="23"/>
      <c r="I102" s="23"/>
      <c r="J102" s="23"/>
      <c r="K102" s="23"/>
      <c r="L102" s="23"/>
      <c r="M102" s="23"/>
      <c r="N102" s="23"/>
      <c r="O102" s="23"/>
    </row>
    <row r="103" spans="1:15" x14ac:dyDescent="0.2">
      <c r="A103" s="23"/>
      <c r="B103" s="24"/>
      <c r="C103" s="23"/>
      <c r="D103" s="23"/>
      <c r="E103" s="23"/>
      <c r="F103" s="23"/>
      <c r="G103" s="23"/>
      <c r="H103" s="23"/>
      <c r="I103" s="23"/>
      <c r="J103" s="23"/>
      <c r="K103" s="23"/>
      <c r="L103" s="23"/>
      <c r="M103" s="23"/>
      <c r="N103" s="23"/>
      <c r="O103" s="23"/>
    </row>
    <row r="104" spans="1:15" x14ac:dyDescent="0.2">
      <c r="A104" s="23"/>
      <c r="B104" s="24"/>
      <c r="C104" s="23"/>
      <c r="D104" s="23"/>
      <c r="E104" s="23"/>
      <c r="F104" s="23"/>
      <c r="G104" s="23"/>
      <c r="H104" s="23"/>
      <c r="I104" s="23"/>
      <c r="J104" s="23"/>
      <c r="K104" s="23"/>
      <c r="L104" s="23"/>
      <c r="M104" s="23"/>
      <c r="N104" s="23"/>
      <c r="O104" s="23"/>
    </row>
    <row r="105" spans="1:15" x14ac:dyDescent="0.2">
      <c r="A105" s="23"/>
      <c r="B105" s="24"/>
      <c r="C105" s="23"/>
      <c r="D105" s="23"/>
      <c r="E105" s="23"/>
      <c r="F105" s="23"/>
      <c r="G105" s="23"/>
      <c r="H105" s="23"/>
      <c r="I105" s="23"/>
      <c r="J105" s="23"/>
      <c r="K105" s="23"/>
      <c r="L105" s="23"/>
      <c r="M105" s="23"/>
      <c r="N105" s="23"/>
      <c r="O105" s="23"/>
    </row>
    <row r="106" spans="1:15" x14ac:dyDescent="0.2">
      <c r="A106" s="23"/>
      <c r="B106" s="24"/>
      <c r="C106" s="23"/>
      <c r="D106" s="23"/>
      <c r="E106" s="23"/>
      <c r="F106" s="23"/>
      <c r="G106" s="23"/>
      <c r="H106" s="23"/>
      <c r="I106" s="23"/>
      <c r="J106" s="23"/>
      <c r="K106" s="23"/>
      <c r="L106" s="23"/>
      <c r="M106" s="23"/>
      <c r="N106" s="23"/>
      <c r="O106" s="23"/>
    </row>
    <row r="107" spans="1:15" x14ac:dyDescent="0.2">
      <c r="A107" s="23"/>
      <c r="B107" s="24"/>
      <c r="C107" s="23"/>
      <c r="D107" s="23"/>
      <c r="E107" s="23"/>
      <c r="F107" s="23"/>
      <c r="G107" s="23"/>
      <c r="H107" s="23"/>
      <c r="I107" s="23"/>
      <c r="J107" s="23"/>
      <c r="K107" s="23"/>
      <c r="L107" s="23"/>
      <c r="M107" s="23"/>
      <c r="N107" s="23"/>
      <c r="O107" s="23"/>
    </row>
    <row r="108" spans="1:15" x14ac:dyDescent="0.2">
      <c r="A108" s="23"/>
      <c r="B108" s="24"/>
      <c r="C108" s="23"/>
      <c r="D108" s="23"/>
      <c r="E108" s="23"/>
      <c r="F108" s="23"/>
      <c r="G108" s="23"/>
      <c r="H108" s="23"/>
      <c r="I108" s="23"/>
      <c r="J108" s="23"/>
      <c r="K108" s="23"/>
      <c r="L108" s="23"/>
      <c r="M108" s="23"/>
      <c r="N108" s="23"/>
      <c r="O108" s="23"/>
    </row>
    <row r="109" spans="1:15" x14ac:dyDescent="0.2">
      <c r="A109" s="23"/>
      <c r="B109" s="24"/>
      <c r="C109" s="23"/>
      <c r="D109" s="23"/>
      <c r="E109" s="23"/>
      <c r="F109" s="23"/>
      <c r="G109" s="23"/>
      <c r="H109" s="23"/>
      <c r="I109" s="23"/>
      <c r="J109" s="23"/>
      <c r="K109" s="23"/>
      <c r="L109" s="23"/>
      <c r="M109" s="23"/>
      <c r="N109" s="23"/>
      <c r="O109" s="23"/>
    </row>
    <row r="110" spans="1:15" x14ac:dyDescent="0.2">
      <c r="A110" s="23"/>
      <c r="B110" s="24"/>
      <c r="C110" s="23"/>
      <c r="D110" s="23"/>
      <c r="E110" s="23"/>
      <c r="F110" s="23"/>
      <c r="G110" s="23"/>
      <c r="H110" s="23"/>
      <c r="I110" s="23"/>
      <c r="J110" s="23"/>
      <c r="K110" s="23"/>
      <c r="L110" s="23"/>
      <c r="M110" s="23"/>
      <c r="N110" s="23"/>
      <c r="O110" s="23"/>
    </row>
    <row r="111" spans="1:15" x14ac:dyDescent="0.2">
      <c r="A111" s="23"/>
      <c r="B111" s="24"/>
      <c r="C111" s="23"/>
      <c r="D111" s="23"/>
      <c r="E111" s="23"/>
      <c r="F111" s="23"/>
      <c r="G111" s="23"/>
      <c r="H111" s="23"/>
      <c r="I111" s="23"/>
      <c r="J111" s="23"/>
      <c r="K111" s="23"/>
      <c r="L111" s="23"/>
      <c r="M111" s="23"/>
      <c r="N111" s="23"/>
      <c r="O111" s="23"/>
    </row>
    <row r="112" spans="1:15" x14ac:dyDescent="0.2">
      <c r="A112" s="23"/>
      <c r="B112" s="24"/>
      <c r="C112" s="23"/>
      <c r="D112" s="23"/>
      <c r="E112" s="23"/>
      <c r="F112" s="23"/>
      <c r="G112" s="23"/>
      <c r="H112" s="23"/>
      <c r="I112" s="23"/>
      <c r="J112" s="23"/>
      <c r="K112" s="23"/>
      <c r="L112" s="23"/>
      <c r="M112" s="23"/>
      <c r="N112" s="23"/>
      <c r="O112" s="23"/>
    </row>
    <row r="113" spans="1:15" x14ac:dyDescent="0.2">
      <c r="A113" s="23"/>
      <c r="B113" s="23"/>
      <c r="C113" s="23"/>
      <c r="D113" s="23"/>
      <c r="E113" s="23"/>
      <c r="F113" s="23"/>
      <c r="G113" s="23"/>
      <c r="H113" s="23"/>
      <c r="I113" s="23"/>
      <c r="J113" s="23"/>
      <c r="K113" s="23"/>
      <c r="L113" s="23"/>
      <c r="M113" s="23"/>
      <c r="N113" s="23"/>
      <c r="O113" s="23"/>
    </row>
    <row r="114" spans="1:15" x14ac:dyDescent="0.2">
      <c r="A114" s="23"/>
      <c r="B114" s="23"/>
      <c r="C114" s="23"/>
      <c r="D114" s="23"/>
      <c r="E114" s="23"/>
      <c r="F114" s="23"/>
      <c r="G114" s="23"/>
      <c r="H114" s="23"/>
      <c r="I114" s="23"/>
      <c r="J114" s="23"/>
      <c r="K114" s="23"/>
      <c r="L114" s="23"/>
      <c r="M114" s="23"/>
      <c r="N114" s="23"/>
      <c r="O114" s="23"/>
    </row>
    <row r="115" spans="1:15" x14ac:dyDescent="0.2">
      <c r="A115" s="23"/>
      <c r="B115" s="23"/>
      <c r="C115" s="23"/>
      <c r="D115" s="23"/>
      <c r="E115" s="23"/>
      <c r="F115" s="23"/>
      <c r="G115" s="23"/>
      <c r="H115" s="23"/>
      <c r="I115" s="23"/>
      <c r="J115" s="23"/>
      <c r="K115" s="23"/>
      <c r="L115" s="23"/>
      <c r="M115" s="23"/>
      <c r="N115" s="23"/>
      <c r="O115" s="23"/>
    </row>
  </sheetData>
  <mergeCells count="11">
    <mergeCell ref="A28:B29"/>
    <mergeCell ref="C29:E29"/>
    <mergeCell ref="A18:B18"/>
    <mergeCell ref="A23:B24"/>
    <mergeCell ref="C23:C24"/>
    <mergeCell ref="E9:F10"/>
    <mergeCell ref="A1:H2"/>
    <mergeCell ref="A4:C5"/>
    <mergeCell ref="A16:B16"/>
    <mergeCell ref="A17:B17"/>
    <mergeCell ref="A7:B7"/>
  </mergeCells>
  <phoneticPr fontId="8" type="noConversion"/>
  <conditionalFormatting sqref="C16">
    <cfRule type="containsText" dxfId="23" priority="10" operator="containsText" text="FALSO">
      <formula>NOT(ISERROR(SEARCH("FALSO",C16)))</formula>
    </cfRule>
    <cfRule type="containsText" dxfId="22" priority="11" operator="containsText" text="VERO">
      <formula>NOT(ISERROR(SEARCH("VERO",C16)))</formula>
    </cfRule>
  </conditionalFormatting>
  <conditionalFormatting sqref="F24">
    <cfRule type="containsText" dxfId="21" priority="3" operator="containsText" text="FALSO">
      <formula>NOT(ISERROR(SEARCH("FALSO",F24)))</formula>
    </cfRule>
    <cfRule type="containsText" dxfId="20" priority="4" operator="containsText" text="VERO">
      <formula>NOT(ISERROR(SEARCH("VERO",F24)))</formula>
    </cfRule>
  </conditionalFormatting>
  <conditionalFormatting sqref="C23:C24">
    <cfRule type="containsText" dxfId="19" priority="1" operator="containsText" text="FALSO">
      <formula>NOT(ISERROR(SEARCH("FALSO",C23)))</formula>
    </cfRule>
    <cfRule type="containsText" dxfId="18" priority="2" operator="containsText" text="VERO">
      <formula>NOT(ISERROR(SEARCH("VERO",C23)))</formula>
    </cfRule>
  </conditionalFormatting>
  <conditionalFormatting sqref="B10:B13">
    <cfRule type="cellIs" dxfId="17" priority="14" operator="equal">
      <formula>$C$18</formula>
    </cfRule>
  </conditionalFormatting>
  <conditionalFormatting sqref="A10:A13">
    <cfRule type="cellIs" dxfId="16" priority="16" operator="equal">
      <formula>$C$17</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2DB1B-3385-F348-BB57-C705DF465474}">
  <dimension ref="A1:O115"/>
  <sheetViews>
    <sheetView topLeftCell="A36" zoomScale="140" workbookViewId="0">
      <selection activeCell="F51" sqref="F51"/>
    </sheetView>
  </sheetViews>
  <sheetFormatPr baseColWidth="10" defaultRowHeight="16" x14ac:dyDescent="0.2"/>
  <cols>
    <col min="3" max="3" width="12.83203125" bestFit="1" customWidth="1"/>
    <col min="4" max="5" width="11" bestFit="1" customWidth="1"/>
    <col min="6" max="6" width="12.83203125" bestFit="1" customWidth="1"/>
    <col min="7" max="7" width="11" bestFit="1" customWidth="1"/>
  </cols>
  <sheetData>
    <row r="1" spans="1:9" x14ac:dyDescent="0.2">
      <c r="A1" s="510" t="s">
        <v>24</v>
      </c>
      <c r="B1" s="510"/>
      <c r="C1" s="510"/>
      <c r="D1" s="510"/>
      <c r="E1" s="510"/>
      <c r="F1" s="510"/>
      <c r="G1" s="510"/>
      <c r="H1" s="510"/>
    </row>
    <row r="2" spans="1:9" x14ac:dyDescent="0.2">
      <c r="A2" s="510"/>
      <c r="B2" s="510"/>
      <c r="C2" s="510"/>
      <c r="D2" s="510"/>
      <c r="E2" s="510"/>
      <c r="F2" s="510"/>
      <c r="G2" s="510"/>
      <c r="H2" s="510"/>
    </row>
    <row r="3" spans="1:9" ht="17" thickBot="1" x14ac:dyDescent="0.25"/>
    <row r="4" spans="1:9" ht="17" thickTop="1" x14ac:dyDescent="0.2">
      <c r="A4" s="511" t="s">
        <v>0</v>
      </c>
      <c r="B4" s="512"/>
      <c r="C4" s="513"/>
    </row>
    <row r="5" spans="1:9" ht="17" thickBot="1" x14ac:dyDescent="0.25">
      <c r="A5" s="514"/>
      <c r="B5" s="515"/>
      <c r="C5" s="516"/>
    </row>
    <row r="6" spans="1:9" ht="17" thickTop="1" x14ac:dyDescent="0.2"/>
    <row r="7" spans="1:9" x14ac:dyDescent="0.2">
      <c r="A7" s="521" t="s">
        <v>11</v>
      </c>
      <c r="B7" s="521"/>
      <c r="E7" s="13" t="s">
        <v>15</v>
      </c>
    </row>
    <row r="8" spans="1:9" ht="17" thickBot="1" x14ac:dyDescent="0.25"/>
    <row r="9" spans="1:9" ht="16" customHeight="1" x14ac:dyDescent="0.2">
      <c r="A9" s="6" t="s">
        <v>12</v>
      </c>
      <c r="B9" s="6" t="s">
        <v>13</v>
      </c>
      <c r="C9" s="3"/>
      <c r="D9" s="14"/>
      <c r="E9" s="506" t="s">
        <v>23</v>
      </c>
      <c r="F9" s="507"/>
      <c r="G9" s="314"/>
      <c r="H9" s="14"/>
      <c r="I9" s="14"/>
    </row>
    <row r="10" spans="1:9" ht="17" thickBot="1" x14ac:dyDescent="0.25">
      <c r="A10" s="4">
        <v>2</v>
      </c>
      <c r="B10" s="5">
        <f>CORREL(B38:B43,B40:B45)</f>
        <v>0.51926531745077054</v>
      </c>
      <c r="C10" s="3"/>
      <c r="D10" s="14"/>
      <c r="E10" s="508"/>
      <c r="F10" s="509"/>
      <c r="G10" s="314"/>
      <c r="H10" s="14"/>
      <c r="I10" s="14"/>
    </row>
    <row r="11" spans="1:9" x14ac:dyDescent="0.2">
      <c r="A11" s="4">
        <v>3</v>
      </c>
      <c r="B11" s="5">
        <f>CORREL(B38:B42,B41:B45)</f>
        <v>-0.82106461386159912</v>
      </c>
      <c r="C11" s="3"/>
      <c r="D11" s="14"/>
      <c r="E11" s="15" t="s">
        <v>260</v>
      </c>
      <c r="F11" s="308" t="s">
        <v>261</v>
      </c>
      <c r="G11" s="310"/>
      <c r="H11" s="14"/>
      <c r="I11" s="14"/>
    </row>
    <row r="12" spans="1:9" x14ac:dyDescent="0.2">
      <c r="A12" s="4">
        <v>4</v>
      </c>
      <c r="B12" s="5">
        <f>CORREL(B38:B41,B42:B45)</f>
        <v>0.97686182131691812</v>
      </c>
      <c r="C12" s="3"/>
      <c r="D12" s="14"/>
      <c r="E12" s="316"/>
      <c r="F12" s="313"/>
      <c r="G12" s="311"/>
      <c r="H12" s="14"/>
      <c r="I12" s="14"/>
    </row>
    <row r="13" spans="1:9" x14ac:dyDescent="0.2">
      <c r="A13" s="93"/>
      <c r="B13" s="315"/>
      <c r="C13" s="3"/>
      <c r="D13" s="14"/>
      <c r="E13" s="316"/>
      <c r="F13" s="313"/>
      <c r="G13" s="311"/>
      <c r="H13" s="14"/>
      <c r="I13" s="14"/>
    </row>
    <row r="14" spans="1:9" x14ac:dyDescent="0.2">
      <c r="C14" s="3"/>
      <c r="D14" s="14"/>
      <c r="E14" s="304" t="s">
        <v>28</v>
      </c>
      <c r="F14" s="306">
        <f ca="1">IF(ISEVEN($C$17),0.5*(AVERAGE(OFFSET(B38,0,0,$C$17,1))+AVERAGE(OFFSET(B39,0,0,$C$17,1))),AVERAGE(OFFSET(B38,0,0,$C$17,1)))</f>
        <v>847245.125</v>
      </c>
      <c r="G14" s="312"/>
      <c r="H14" s="14"/>
      <c r="I14" s="14"/>
    </row>
    <row r="15" spans="1:9" ht="17" thickBot="1" x14ac:dyDescent="0.25">
      <c r="D15" s="14"/>
      <c r="E15" s="304" t="s">
        <v>29</v>
      </c>
      <c r="F15" s="306">
        <f ca="1">IF(ISEVEN($C$17),0.5*(AVERAGE(OFFSET(B39,0,0,$C$17,1))+AVERAGE(OFFSET(B40,0,0,$C$17,1))),AVERAGE(OFFSET(B39,0,0,$C$17,1)))</f>
        <v>867243.25</v>
      </c>
      <c r="G15" s="312"/>
      <c r="H15" s="14"/>
      <c r="I15" s="14"/>
    </row>
    <row r="16" spans="1:9" x14ac:dyDescent="0.2">
      <c r="A16" s="517" t="s">
        <v>14</v>
      </c>
      <c r="B16" s="518"/>
      <c r="C16" s="58" t="b">
        <f>OR(B10&gt;0.5,B11&gt;0.5,B12&gt;0.5)</f>
        <v>1</v>
      </c>
      <c r="D16" s="14"/>
      <c r="E16" s="304" t="s">
        <v>33</v>
      </c>
      <c r="F16" s="306">
        <f ca="1">IF(ISEVEN($C$17),0.5*(AVERAGE(OFFSET(B40,0,0,$C$17,1))+AVERAGE(OFFSET(B41,0,0,$C$17,1))),AVERAGE(OFFSET(B40,0,0,$C$17,1)))</f>
        <v>884934</v>
      </c>
      <c r="G16" s="312"/>
      <c r="H16" s="14"/>
      <c r="I16" s="14"/>
    </row>
    <row r="17" spans="1:9" x14ac:dyDescent="0.2">
      <c r="A17" s="519" t="s">
        <v>43</v>
      </c>
      <c r="B17" s="520"/>
      <c r="C17" s="60">
        <f>IF(C16,INDEX(A10:B13,MATCH(C18,B10:B13,0),1),NA())</f>
        <v>4</v>
      </c>
      <c r="D17" s="14"/>
      <c r="E17" s="304" t="s">
        <v>36</v>
      </c>
      <c r="F17" s="306">
        <f ca="1">IF(ISEVEN($C$17),0.5*(AVERAGE(OFFSET(B41,0,0,$C$17,1))+AVERAGE(OFFSET(B42,0,0,$C$17,1))),AVERAGE(OFFSET(B41,0,0,$C$17,1)))</f>
        <v>873365.375</v>
      </c>
      <c r="G17" s="312"/>
      <c r="H17" s="14"/>
      <c r="I17" s="14"/>
    </row>
    <row r="18" spans="1:9" ht="17" thickBot="1" x14ac:dyDescent="0.25">
      <c r="A18" s="528" t="s">
        <v>42</v>
      </c>
      <c r="B18" s="529"/>
      <c r="C18" s="59">
        <f>MAX(B10:B13)</f>
        <v>0.97686182131691812</v>
      </c>
      <c r="D18" s="14"/>
      <c r="E18" s="305"/>
      <c r="F18" s="317"/>
      <c r="G18" s="312"/>
      <c r="H18" s="14"/>
      <c r="I18" s="14"/>
    </row>
    <row r="19" spans="1:9" x14ac:dyDescent="0.2">
      <c r="D19" s="14"/>
      <c r="E19" s="9"/>
      <c r="F19" s="312"/>
      <c r="G19" s="312"/>
      <c r="H19" s="14"/>
      <c r="I19" s="14"/>
    </row>
    <row r="20" spans="1:9" x14ac:dyDescent="0.2">
      <c r="D20" s="14"/>
      <c r="H20" s="14"/>
      <c r="I20" s="14"/>
    </row>
    <row r="21" spans="1:9" x14ac:dyDescent="0.2">
      <c r="E21" s="10" t="s">
        <v>17</v>
      </c>
      <c r="F21" s="8" t="s">
        <v>20</v>
      </c>
    </row>
    <row r="22" spans="1:9" ht="17" thickBot="1" x14ac:dyDescent="0.25">
      <c r="E22" s="10" t="s">
        <v>18</v>
      </c>
      <c r="F22" s="16">
        <f ca="1">_xlfn.IFNA(INDEX(LINEST(OFFSET(F14,0,0,8-C17,1)),2),INDEX(LINEST(B38:B45),2))</f>
        <v>844184.0625</v>
      </c>
      <c r="G22" s="9"/>
    </row>
    <row r="23" spans="1:9" ht="17" thickBot="1" x14ac:dyDescent="0.25">
      <c r="A23" s="530" t="s">
        <v>22</v>
      </c>
      <c r="B23" s="531"/>
      <c r="C23" s="534" t="b">
        <f ca="1">OR(C16,F24)</f>
        <v>1</v>
      </c>
      <c r="E23" s="10" t="s">
        <v>19</v>
      </c>
      <c r="F23" s="16">
        <f ca="1">_xlfn.IFNA(INDEX(LINEST(OFFSET(F14,0,0,8-C17,1)),1),INDEX(LINEST(B38:B45),1))</f>
        <v>9605.15</v>
      </c>
      <c r="G23" s="9"/>
    </row>
    <row r="24" spans="1:9" ht="17" thickBot="1" x14ac:dyDescent="0.25">
      <c r="A24" s="532"/>
      <c r="B24" s="533"/>
      <c r="C24" s="535"/>
      <c r="E24" s="11" t="s">
        <v>21</v>
      </c>
      <c r="F24" s="12" t="b">
        <f ca="1">OR(F23&lt;&gt;0)</f>
        <v>1</v>
      </c>
    </row>
    <row r="27" spans="1:9" ht="17" thickBot="1" x14ac:dyDescent="0.25"/>
    <row r="28" spans="1:9" ht="25" thickTop="1" x14ac:dyDescent="0.2">
      <c r="A28" s="522" t="s">
        <v>1</v>
      </c>
      <c r="B28" s="523"/>
      <c r="C28" s="7"/>
    </row>
    <row r="29" spans="1:9" ht="25" thickBot="1" x14ac:dyDescent="0.25">
      <c r="A29" s="524"/>
      <c r="B29" s="525"/>
      <c r="C29" s="526" t="s">
        <v>44</v>
      </c>
      <c r="D29" s="527"/>
      <c r="E29" s="527"/>
    </row>
    <row r="30" spans="1:9" ht="17" thickTop="1" x14ac:dyDescent="0.2"/>
    <row r="31" spans="1:9" x14ac:dyDescent="0.2">
      <c r="A31" s="1" t="s">
        <v>2</v>
      </c>
      <c r="B31" s="461">
        <v>0.48154030775030954</v>
      </c>
    </row>
    <row r="32" spans="1:9" x14ac:dyDescent="0.2">
      <c r="A32" s="1" t="s">
        <v>4</v>
      </c>
      <c r="B32" s="461">
        <v>0</v>
      </c>
    </row>
    <row r="33" spans="1:10" x14ac:dyDescent="0.2">
      <c r="A33" s="1" t="s">
        <v>3</v>
      </c>
      <c r="B33" s="461">
        <v>1</v>
      </c>
    </row>
    <row r="34" spans="1:10" x14ac:dyDescent="0.2">
      <c r="A34" s="1" t="s">
        <v>45</v>
      </c>
      <c r="B34" s="22">
        <f>SQRT(SUMSQ(G42:G53)/COUNT(G42:G53))</f>
        <v>74536.242878642035</v>
      </c>
    </row>
    <row r="35" spans="1:10" x14ac:dyDescent="0.2">
      <c r="A35" s="1" t="s">
        <v>425</v>
      </c>
      <c r="B35" s="460">
        <f>(SUM(ABS(G46)/B46,ABS(G47)/B47,ABS(G48)/B48,ABS(G49)/B49))/4</f>
        <v>5.8030701018923832E-2</v>
      </c>
    </row>
    <row r="37" spans="1:10" ht="17" thickBot="1" x14ac:dyDescent="0.25">
      <c r="A37" s="2" t="s">
        <v>5</v>
      </c>
      <c r="B37" s="2" t="s">
        <v>46</v>
      </c>
      <c r="C37" s="2" t="s">
        <v>6</v>
      </c>
      <c r="D37" s="2" t="s">
        <v>7</v>
      </c>
      <c r="E37" s="2" t="s">
        <v>8</v>
      </c>
      <c r="F37" s="2" t="s">
        <v>9</v>
      </c>
      <c r="G37" s="2" t="s">
        <v>10</v>
      </c>
      <c r="H37" s="61"/>
    </row>
    <row r="38" spans="1:10" x14ac:dyDescent="0.2">
      <c r="A38" s="37" t="s">
        <v>27</v>
      </c>
      <c r="B38" s="38">
        <v>720554</v>
      </c>
      <c r="C38" s="39"/>
      <c r="D38" s="30"/>
      <c r="E38" s="40"/>
      <c r="F38" s="30"/>
      <c r="G38" s="31"/>
      <c r="H38" s="61"/>
    </row>
    <row r="39" spans="1:10" x14ac:dyDescent="0.2">
      <c r="A39" s="41" t="s">
        <v>26</v>
      </c>
      <c r="B39" s="33">
        <v>1260207</v>
      </c>
      <c r="C39" s="17"/>
      <c r="D39" s="18"/>
      <c r="E39" s="21"/>
      <c r="F39" s="18"/>
      <c r="G39" s="42"/>
      <c r="H39" s="61"/>
    </row>
    <row r="40" spans="1:10" x14ac:dyDescent="0.2">
      <c r="A40" s="41" t="s">
        <v>28</v>
      </c>
      <c r="B40" s="33">
        <v>370983</v>
      </c>
      <c r="C40" s="17"/>
      <c r="D40" s="18"/>
      <c r="E40" s="21"/>
      <c r="F40" s="18"/>
      <c r="G40" s="42"/>
      <c r="H40" s="61"/>
      <c r="J40" t="s">
        <v>262</v>
      </c>
    </row>
    <row r="41" spans="1:10" ht="17" thickBot="1" x14ac:dyDescent="0.25">
      <c r="A41" s="43" t="s">
        <v>29</v>
      </c>
      <c r="B41" s="34">
        <v>1026082</v>
      </c>
      <c r="C41" s="26"/>
      <c r="D41" s="27"/>
      <c r="E41" s="28"/>
      <c r="F41" s="27"/>
      <c r="G41" s="44"/>
      <c r="H41" s="61"/>
      <c r="J41" t="s">
        <v>263</v>
      </c>
    </row>
    <row r="42" spans="1:10" x14ac:dyDescent="0.2">
      <c r="A42" s="74" t="s">
        <v>33</v>
      </c>
      <c r="B42" s="75">
        <v>742863</v>
      </c>
      <c r="C42" s="76"/>
      <c r="D42" s="77"/>
      <c r="E42" s="78">
        <f>AVERAGE(B38/AVERAGE($B$38:$B$41),B42/AVERAGE($B$42:$B$45))</f>
        <v>0.85787517513076983</v>
      </c>
      <c r="F42" s="30"/>
      <c r="G42" s="31"/>
      <c r="J42" t="s">
        <v>264</v>
      </c>
    </row>
    <row r="43" spans="1:10" x14ac:dyDescent="0.2">
      <c r="A43" s="79" t="s">
        <v>36</v>
      </c>
      <c r="B43" s="80">
        <v>1397883</v>
      </c>
      <c r="C43" s="81"/>
      <c r="D43" s="82"/>
      <c r="E43" s="88">
        <f t="shared" ref="E43:E45" si="0">AVERAGE(B39/AVERAGE($B$38:$B$41),B43/AVERAGE($B$42:$B$45))</f>
        <v>1.557645935853079</v>
      </c>
      <c r="F43" s="82"/>
      <c r="G43" s="83"/>
      <c r="J43" t="s">
        <v>265</v>
      </c>
    </row>
    <row r="44" spans="1:10" x14ac:dyDescent="0.2">
      <c r="A44" s="79" t="s">
        <v>37</v>
      </c>
      <c r="B44" s="80">
        <v>374833</v>
      </c>
      <c r="C44" s="81"/>
      <c r="D44" s="82"/>
      <c r="E44" s="88">
        <f t="shared" si="0"/>
        <v>0.43725117185160522</v>
      </c>
      <c r="F44" s="82"/>
      <c r="G44" s="83"/>
      <c r="J44" t="s">
        <v>272</v>
      </c>
    </row>
    <row r="45" spans="1:10" ht="17" thickBot="1" x14ac:dyDescent="0.25">
      <c r="A45" s="84" t="s">
        <v>30</v>
      </c>
      <c r="B45" s="85">
        <v>929683</v>
      </c>
      <c r="C45" s="86">
        <f>AVERAGE(B42:B45)+C17/2*D45</f>
        <v>869745</v>
      </c>
      <c r="D45" s="87">
        <f>(AVERAGE(B42:B45)-AVERAGE(B38:B41))/4</f>
        <v>4214.75</v>
      </c>
      <c r="E45" s="91">
        <f t="shared" si="0"/>
        <v>1.1472277171645462</v>
      </c>
      <c r="F45" s="87"/>
      <c r="G45" s="92"/>
      <c r="J45" t="s">
        <v>268</v>
      </c>
    </row>
    <row r="46" spans="1:10" x14ac:dyDescent="0.2">
      <c r="A46" s="53" t="s">
        <v>38</v>
      </c>
      <c r="B46" s="54">
        <v>746153</v>
      </c>
      <c r="C46" s="326">
        <f>$B$31*B46/E42+(1-$B$31)*(C45+D45)</f>
        <v>871941.60405701166</v>
      </c>
      <c r="D46" s="326">
        <f>$B$33*(C46-C45)+(1-$B$33)*D45</f>
        <v>2196.6040570116602</v>
      </c>
      <c r="E46" s="327">
        <f>$B$32*B46/C46+(1-$B$32)*E42</f>
        <v>0.85787517513076983</v>
      </c>
      <c r="F46" s="55">
        <f>(C45+D45)*E42</f>
        <v>749748.37358849379</v>
      </c>
      <c r="G46" s="57">
        <f>B46-F46</f>
        <v>-3595.3735884937923</v>
      </c>
      <c r="J46" t="s">
        <v>269</v>
      </c>
    </row>
    <row r="47" spans="1:10" ht="16" customHeight="1" x14ac:dyDescent="0.2">
      <c r="A47" s="72" t="s">
        <v>34</v>
      </c>
      <c r="B47" s="49">
        <v>1470072</v>
      </c>
      <c r="C47" s="50">
        <f t="shared" ref="C47:C50" si="1">$B$31*B47/E43+(1-$B$31)*(C46+D46)</f>
        <v>907672.58542673546</v>
      </c>
      <c r="D47" s="50">
        <f t="shared" ref="D47:D50" si="2">$B$33*(C47-C46)+(1-$B$33)*D46</f>
        <v>35730.981369723799</v>
      </c>
      <c r="E47" s="51">
        <f t="shared" ref="E47:E50" si="3">$B$32*B47/C47+(1-$B$32)*E43</f>
        <v>1.557645935853079</v>
      </c>
      <c r="F47" s="48">
        <f t="shared" ref="F47:F49" si="4">(C46+D46)*E43</f>
        <v>1361597.8272427013</v>
      </c>
      <c r="G47" s="73">
        <f t="shared" ref="G47:G50" si="5">B47-F47</f>
        <v>108474.17275729869</v>
      </c>
      <c r="J47" t="s">
        <v>270</v>
      </c>
    </row>
    <row r="48" spans="1:10" ht="16" customHeight="1" x14ac:dyDescent="0.2">
      <c r="A48" s="72" t="s">
        <v>40</v>
      </c>
      <c r="B48" s="334">
        <f>782055/2</f>
        <v>391027.5</v>
      </c>
      <c r="C48" s="50">
        <f t="shared" si="1"/>
        <v>919751.36681692395</v>
      </c>
      <c r="D48" s="50">
        <f t="shared" si="2"/>
        <v>12078.781390188495</v>
      </c>
      <c r="E48" s="51">
        <f t="shared" si="3"/>
        <v>0.43725117185160522</v>
      </c>
      <c r="F48" s="48">
        <f t="shared" si="4"/>
        <v>412504.31511073594</v>
      </c>
      <c r="G48" s="73">
        <f t="shared" si="5"/>
        <v>-21476.815110735944</v>
      </c>
      <c r="J48" t="s">
        <v>271</v>
      </c>
    </row>
    <row r="49" spans="1:8" ht="17" thickBot="1" x14ac:dyDescent="0.25">
      <c r="A49" s="435" t="s">
        <v>31</v>
      </c>
      <c r="B49" s="436">
        <v>1185946</v>
      </c>
      <c r="C49" s="437">
        <f t="shared" si="1"/>
        <v>980908.39107341378</v>
      </c>
      <c r="D49" s="437">
        <f t="shared" si="2"/>
        <v>61157.024256489822</v>
      </c>
      <c r="E49" s="438">
        <f t="shared" si="3"/>
        <v>1.1472277171645462</v>
      </c>
      <c r="F49" s="434">
        <f t="shared" si="4"/>
        <v>1069021.3737127464</v>
      </c>
      <c r="G49" s="439">
        <f t="shared" si="5"/>
        <v>116924.62628725357</v>
      </c>
    </row>
    <row r="50" spans="1:8" x14ac:dyDescent="0.2">
      <c r="A50" s="53" t="s">
        <v>41</v>
      </c>
      <c r="B50" s="54">
        <v>937160</v>
      </c>
      <c r="C50" s="437">
        <f t="shared" si="1"/>
        <v>1066313.1781929811</v>
      </c>
      <c r="D50" s="437">
        <f t="shared" si="2"/>
        <v>85404.787119567278</v>
      </c>
      <c r="E50" s="438">
        <f t="shared" si="3"/>
        <v>0.85787517513076983</v>
      </c>
      <c r="F50" s="55">
        <f>($C$49+$D$49)*E46</f>
        <v>893962.05067385943</v>
      </c>
      <c r="G50" s="57">
        <f t="shared" si="5"/>
        <v>43197.949326140573</v>
      </c>
      <c r="H50" s="71" t="s">
        <v>25</v>
      </c>
    </row>
    <row r="51" spans="1:8" x14ac:dyDescent="0.2">
      <c r="A51" s="36" t="s">
        <v>39</v>
      </c>
      <c r="B51" s="35"/>
      <c r="C51" s="19"/>
      <c r="D51" s="20"/>
      <c r="E51" s="25"/>
      <c r="F51" s="50">
        <f>($C$50+H51*$D$50)*E47</f>
        <v>1793968.8079180685</v>
      </c>
      <c r="G51" s="73"/>
      <c r="H51" s="89">
        <v>1</v>
      </c>
    </row>
    <row r="52" spans="1:8" x14ac:dyDescent="0.2">
      <c r="A52" s="36" t="s">
        <v>35</v>
      </c>
      <c r="B52" s="35"/>
      <c r="C52" s="19"/>
      <c r="D52" s="20"/>
      <c r="E52" s="25"/>
      <c r="F52" s="50">
        <f t="shared" ref="F52" si="6">($C$50+H52*$D$50)*E48</f>
        <v>540933.37322522583</v>
      </c>
      <c r="G52" s="73"/>
      <c r="H52" s="89">
        <v>2</v>
      </c>
    </row>
    <row r="53" spans="1:8" ht="17" thickBot="1" x14ac:dyDescent="0.25">
      <c r="A53" s="45" t="s">
        <v>32</v>
      </c>
      <c r="B53" s="46"/>
      <c r="C53" s="29"/>
      <c r="D53" s="47"/>
      <c r="E53" s="32"/>
      <c r="F53" s="50">
        <f>($C$50+H53*$D$50)*E49</f>
        <v>1517240.250087121</v>
      </c>
      <c r="G53" s="95"/>
      <c r="H53" s="89">
        <v>3</v>
      </c>
    </row>
    <row r="54" spans="1:8" x14ac:dyDescent="0.2">
      <c r="H54" s="89">
        <v>4</v>
      </c>
    </row>
    <row r="55" spans="1:8" x14ac:dyDescent="0.2">
      <c r="H55" s="90">
        <v>5</v>
      </c>
    </row>
    <row r="56" spans="1:8" x14ac:dyDescent="0.2">
      <c r="H56" s="89">
        <v>6</v>
      </c>
    </row>
    <row r="57" spans="1:8" x14ac:dyDescent="0.2">
      <c r="H57" s="90">
        <v>7</v>
      </c>
    </row>
    <row r="58" spans="1:8" ht="17" thickBot="1" x14ac:dyDescent="0.25">
      <c r="H58" s="94">
        <v>8</v>
      </c>
    </row>
    <row r="79" spans="1:7" x14ac:dyDescent="0.2">
      <c r="A79" s="62"/>
      <c r="B79" s="63"/>
      <c r="C79" s="64"/>
      <c r="D79" s="64"/>
      <c r="E79" s="65"/>
      <c r="F79" s="66"/>
      <c r="G79" s="64"/>
    </row>
    <row r="80" spans="1:7" x14ac:dyDescent="0.2">
      <c r="A80" s="62"/>
      <c r="B80" s="63"/>
      <c r="C80" s="64"/>
      <c r="D80" s="64"/>
      <c r="E80" s="65"/>
      <c r="F80" s="66"/>
      <c r="G80" s="64"/>
    </row>
    <row r="81" spans="1:15" x14ac:dyDescent="0.2">
      <c r="A81" s="62"/>
      <c r="B81" s="63"/>
      <c r="C81" s="64"/>
      <c r="D81" s="64"/>
      <c r="E81" s="65"/>
      <c r="F81" s="66"/>
      <c r="G81" s="64"/>
    </row>
    <row r="82" spans="1:15" x14ac:dyDescent="0.2">
      <c r="A82" s="62"/>
      <c r="B82" s="63"/>
      <c r="C82" s="64"/>
      <c r="D82" s="64"/>
      <c r="E82" s="65"/>
      <c r="F82" s="66"/>
      <c r="G82" s="64"/>
    </row>
    <row r="83" spans="1:15" x14ac:dyDescent="0.2">
      <c r="A83" s="62"/>
      <c r="B83" s="63"/>
      <c r="C83" s="64"/>
      <c r="D83" s="64"/>
      <c r="E83" s="65"/>
      <c r="F83" s="66"/>
      <c r="G83" s="64"/>
    </row>
    <row r="84" spans="1:15" x14ac:dyDescent="0.2">
      <c r="A84" s="62"/>
      <c r="B84" s="63"/>
      <c r="C84" s="64"/>
      <c r="D84" s="64"/>
      <c r="E84" s="65"/>
      <c r="F84" s="66"/>
      <c r="G84" s="64"/>
    </row>
    <row r="85" spans="1:15" x14ac:dyDescent="0.2">
      <c r="A85" s="62"/>
      <c r="B85" s="63"/>
      <c r="C85" s="64"/>
      <c r="D85" s="64"/>
      <c r="E85" s="65"/>
      <c r="F85" s="66"/>
      <c r="G85" s="64"/>
    </row>
    <row r="86" spans="1:15" x14ac:dyDescent="0.2">
      <c r="A86" s="62"/>
      <c r="B86" s="63"/>
      <c r="C86" s="64"/>
      <c r="D86" s="64"/>
      <c r="E86" s="65"/>
      <c r="F86" s="66"/>
      <c r="G86" s="64"/>
    </row>
    <row r="87" spans="1:15" x14ac:dyDescent="0.2">
      <c r="A87" s="62"/>
      <c r="B87" s="67"/>
      <c r="C87" s="64"/>
      <c r="D87" s="64"/>
      <c r="E87" s="65"/>
      <c r="F87" s="66"/>
      <c r="G87" s="64"/>
    </row>
    <row r="88" spans="1:15" x14ac:dyDescent="0.2">
      <c r="A88" s="62"/>
      <c r="B88" s="67"/>
      <c r="C88" s="64"/>
      <c r="D88" s="64"/>
      <c r="E88" s="65"/>
      <c r="F88" s="66"/>
      <c r="G88" s="64"/>
    </row>
    <row r="89" spans="1:15" x14ac:dyDescent="0.2">
      <c r="A89" s="62"/>
      <c r="B89" s="67"/>
      <c r="C89" s="64"/>
      <c r="D89" s="64"/>
      <c r="E89" s="65"/>
      <c r="F89" s="66"/>
      <c r="G89" s="64"/>
    </row>
    <row r="90" spans="1:15" x14ac:dyDescent="0.2">
      <c r="A90" s="62"/>
      <c r="B90" s="68"/>
      <c r="C90" s="64"/>
      <c r="D90" s="64"/>
      <c r="E90" s="65"/>
      <c r="F90" s="66"/>
      <c r="G90" s="64"/>
    </row>
    <row r="91" spans="1:15" x14ac:dyDescent="0.2">
      <c r="A91" s="62"/>
      <c r="B91" s="68"/>
      <c r="C91" s="64"/>
      <c r="D91" s="64"/>
      <c r="E91" s="65"/>
      <c r="F91" s="66"/>
      <c r="G91" s="64"/>
      <c r="I91" s="23"/>
      <c r="J91" s="23"/>
      <c r="K91" s="23"/>
      <c r="L91" s="23"/>
      <c r="M91" s="23"/>
      <c r="N91" s="23"/>
      <c r="O91" s="23"/>
    </row>
    <row r="92" spans="1:15" x14ac:dyDescent="0.2">
      <c r="A92" s="62"/>
      <c r="B92" s="68"/>
      <c r="C92" s="64"/>
      <c r="D92" s="64"/>
      <c r="E92" s="65"/>
      <c r="F92" s="66"/>
      <c r="G92" s="64"/>
      <c r="I92" s="23"/>
      <c r="J92" s="23"/>
      <c r="K92" s="23"/>
      <c r="L92" s="23"/>
      <c r="M92" s="23"/>
      <c r="N92" s="23"/>
      <c r="O92" s="23"/>
    </row>
    <row r="93" spans="1:15" x14ac:dyDescent="0.2">
      <c r="A93" s="62"/>
      <c r="B93" s="69"/>
      <c r="C93" s="64"/>
      <c r="D93" s="64"/>
      <c r="E93" s="65"/>
      <c r="F93" s="66"/>
      <c r="G93" s="64"/>
      <c r="I93" s="23"/>
      <c r="J93" s="23"/>
      <c r="K93" s="23"/>
      <c r="L93" s="23"/>
      <c r="M93" s="23"/>
      <c r="N93" s="23"/>
      <c r="O93" s="23"/>
    </row>
    <row r="94" spans="1:15" x14ac:dyDescent="0.2">
      <c r="A94" s="62"/>
      <c r="B94" s="69"/>
      <c r="C94" s="64"/>
      <c r="D94" s="64"/>
      <c r="E94" s="65"/>
      <c r="F94" s="66"/>
      <c r="G94" s="64"/>
      <c r="I94" s="23"/>
      <c r="J94" s="23"/>
      <c r="K94" s="23"/>
      <c r="L94" s="23"/>
      <c r="M94" s="23"/>
      <c r="N94" s="23"/>
      <c r="O94" s="23"/>
    </row>
    <row r="95" spans="1:15" x14ac:dyDescent="0.2">
      <c r="A95" s="62"/>
      <c r="B95" s="69"/>
      <c r="C95" s="64"/>
      <c r="D95" s="64"/>
      <c r="E95" s="65"/>
      <c r="F95" s="66"/>
      <c r="G95" s="64"/>
      <c r="I95" s="23"/>
      <c r="J95" s="23"/>
      <c r="K95" s="23"/>
      <c r="L95" s="23"/>
      <c r="M95" s="23"/>
      <c r="N95" s="23"/>
      <c r="O95" s="23"/>
    </row>
    <row r="96" spans="1:15" x14ac:dyDescent="0.2">
      <c r="A96" s="62"/>
      <c r="B96" s="69"/>
      <c r="C96" s="64"/>
      <c r="D96" s="64"/>
      <c r="E96" s="65"/>
      <c r="F96" s="66"/>
      <c r="G96" s="64"/>
      <c r="I96" s="24"/>
      <c r="J96" s="24"/>
      <c r="K96" s="24"/>
      <c r="L96" s="24"/>
      <c r="M96" s="24"/>
      <c r="N96" s="24"/>
      <c r="O96" s="24"/>
    </row>
    <row r="97" spans="1:15" x14ac:dyDescent="0.2">
      <c r="A97" s="62"/>
      <c r="B97" s="69"/>
      <c r="C97" s="64"/>
      <c r="D97" s="64"/>
      <c r="E97" s="65"/>
      <c r="F97" s="66"/>
      <c r="G97" s="64"/>
      <c r="I97" s="23"/>
      <c r="J97" s="23"/>
      <c r="K97" s="23"/>
      <c r="L97" s="23"/>
      <c r="M97" s="23"/>
      <c r="N97" s="23"/>
      <c r="O97" s="23"/>
    </row>
    <row r="98" spans="1:15" x14ac:dyDescent="0.2">
      <c r="A98" s="62"/>
      <c r="B98" s="70"/>
      <c r="C98" s="64"/>
      <c r="D98" s="64"/>
      <c r="E98" s="65"/>
      <c r="F98" s="66"/>
      <c r="G98" s="64"/>
      <c r="I98" s="23"/>
      <c r="J98" s="23"/>
      <c r="K98" s="23"/>
      <c r="L98" s="23"/>
      <c r="M98" s="23"/>
      <c r="N98" s="23"/>
      <c r="O98" s="23"/>
    </row>
    <row r="99" spans="1:15" x14ac:dyDescent="0.2">
      <c r="A99" s="23"/>
      <c r="B99" s="24"/>
      <c r="C99" s="23"/>
      <c r="D99" s="23"/>
      <c r="E99" s="23"/>
      <c r="F99" s="23"/>
      <c r="G99" s="23"/>
      <c r="H99" s="23"/>
      <c r="I99" s="23"/>
      <c r="J99" s="23"/>
      <c r="K99" s="23"/>
      <c r="L99" s="23"/>
      <c r="M99" s="23"/>
      <c r="N99" s="23"/>
      <c r="O99" s="23"/>
    </row>
    <row r="100" spans="1:15" x14ac:dyDescent="0.2">
      <c r="A100" s="23"/>
      <c r="B100" s="24"/>
      <c r="C100" s="23"/>
      <c r="D100" s="23"/>
      <c r="E100" s="23"/>
      <c r="F100" s="23"/>
      <c r="G100" s="23"/>
      <c r="H100" s="23"/>
      <c r="I100" s="23"/>
      <c r="J100" s="23"/>
      <c r="K100" s="23"/>
      <c r="L100" s="23"/>
      <c r="M100" s="23"/>
      <c r="N100" s="23"/>
      <c r="O100" s="23"/>
    </row>
    <row r="101" spans="1:15" x14ac:dyDescent="0.2">
      <c r="A101" s="23"/>
      <c r="B101" s="24"/>
      <c r="C101" s="23"/>
      <c r="D101" s="23"/>
      <c r="E101" s="23"/>
      <c r="F101" s="23"/>
      <c r="G101" s="23"/>
      <c r="H101" s="23"/>
      <c r="I101" s="23"/>
      <c r="J101" s="23"/>
      <c r="K101" s="23"/>
      <c r="L101" s="23"/>
      <c r="M101" s="23"/>
      <c r="N101" s="23"/>
      <c r="O101" s="23"/>
    </row>
    <row r="102" spans="1:15" x14ac:dyDescent="0.2">
      <c r="A102" s="23"/>
      <c r="B102" s="24"/>
      <c r="C102" s="23"/>
      <c r="D102" s="23"/>
      <c r="E102" s="23"/>
      <c r="F102" s="23"/>
      <c r="G102" s="23"/>
      <c r="H102" s="23"/>
      <c r="I102" s="23"/>
      <c r="J102" s="23"/>
      <c r="K102" s="23"/>
      <c r="L102" s="23"/>
      <c r="M102" s="23"/>
      <c r="N102" s="23"/>
      <c r="O102" s="23"/>
    </row>
    <row r="103" spans="1:15" x14ac:dyDescent="0.2">
      <c r="A103" s="23"/>
      <c r="B103" s="24"/>
      <c r="C103" s="23"/>
      <c r="D103" s="23"/>
      <c r="E103" s="23"/>
      <c r="F103" s="23"/>
      <c r="G103" s="23"/>
      <c r="H103" s="23"/>
      <c r="I103" s="23"/>
      <c r="J103" s="23"/>
      <c r="K103" s="23"/>
      <c r="L103" s="23"/>
      <c r="M103" s="23"/>
      <c r="N103" s="23"/>
      <c r="O103" s="23"/>
    </row>
    <row r="104" spans="1:15" x14ac:dyDescent="0.2">
      <c r="A104" s="23"/>
      <c r="B104" s="24"/>
      <c r="C104" s="23"/>
      <c r="D104" s="23"/>
      <c r="E104" s="23"/>
      <c r="F104" s="23"/>
      <c r="G104" s="23"/>
      <c r="H104" s="23"/>
      <c r="I104" s="23"/>
      <c r="J104" s="23"/>
      <c r="K104" s="23"/>
      <c r="L104" s="23"/>
      <c r="M104" s="23"/>
      <c r="N104" s="23"/>
      <c r="O104" s="23"/>
    </row>
    <row r="105" spans="1:15" x14ac:dyDescent="0.2">
      <c r="A105" s="23"/>
      <c r="B105" s="24"/>
      <c r="C105" s="23"/>
      <c r="D105" s="23"/>
      <c r="E105" s="23"/>
      <c r="F105" s="23"/>
      <c r="G105" s="23"/>
      <c r="H105" s="23"/>
      <c r="I105" s="23"/>
      <c r="J105" s="23"/>
      <c r="K105" s="23"/>
      <c r="L105" s="23"/>
      <c r="M105" s="23"/>
      <c r="N105" s="23"/>
      <c r="O105" s="23"/>
    </row>
    <row r="106" spans="1:15" x14ac:dyDescent="0.2">
      <c r="A106" s="23"/>
      <c r="B106" s="24"/>
      <c r="C106" s="23"/>
      <c r="D106" s="23"/>
      <c r="E106" s="23"/>
      <c r="F106" s="23"/>
      <c r="G106" s="23"/>
      <c r="H106" s="23"/>
      <c r="I106" s="23"/>
      <c r="J106" s="23"/>
      <c r="K106" s="23"/>
      <c r="L106" s="23"/>
      <c r="M106" s="23"/>
      <c r="N106" s="23"/>
      <c r="O106" s="23"/>
    </row>
    <row r="107" spans="1:15" x14ac:dyDescent="0.2">
      <c r="A107" s="23"/>
      <c r="B107" s="24"/>
      <c r="C107" s="23"/>
      <c r="D107" s="23"/>
      <c r="E107" s="23"/>
      <c r="F107" s="23"/>
      <c r="G107" s="23"/>
      <c r="H107" s="23"/>
      <c r="I107" s="23"/>
      <c r="J107" s="23"/>
      <c r="K107" s="23"/>
      <c r="L107" s="23"/>
      <c r="M107" s="23"/>
      <c r="N107" s="23"/>
      <c r="O107" s="23"/>
    </row>
    <row r="108" spans="1:15" x14ac:dyDescent="0.2">
      <c r="A108" s="23"/>
      <c r="B108" s="24"/>
      <c r="C108" s="23"/>
      <c r="D108" s="23"/>
      <c r="E108" s="23"/>
      <c r="F108" s="23"/>
      <c r="G108" s="23"/>
      <c r="H108" s="23"/>
      <c r="I108" s="23"/>
      <c r="J108" s="23"/>
      <c r="K108" s="23"/>
      <c r="L108" s="23"/>
      <c r="M108" s="23"/>
      <c r="N108" s="23"/>
      <c r="O108" s="23"/>
    </row>
    <row r="109" spans="1:15" x14ac:dyDescent="0.2">
      <c r="A109" s="23"/>
      <c r="B109" s="24"/>
      <c r="C109" s="23"/>
      <c r="D109" s="23"/>
      <c r="E109" s="23"/>
      <c r="F109" s="23"/>
      <c r="G109" s="23"/>
      <c r="H109" s="23"/>
      <c r="I109" s="23"/>
      <c r="J109" s="23"/>
      <c r="K109" s="23"/>
      <c r="L109" s="23"/>
      <c r="M109" s="23"/>
      <c r="N109" s="23"/>
      <c r="O109" s="23"/>
    </row>
    <row r="110" spans="1:15" x14ac:dyDescent="0.2">
      <c r="A110" s="23"/>
      <c r="B110" s="24"/>
      <c r="C110" s="23"/>
      <c r="D110" s="23"/>
      <c r="E110" s="23"/>
      <c r="F110" s="23"/>
      <c r="G110" s="23"/>
      <c r="H110" s="23"/>
      <c r="I110" s="23"/>
      <c r="J110" s="23"/>
      <c r="K110" s="23"/>
      <c r="L110" s="23"/>
      <c r="M110" s="23"/>
      <c r="N110" s="23"/>
      <c r="O110" s="23"/>
    </row>
    <row r="111" spans="1:15" x14ac:dyDescent="0.2">
      <c r="A111" s="23"/>
      <c r="B111" s="24"/>
      <c r="C111" s="23"/>
      <c r="D111" s="23"/>
      <c r="E111" s="23"/>
      <c r="F111" s="23"/>
      <c r="G111" s="23"/>
      <c r="H111" s="23"/>
      <c r="I111" s="23"/>
      <c r="J111" s="23"/>
      <c r="K111" s="23"/>
      <c r="L111" s="23"/>
      <c r="M111" s="23"/>
      <c r="N111" s="23"/>
      <c r="O111" s="23"/>
    </row>
    <row r="112" spans="1:15" x14ac:dyDescent="0.2">
      <c r="A112" s="23"/>
      <c r="B112" s="24"/>
      <c r="C112" s="23"/>
      <c r="D112" s="23"/>
      <c r="E112" s="23"/>
      <c r="F112" s="23"/>
      <c r="G112" s="23"/>
      <c r="H112" s="23"/>
      <c r="I112" s="23"/>
      <c r="J112" s="23"/>
      <c r="K112" s="23"/>
      <c r="L112" s="23"/>
      <c r="M112" s="23"/>
      <c r="N112" s="23"/>
      <c r="O112" s="23"/>
    </row>
    <row r="113" spans="1:15" x14ac:dyDescent="0.2">
      <c r="A113" s="23"/>
      <c r="B113" s="23"/>
      <c r="C113" s="23"/>
      <c r="D113" s="23"/>
      <c r="E113" s="23"/>
      <c r="F113" s="23"/>
      <c r="G113" s="23"/>
      <c r="H113" s="23"/>
      <c r="I113" s="23"/>
      <c r="J113" s="23"/>
      <c r="K113" s="23"/>
      <c r="L113" s="23"/>
      <c r="M113" s="23"/>
      <c r="N113" s="23"/>
      <c r="O113" s="23"/>
    </row>
    <row r="114" spans="1:15" x14ac:dyDescent="0.2">
      <c r="A114" s="23"/>
      <c r="B114" s="23"/>
      <c r="C114" s="23"/>
      <c r="D114" s="23"/>
      <c r="E114" s="23"/>
      <c r="F114" s="23"/>
      <c r="G114" s="23"/>
      <c r="H114" s="23"/>
      <c r="I114" s="23"/>
      <c r="J114" s="23"/>
      <c r="K114" s="23"/>
      <c r="L114" s="23"/>
      <c r="M114" s="23"/>
      <c r="N114" s="23"/>
      <c r="O114" s="23"/>
    </row>
    <row r="115" spans="1:15" x14ac:dyDescent="0.2">
      <c r="A115" s="23"/>
      <c r="B115" s="23"/>
      <c r="C115" s="23"/>
      <c r="D115" s="23"/>
      <c r="E115" s="23"/>
      <c r="F115" s="23"/>
      <c r="G115" s="23"/>
      <c r="H115" s="23"/>
      <c r="I115" s="23"/>
      <c r="J115" s="23"/>
      <c r="K115" s="23"/>
      <c r="L115" s="23"/>
      <c r="M115" s="23"/>
      <c r="N115" s="23"/>
      <c r="O115" s="23"/>
    </row>
  </sheetData>
  <mergeCells count="11">
    <mergeCell ref="A1:H2"/>
    <mergeCell ref="A4:C5"/>
    <mergeCell ref="A7:B7"/>
    <mergeCell ref="A16:B16"/>
    <mergeCell ref="A17:B17"/>
    <mergeCell ref="E9:F10"/>
    <mergeCell ref="A23:B24"/>
    <mergeCell ref="C23:C24"/>
    <mergeCell ref="A28:B29"/>
    <mergeCell ref="C29:E29"/>
    <mergeCell ref="A18:B18"/>
  </mergeCells>
  <conditionalFormatting sqref="C16">
    <cfRule type="containsText" dxfId="15" priority="5" operator="containsText" text="FALSO">
      <formula>NOT(ISERROR(SEARCH("FALSO",C16)))</formula>
    </cfRule>
    <cfRule type="containsText" dxfId="14" priority="6" operator="containsText" text="VERO">
      <formula>NOT(ISERROR(SEARCH("VERO",C16)))</formula>
    </cfRule>
  </conditionalFormatting>
  <conditionalFormatting sqref="F24">
    <cfRule type="containsText" dxfId="13" priority="3" operator="containsText" text="FALSO">
      <formula>NOT(ISERROR(SEARCH("FALSO",F24)))</formula>
    </cfRule>
    <cfRule type="containsText" dxfId="12" priority="4" operator="containsText" text="VERO">
      <formula>NOT(ISERROR(SEARCH("VERO",F24)))</formula>
    </cfRule>
  </conditionalFormatting>
  <conditionalFormatting sqref="C23:C24">
    <cfRule type="containsText" dxfId="11" priority="1" operator="containsText" text="FALSO">
      <formula>NOT(ISERROR(SEARCH("FALSO",C23)))</formula>
    </cfRule>
    <cfRule type="containsText" dxfId="10" priority="2" operator="containsText" text="VERO">
      <formula>NOT(ISERROR(SEARCH("VERO",C23)))</formula>
    </cfRule>
  </conditionalFormatting>
  <conditionalFormatting sqref="B10:B13">
    <cfRule type="cellIs" dxfId="9" priority="7" operator="equal">
      <formula>$C$18</formula>
    </cfRule>
  </conditionalFormatting>
  <conditionalFormatting sqref="A10:A13">
    <cfRule type="cellIs" dxfId="8" priority="8" operator="equal">
      <formula>$C$17</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28041-D570-B545-9138-EA9A7EC490E9}">
  <dimension ref="A1:O115"/>
  <sheetViews>
    <sheetView topLeftCell="A33" zoomScale="140" workbookViewId="0">
      <selection activeCell="F54" sqref="F54"/>
    </sheetView>
  </sheetViews>
  <sheetFormatPr baseColWidth="10" defaultRowHeight="16" x14ac:dyDescent="0.2"/>
  <cols>
    <col min="3" max="5" width="11" bestFit="1" customWidth="1"/>
    <col min="6" max="6" width="12.83203125" bestFit="1" customWidth="1"/>
    <col min="7" max="7" width="11" bestFit="1" customWidth="1"/>
  </cols>
  <sheetData>
    <row r="1" spans="1:9" x14ac:dyDescent="0.2">
      <c r="A1" s="510" t="s">
        <v>24</v>
      </c>
      <c r="B1" s="510"/>
      <c r="C1" s="510"/>
      <c r="D1" s="510"/>
      <c r="E1" s="510"/>
      <c r="F1" s="510"/>
      <c r="G1" s="510"/>
      <c r="H1" s="510"/>
    </row>
    <row r="2" spans="1:9" x14ac:dyDescent="0.2">
      <c r="A2" s="510"/>
      <c r="B2" s="510"/>
      <c r="C2" s="510"/>
      <c r="D2" s="510"/>
      <c r="E2" s="510"/>
      <c r="F2" s="510"/>
      <c r="G2" s="510"/>
      <c r="H2" s="510"/>
    </row>
    <row r="3" spans="1:9" ht="17" thickBot="1" x14ac:dyDescent="0.25"/>
    <row r="4" spans="1:9" ht="17" thickTop="1" x14ac:dyDescent="0.2">
      <c r="A4" s="511" t="s">
        <v>0</v>
      </c>
      <c r="B4" s="512"/>
      <c r="C4" s="513"/>
    </row>
    <row r="5" spans="1:9" ht="17" thickBot="1" x14ac:dyDescent="0.25">
      <c r="A5" s="514"/>
      <c r="B5" s="515"/>
      <c r="C5" s="516"/>
    </row>
    <row r="6" spans="1:9" ht="17" thickTop="1" x14ac:dyDescent="0.2"/>
    <row r="7" spans="1:9" x14ac:dyDescent="0.2">
      <c r="A7" s="521" t="s">
        <v>11</v>
      </c>
      <c r="B7" s="521"/>
      <c r="E7" s="13" t="s">
        <v>15</v>
      </c>
    </row>
    <row r="8" spans="1:9" ht="17" thickBot="1" x14ac:dyDescent="0.25"/>
    <row r="9" spans="1:9" ht="16" customHeight="1" x14ac:dyDescent="0.2">
      <c r="A9" s="6" t="s">
        <v>12</v>
      </c>
      <c r="B9" s="6" t="s">
        <v>13</v>
      </c>
      <c r="C9" s="3"/>
      <c r="D9" s="14"/>
      <c r="E9" s="506" t="s">
        <v>23</v>
      </c>
      <c r="F9" s="507"/>
      <c r="G9" s="314"/>
      <c r="H9" s="14"/>
      <c r="I9" s="14"/>
    </row>
    <row r="10" spans="1:9" ht="17" thickBot="1" x14ac:dyDescent="0.25">
      <c r="A10" s="4">
        <v>2</v>
      </c>
      <c r="B10" s="5">
        <f>CORREL(B38:B43,B40:B45)</f>
        <v>-0.91987409214139326</v>
      </c>
      <c r="C10" s="3"/>
      <c r="D10" s="14"/>
      <c r="E10" s="508"/>
      <c r="F10" s="509"/>
      <c r="G10" s="314"/>
      <c r="H10" s="14"/>
      <c r="I10" s="14"/>
    </row>
    <row r="11" spans="1:9" x14ac:dyDescent="0.2">
      <c r="A11" s="4">
        <v>3</v>
      </c>
      <c r="B11" s="5">
        <f>CORREL(B38:B42,B41:B45)</f>
        <v>-0.20422216831088882</v>
      </c>
      <c r="C11" s="3"/>
      <c r="D11" s="14"/>
      <c r="E11" s="307" t="s">
        <v>260</v>
      </c>
      <c r="F11" s="318" t="s">
        <v>261</v>
      </c>
      <c r="G11" s="310"/>
      <c r="H11" s="14"/>
      <c r="I11" s="14"/>
    </row>
    <row r="12" spans="1:9" x14ac:dyDescent="0.2">
      <c r="A12" s="4">
        <v>4</v>
      </c>
      <c r="B12" s="5">
        <f>CORREL(B38:B41,B42:B45)</f>
        <v>0.99538259080519342</v>
      </c>
      <c r="C12" s="3"/>
      <c r="D12" s="14"/>
      <c r="E12" s="316"/>
      <c r="F12" s="319"/>
      <c r="G12" s="310"/>
      <c r="H12" s="14"/>
      <c r="I12" s="14"/>
    </row>
    <row r="13" spans="1:9" x14ac:dyDescent="0.2">
      <c r="A13" s="93"/>
      <c r="B13" s="315"/>
      <c r="C13" s="3"/>
      <c r="D13" s="14"/>
      <c r="E13" s="316"/>
      <c r="F13" s="319"/>
      <c r="G13" s="310"/>
      <c r="H13" s="14"/>
      <c r="I13" s="14"/>
    </row>
    <row r="14" spans="1:9" x14ac:dyDescent="0.2">
      <c r="C14" s="3"/>
      <c r="D14" s="14"/>
      <c r="E14" s="304" t="s">
        <v>28</v>
      </c>
      <c r="F14" s="306">
        <f ca="1">IF(ISEVEN($C$17),0.5*(AVERAGE(OFFSET(B38,0,0,$C$17,1))+AVERAGE(OFFSET(B39,0,0,$C$17,1))),AVERAGE(OFFSET(B38,0,0,$C$17,1)))</f>
        <v>116615.625</v>
      </c>
      <c r="G14" s="312"/>
      <c r="H14" s="14"/>
      <c r="I14" s="14"/>
    </row>
    <row r="15" spans="1:9" ht="17" thickBot="1" x14ac:dyDescent="0.25">
      <c r="D15" s="14"/>
      <c r="E15" s="304" t="s">
        <v>29</v>
      </c>
      <c r="F15" s="306">
        <f ca="1">IF(ISEVEN($C$17),0.5*(AVERAGE(OFFSET(B39,0,0,$C$17,1))+AVERAGE(OFFSET(B40,0,0,$C$17,1))),AVERAGE(OFFSET(B39,0,0,$C$17,1)))</f>
        <v>116044</v>
      </c>
      <c r="G15" s="312"/>
      <c r="H15" s="14"/>
      <c r="I15" s="14"/>
    </row>
    <row r="16" spans="1:9" x14ac:dyDescent="0.2">
      <c r="A16" s="517" t="s">
        <v>14</v>
      </c>
      <c r="B16" s="518"/>
      <c r="C16" s="58" t="b">
        <f>OR(B10&gt;0.5,B11&gt;0.5,B12&gt;0.5)</f>
        <v>1</v>
      </c>
      <c r="D16" s="14"/>
      <c r="E16" s="304" t="s">
        <v>33</v>
      </c>
      <c r="F16" s="306">
        <f ca="1">IF(ISEVEN($C$17),0.5*(AVERAGE(OFFSET(B40,0,0,$C$17,1))+AVERAGE(OFFSET(B41,0,0,$C$17,1))),AVERAGE(OFFSET(B40,0,0,$C$17,1)))</f>
        <v>114990.125</v>
      </c>
      <c r="G16" s="312"/>
      <c r="H16" s="14"/>
      <c r="I16" s="14"/>
    </row>
    <row r="17" spans="1:9" x14ac:dyDescent="0.2">
      <c r="A17" s="519" t="s">
        <v>43</v>
      </c>
      <c r="B17" s="520"/>
      <c r="C17" s="60">
        <f>IF(C16,INDEX(A10:B13,MATCH(C18,B10:B13,0),1),NA())</f>
        <v>4</v>
      </c>
      <c r="D17" s="14"/>
      <c r="E17" s="304" t="s">
        <v>36</v>
      </c>
      <c r="F17" s="306">
        <f ca="1">IF(ISEVEN($C$17),0.5*(AVERAGE(OFFSET(B41,0,0,$C$17,1))+AVERAGE(OFFSET(B42,0,0,$C$17,1))),AVERAGE(OFFSET(B41,0,0,$C$17,1)))</f>
        <v>113422.125</v>
      </c>
      <c r="G17" s="312"/>
      <c r="H17" s="14"/>
      <c r="I17" s="14"/>
    </row>
    <row r="18" spans="1:9" ht="17" thickBot="1" x14ac:dyDescent="0.25">
      <c r="A18" s="528" t="s">
        <v>42</v>
      </c>
      <c r="B18" s="529"/>
      <c r="C18" s="59">
        <f>MAX(B10:B13)</f>
        <v>0.99538259080519342</v>
      </c>
      <c r="D18" s="14"/>
      <c r="E18" s="9"/>
      <c r="F18" s="536"/>
      <c r="G18" s="536"/>
      <c r="H18" s="14"/>
      <c r="I18" s="14"/>
    </row>
    <row r="19" spans="1:9" x14ac:dyDescent="0.2">
      <c r="D19" s="14"/>
      <c r="E19" s="9"/>
      <c r="F19" s="536"/>
      <c r="G19" s="536"/>
      <c r="H19" s="14"/>
      <c r="I19" s="14"/>
    </row>
    <row r="20" spans="1:9" x14ac:dyDescent="0.2">
      <c r="D20" s="14"/>
      <c r="H20" s="14"/>
      <c r="I20" s="14"/>
    </row>
    <row r="21" spans="1:9" x14ac:dyDescent="0.2">
      <c r="E21" s="10" t="s">
        <v>17</v>
      </c>
      <c r="F21" s="8" t="s">
        <v>20</v>
      </c>
    </row>
    <row r="22" spans="1:9" ht="17" thickBot="1" x14ac:dyDescent="0.25">
      <c r="E22" s="10" t="s">
        <v>18</v>
      </c>
      <c r="F22" s="16">
        <f ca="1">_xlfn.IFNA(INDEX(LINEST(OFFSET(F14,0,0,8-C17,1)),2),INDEX(LINEST(B38:B45),2))</f>
        <v>117926.5625</v>
      </c>
      <c r="G22" s="9"/>
    </row>
    <row r="23" spans="1:9" ht="17" thickBot="1" x14ac:dyDescent="0.25">
      <c r="A23" s="530" t="s">
        <v>22</v>
      </c>
      <c r="B23" s="531"/>
      <c r="C23" s="534" t="b">
        <f ca="1">OR(C16,F24)</f>
        <v>1</v>
      </c>
      <c r="E23" s="10" t="s">
        <v>19</v>
      </c>
      <c r="F23" s="16">
        <f ca="1">_xlfn.IFNA(INDEX(LINEST(OFFSET(F14,0,0,8-C17,1)),1),INDEX(LINEST(B38:B45),1))</f>
        <v>-1063.4375</v>
      </c>
      <c r="G23" s="9"/>
    </row>
    <row r="24" spans="1:9" ht="17" thickBot="1" x14ac:dyDescent="0.25">
      <c r="A24" s="532"/>
      <c r="B24" s="533"/>
      <c r="C24" s="535"/>
      <c r="E24" s="11" t="s">
        <v>21</v>
      </c>
      <c r="F24" s="12" t="b">
        <f ca="1">OR(F23&lt;&gt;0)</f>
        <v>1</v>
      </c>
    </row>
    <row r="27" spans="1:9" ht="17" thickBot="1" x14ac:dyDescent="0.25"/>
    <row r="28" spans="1:9" ht="25" thickTop="1" x14ac:dyDescent="0.2">
      <c r="A28" s="522" t="s">
        <v>1</v>
      </c>
      <c r="B28" s="523"/>
      <c r="C28" s="7"/>
    </row>
    <row r="29" spans="1:9" ht="25" thickBot="1" x14ac:dyDescent="0.25">
      <c r="A29" s="524"/>
      <c r="B29" s="525"/>
      <c r="C29" s="526" t="s">
        <v>44</v>
      </c>
      <c r="D29" s="527"/>
      <c r="E29" s="527"/>
    </row>
    <row r="30" spans="1:9" ht="17" thickTop="1" x14ac:dyDescent="0.2"/>
    <row r="31" spans="1:9" x14ac:dyDescent="0.2">
      <c r="A31" s="1" t="s">
        <v>2</v>
      </c>
      <c r="B31" s="461">
        <v>8.2018294538495611E-3</v>
      </c>
      <c r="F31" s="333"/>
      <c r="G31" s="23"/>
      <c r="H31" s="333"/>
    </row>
    <row r="32" spans="1:9" x14ac:dyDescent="0.2">
      <c r="A32" s="1" t="s">
        <v>4</v>
      </c>
      <c r="B32" s="461">
        <v>1</v>
      </c>
      <c r="F32" s="333"/>
      <c r="G32" s="23"/>
      <c r="H32" s="333"/>
    </row>
    <row r="33" spans="1:10" x14ac:dyDescent="0.2">
      <c r="A33" s="1" t="s">
        <v>3</v>
      </c>
      <c r="B33" s="461">
        <v>1</v>
      </c>
      <c r="F33" s="333"/>
      <c r="G33" s="23"/>
      <c r="H33" s="333"/>
    </row>
    <row r="34" spans="1:10" x14ac:dyDescent="0.2">
      <c r="A34" s="1" t="s">
        <v>45</v>
      </c>
      <c r="B34" s="22">
        <f>SQRT(SUMSQ(G42:G53)/COUNT(G42:G53))</f>
        <v>11677.020161583023</v>
      </c>
    </row>
    <row r="35" spans="1:10" x14ac:dyDescent="0.2">
      <c r="A35" s="1" t="s">
        <v>425</v>
      </c>
      <c r="B35" s="460">
        <f>(SUM(ABS(G46)/B46,ABS(G47)/B47,ABS(G48)/B48,ABS(G49)/B49))/4</f>
        <v>7.3619810202659869E-2</v>
      </c>
    </row>
    <row r="37" spans="1:10" ht="17" thickBot="1" x14ac:dyDescent="0.25">
      <c r="A37" s="2" t="s">
        <v>5</v>
      </c>
      <c r="B37" s="2" t="s">
        <v>46</v>
      </c>
      <c r="C37" s="2" t="s">
        <v>6</v>
      </c>
      <c r="D37" s="2" t="s">
        <v>7</v>
      </c>
      <c r="E37" s="2" t="s">
        <v>8</v>
      </c>
      <c r="F37" s="2" t="s">
        <v>9</v>
      </c>
      <c r="G37" s="2" t="s">
        <v>10</v>
      </c>
      <c r="H37" s="61"/>
    </row>
    <row r="38" spans="1:10" x14ac:dyDescent="0.2">
      <c r="A38" s="37" t="s">
        <v>27</v>
      </c>
      <c r="B38" s="38">
        <v>91402</v>
      </c>
      <c r="C38" s="39"/>
      <c r="D38" s="30"/>
      <c r="E38" s="40"/>
      <c r="F38" s="30"/>
      <c r="G38" s="31"/>
      <c r="H38" s="61"/>
    </row>
    <row r="39" spans="1:10" x14ac:dyDescent="0.2">
      <c r="A39" s="41" t="s">
        <v>26</v>
      </c>
      <c r="B39" s="33">
        <v>73876</v>
      </c>
      <c r="C39" s="17"/>
      <c r="D39" s="18"/>
      <c r="E39" s="21"/>
      <c r="F39" s="18"/>
      <c r="G39" s="42"/>
      <c r="H39" s="61"/>
      <c r="J39" t="s">
        <v>262</v>
      </c>
    </row>
    <row r="40" spans="1:10" x14ac:dyDescent="0.2">
      <c r="A40" s="41" t="s">
        <v>28</v>
      </c>
      <c r="B40" s="33">
        <v>123163</v>
      </c>
      <c r="C40" s="17"/>
      <c r="D40" s="18"/>
      <c r="E40" s="21"/>
      <c r="F40" s="18"/>
      <c r="G40" s="42"/>
      <c r="H40" s="61"/>
      <c r="J40" t="s">
        <v>263</v>
      </c>
    </row>
    <row r="41" spans="1:10" ht="17" thickBot="1" x14ac:dyDescent="0.25">
      <c r="A41" s="43" t="s">
        <v>29</v>
      </c>
      <c r="B41" s="34">
        <v>177223</v>
      </c>
      <c r="C41" s="26"/>
      <c r="D41" s="27"/>
      <c r="E41" s="28"/>
      <c r="F41" s="27"/>
      <c r="G41" s="44"/>
      <c r="H41" s="61"/>
      <c r="J41" t="s">
        <v>264</v>
      </c>
    </row>
    <row r="42" spans="1:10" x14ac:dyDescent="0.2">
      <c r="A42" s="74" t="s">
        <v>33</v>
      </c>
      <c r="B42" s="75">
        <v>92999</v>
      </c>
      <c r="C42" s="76"/>
      <c r="D42" s="77"/>
      <c r="E42" s="78">
        <f>AVERAGE(B38/AVERAGE($B$38:$B$41),B42/AVERAGE($B$42:$B$45))</f>
        <v>0.80723411906628306</v>
      </c>
      <c r="F42" s="30"/>
      <c r="G42" s="31"/>
      <c r="J42" t="s">
        <v>265</v>
      </c>
    </row>
    <row r="43" spans="1:10" x14ac:dyDescent="0.2">
      <c r="A43" s="79" t="s">
        <v>36</v>
      </c>
      <c r="B43" s="80">
        <v>67706</v>
      </c>
      <c r="C43" s="81"/>
      <c r="D43" s="82"/>
      <c r="E43" s="88">
        <f t="shared" ref="E43:E45" si="0">AVERAGE(B39/AVERAGE($B$38:$B$41),B43/AVERAGE($B$42:$B$45))</f>
        <v>0.61918348145442348</v>
      </c>
      <c r="F43" s="82"/>
      <c r="G43" s="83"/>
      <c r="J43" t="s">
        <v>272</v>
      </c>
    </row>
    <row r="44" spans="1:10" x14ac:dyDescent="0.2">
      <c r="A44" s="79" t="s">
        <v>37</v>
      </c>
      <c r="B44" s="80">
        <v>120902</v>
      </c>
      <c r="C44" s="81"/>
      <c r="D44" s="82"/>
      <c r="E44" s="88">
        <f t="shared" si="0"/>
        <v>1.0680608364179229</v>
      </c>
      <c r="F44" s="82"/>
      <c r="G44" s="83"/>
      <c r="J44" t="s">
        <v>268</v>
      </c>
    </row>
    <row r="45" spans="1:10" ht="17" thickBot="1" x14ac:dyDescent="0.25">
      <c r="A45" s="84" t="s">
        <v>30</v>
      </c>
      <c r="B45" s="85">
        <v>166940</v>
      </c>
      <c r="C45" s="86">
        <f>AVERAGE(B42:B45)+C17/2*D45</f>
        <v>109997.125</v>
      </c>
      <c r="D45" s="87">
        <f>(AVERAGE(B42:B45)-AVERAGE(B38:B41))/4</f>
        <v>-1069.8125</v>
      </c>
      <c r="E45" s="91">
        <f t="shared" si="0"/>
        <v>1.5055215630613703</v>
      </c>
      <c r="F45" s="87"/>
      <c r="G45" s="92"/>
      <c r="J45" t="s">
        <v>269</v>
      </c>
    </row>
    <row r="46" spans="1:10" x14ac:dyDescent="0.2">
      <c r="A46" s="53" t="s">
        <v>38</v>
      </c>
      <c r="B46" s="54">
        <v>97488</v>
      </c>
      <c r="C46" s="326">
        <f>$B$31*B46/E42+(1-$B$31)*(C45+D45)</f>
        <v>109024.42729054221</v>
      </c>
      <c r="D46" s="326">
        <f>$B$33*(C46-C45)+(1-$B$33)*D45</f>
        <v>-972.69770945778873</v>
      </c>
      <c r="E46" s="327">
        <f>$B$32*B46/C46+(1-$B$32)*E42</f>
        <v>0.89418493105404284</v>
      </c>
      <c r="F46" s="55">
        <f>(C45+D45)*E42</f>
        <v>87929.843148195228</v>
      </c>
      <c r="G46" s="57">
        <f>B46-F46</f>
        <v>9558.1568518047716</v>
      </c>
      <c r="J46" t="s">
        <v>270</v>
      </c>
    </row>
    <row r="47" spans="1:10" ht="16" customHeight="1" x14ac:dyDescent="0.2">
      <c r="A47" s="72" t="s">
        <v>34</v>
      </c>
      <c r="B47" s="49">
        <v>74488</v>
      </c>
      <c r="C47" s="50">
        <f t="shared" ref="C47:C50" si="1">$B$31*B47/E43+(1-$B$31)*(C46+D46)</f>
        <v>108152.19081545084</v>
      </c>
      <c r="D47" s="50">
        <f t="shared" ref="D47:D50" si="2">$B$33*(C47-C46)+(1-$B$33)*D46</f>
        <v>-872.23647509136936</v>
      </c>
      <c r="E47" s="51">
        <f t="shared" ref="E47:E50" si="3">$B$32*B47/C47+(1-$B$32)*E43</f>
        <v>0.68873315869398455</v>
      </c>
      <c r="F47" s="48">
        <f t="shared" ref="F47:F49" si="4">(C46+D46)*E43</f>
        <v>66903.846099187766</v>
      </c>
      <c r="G47" s="73">
        <f t="shared" ref="G47:G50" si="5">B47-F47</f>
        <v>7584.1539008122345</v>
      </c>
      <c r="J47" t="s">
        <v>271</v>
      </c>
    </row>
    <row r="48" spans="1:10" ht="16" customHeight="1" x14ac:dyDescent="0.2">
      <c r="A48" s="72" t="s">
        <v>40</v>
      </c>
      <c r="B48" s="334">
        <f>74656*1.5</f>
        <v>111984</v>
      </c>
      <c r="C48" s="50">
        <f t="shared" si="1"/>
        <v>107260.00753866587</v>
      </c>
      <c r="D48" s="50">
        <f t="shared" si="2"/>
        <v>-892.18327678497008</v>
      </c>
      <c r="E48" s="51">
        <f t="shared" si="3"/>
        <v>1.0440424401390349</v>
      </c>
      <c r="F48" s="48">
        <f t="shared" si="4"/>
        <v>114581.51776364092</v>
      </c>
      <c r="G48" s="73">
        <f t="shared" si="5"/>
        <v>-2597.5177636409207</v>
      </c>
    </row>
    <row r="49" spans="1:8" ht="17" thickBot="1" x14ac:dyDescent="0.25">
      <c r="A49" s="435" t="s">
        <v>31</v>
      </c>
      <c r="B49" s="436">
        <v>149464</v>
      </c>
      <c r="C49" s="437">
        <f t="shared" si="1"/>
        <v>106309.66835989252</v>
      </c>
      <c r="D49" s="437">
        <f t="shared" si="2"/>
        <v>-950.33917877335625</v>
      </c>
      <c r="E49" s="438">
        <f t="shared" si="3"/>
        <v>1.4059304511610002</v>
      </c>
      <c r="F49" s="434">
        <f t="shared" si="4"/>
        <v>160139.0530421841</v>
      </c>
      <c r="G49" s="439">
        <f t="shared" si="5"/>
        <v>-10675.053042184096</v>
      </c>
    </row>
    <row r="50" spans="1:8" x14ac:dyDescent="0.2">
      <c r="A50" s="53" t="s">
        <v>41</v>
      </c>
      <c r="B50" s="54">
        <v>114513</v>
      </c>
      <c r="C50" s="437">
        <f t="shared" si="1"/>
        <v>105545.54994529832</v>
      </c>
      <c r="D50" s="437">
        <f t="shared" si="2"/>
        <v>-764.1184145941952</v>
      </c>
      <c r="E50" s="438">
        <f t="shared" si="3"/>
        <v>1.0849628436191701</v>
      </c>
      <c r="F50" s="55">
        <f>($C$49+$D$49)*E46</f>
        <v>94210.724499719247</v>
      </c>
      <c r="G50" s="57">
        <f t="shared" si="5"/>
        <v>20302.275500280753</v>
      </c>
      <c r="H50" s="71" t="s">
        <v>25</v>
      </c>
    </row>
    <row r="51" spans="1:8" x14ac:dyDescent="0.2">
      <c r="A51" s="36" t="s">
        <v>39</v>
      </c>
      <c r="B51" s="35"/>
      <c r="C51" s="19"/>
      <c r="D51" s="20"/>
      <c r="E51" s="25"/>
      <c r="F51" s="50">
        <f>($C$50+H51*$D$50)*E47</f>
        <v>72166.446310619314</v>
      </c>
      <c r="G51" s="73"/>
      <c r="H51" s="89">
        <v>1</v>
      </c>
    </row>
    <row r="52" spans="1:8" x14ac:dyDescent="0.2">
      <c r="A52" s="36" t="s">
        <v>35</v>
      </c>
      <c r="B52" s="35"/>
      <c r="C52" s="19"/>
      <c r="D52" s="20"/>
      <c r="E52" s="25"/>
      <c r="F52" s="50">
        <f>($C$49+H53*$D$49)*E48</f>
        <v>108015.22225933496</v>
      </c>
      <c r="G52" s="73"/>
      <c r="H52" s="89">
        <v>2</v>
      </c>
    </row>
    <row r="53" spans="1:8" ht="17" thickBot="1" x14ac:dyDescent="0.25">
      <c r="A53" s="45" t="s">
        <v>32</v>
      </c>
      <c r="B53" s="46"/>
      <c r="C53" s="29"/>
      <c r="D53" s="47"/>
      <c r="E53" s="32"/>
      <c r="F53" s="52">
        <f>($C$49+H54*$D$49)*E49</f>
        <v>144119.55683852479</v>
      </c>
      <c r="G53" s="95"/>
      <c r="H53" s="89">
        <v>3</v>
      </c>
    </row>
    <row r="54" spans="1:8" x14ac:dyDescent="0.2">
      <c r="H54" s="89">
        <v>4</v>
      </c>
    </row>
    <row r="55" spans="1:8" x14ac:dyDescent="0.2">
      <c r="H55" s="90">
        <v>5</v>
      </c>
    </row>
    <row r="56" spans="1:8" x14ac:dyDescent="0.2">
      <c r="H56" s="89">
        <v>6</v>
      </c>
    </row>
    <row r="57" spans="1:8" x14ac:dyDescent="0.2">
      <c r="H57" s="90">
        <v>7</v>
      </c>
    </row>
    <row r="58" spans="1:8" ht="17" thickBot="1" x14ac:dyDescent="0.25">
      <c r="H58" s="94">
        <v>8</v>
      </c>
    </row>
    <row r="79" spans="1:7" x14ac:dyDescent="0.2">
      <c r="A79" s="62"/>
      <c r="B79" s="63"/>
      <c r="C79" s="64"/>
      <c r="D79" s="64"/>
      <c r="E79" s="65"/>
      <c r="F79" s="66"/>
      <c r="G79" s="64"/>
    </row>
    <row r="80" spans="1:7" x14ac:dyDescent="0.2">
      <c r="A80" s="62"/>
      <c r="B80" s="63"/>
      <c r="C80" s="64"/>
      <c r="D80" s="64"/>
      <c r="E80" s="65"/>
      <c r="F80" s="66"/>
      <c r="G80" s="64"/>
    </row>
    <row r="81" spans="1:15" x14ac:dyDescent="0.2">
      <c r="A81" s="62"/>
      <c r="B81" s="63"/>
      <c r="C81" s="64"/>
      <c r="D81" s="64"/>
      <c r="E81" s="65"/>
      <c r="F81" s="66"/>
      <c r="G81" s="64"/>
    </row>
    <row r="82" spans="1:15" x14ac:dyDescent="0.2">
      <c r="A82" s="62"/>
      <c r="B82" s="63"/>
      <c r="C82" s="64"/>
      <c r="D82" s="64"/>
      <c r="E82" s="65"/>
      <c r="F82" s="66"/>
      <c r="G82" s="64"/>
    </row>
    <row r="83" spans="1:15" x14ac:dyDescent="0.2">
      <c r="A83" s="62"/>
      <c r="B83" s="63"/>
      <c r="C83" s="64"/>
      <c r="D83" s="64"/>
      <c r="E83" s="65"/>
      <c r="F83" s="66"/>
      <c r="G83" s="64"/>
    </row>
    <row r="84" spans="1:15" x14ac:dyDescent="0.2">
      <c r="A84" s="62"/>
      <c r="B84" s="63"/>
      <c r="C84" s="64"/>
      <c r="D84" s="64"/>
      <c r="E84" s="65"/>
      <c r="F84" s="66"/>
      <c r="G84" s="64"/>
    </row>
    <row r="85" spans="1:15" x14ac:dyDescent="0.2">
      <c r="A85" s="62"/>
      <c r="B85" s="63"/>
      <c r="C85" s="64"/>
      <c r="D85" s="64"/>
      <c r="E85" s="65"/>
      <c r="F85" s="66"/>
      <c r="G85" s="64"/>
    </row>
    <row r="86" spans="1:15" x14ac:dyDescent="0.2">
      <c r="A86" s="62"/>
      <c r="B86" s="63"/>
      <c r="C86" s="64"/>
      <c r="D86" s="64"/>
      <c r="E86" s="65"/>
      <c r="F86" s="66"/>
      <c r="G86" s="64"/>
    </row>
    <row r="87" spans="1:15" x14ac:dyDescent="0.2">
      <c r="A87" s="62"/>
      <c r="B87" s="67"/>
      <c r="C87" s="64"/>
      <c r="D87" s="64"/>
      <c r="E87" s="65"/>
      <c r="F87" s="66"/>
      <c r="G87" s="64"/>
    </row>
    <row r="88" spans="1:15" x14ac:dyDescent="0.2">
      <c r="A88" s="62"/>
      <c r="B88" s="67"/>
      <c r="C88" s="64"/>
      <c r="D88" s="64"/>
      <c r="E88" s="65"/>
      <c r="F88" s="66"/>
      <c r="G88" s="64"/>
    </row>
    <row r="89" spans="1:15" x14ac:dyDescent="0.2">
      <c r="A89" s="62"/>
      <c r="B89" s="67"/>
      <c r="C89" s="64"/>
      <c r="D89" s="64"/>
      <c r="E89" s="65"/>
      <c r="F89" s="66"/>
      <c r="G89" s="64"/>
    </row>
    <row r="90" spans="1:15" x14ac:dyDescent="0.2">
      <c r="A90" s="62"/>
      <c r="B90" s="68"/>
      <c r="C90" s="64"/>
      <c r="D90" s="64"/>
      <c r="E90" s="65"/>
      <c r="F90" s="66"/>
      <c r="G90" s="64"/>
    </row>
    <row r="91" spans="1:15" x14ac:dyDescent="0.2">
      <c r="A91" s="62"/>
      <c r="B91" s="68"/>
      <c r="C91" s="64"/>
      <c r="D91" s="64"/>
      <c r="E91" s="65"/>
      <c r="F91" s="66"/>
      <c r="G91" s="64"/>
      <c r="I91" s="23"/>
      <c r="J91" s="23"/>
      <c r="K91" s="23"/>
      <c r="L91" s="23"/>
      <c r="M91" s="23"/>
      <c r="N91" s="23"/>
      <c r="O91" s="23"/>
    </row>
    <row r="92" spans="1:15" x14ac:dyDescent="0.2">
      <c r="A92" s="62"/>
      <c r="B92" s="68"/>
      <c r="C92" s="64"/>
      <c r="D92" s="64"/>
      <c r="E92" s="65"/>
      <c r="F92" s="66"/>
      <c r="G92" s="64"/>
      <c r="I92" s="23"/>
      <c r="J92" s="23"/>
      <c r="K92" s="23"/>
      <c r="L92" s="23"/>
      <c r="M92" s="23"/>
      <c r="N92" s="23"/>
      <c r="O92" s="23"/>
    </row>
    <row r="93" spans="1:15" x14ac:dyDescent="0.2">
      <c r="A93" s="62"/>
      <c r="B93" s="69"/>
      <c r="C93" s="64"/>
      <c r="D93" s="64"/>
      <c r="E93" s="65"/>
      <c r="F93" s="66"/>
      <c r="G93" s="64"/>
      <c r="I93" s="23"/>
      <c r="J93" s="23"/>
      <c r="K93" s="23"/>
      <c r="L93" s="23"/>
      <c r="M93" s="23"/>
      <c r="N93" s="23"/>
      <c r="O93" s="23"/>
    </row>
    <row r="94" spans="1:15" x14ac:dyDescent="0.2">
      <c r="A94" s="62"/>
      <c r="B94" s="69"/>
      <c r="C94" s="64"/>
      <c r="D94" s="64"/>
      <c r="E94" s="65"/>
      <c r="F94" s="66"/>
      <c r="G94" s="64"/>
      <c r="I94" s="23"/>
      <c r="J94" s="23"/>
      <c r="K94" s="23"/>
      <c r="L94" s="23"/>
      <c r="M94" s="23"/>
      <c r="N94" s="23"/>
      <c r="O94" s="23"/>
    </row>
    <row r="95" spans="1:15" x14ac:dyDescent="0.2">
      <c r="A95" s="62"/>
      <c r="B95" s="69"/>
      <c r="C95" s="64"/>
      <c r="D95" s="64"/>
      <c r="E95" s="65"/>
      <c r="F95" s="66"/>
      <c r="G95" s="64"/>
      <c r="I95" s="23"/>
      <c r="J95" s="23"/>
      <c r="K95" s="23"/>
      <c r="L95" s="23"/>
      <c r="M95" s="23"/>
      <c r="N95" s="23"/>
      <c r="O95" s="23"/>
    </row>
    <row r="96" spans="1:15" x14ac:dyDescent="0.2">
      <c r="A96" s="62"/>
      <c r="B96" s="69"/>
      <c r="C96" s="64"/>
      <c r="D96" s="64"/>
      <c r="E96" s="65"/>
      <c r="F96" s="66"/>
      <c r="G96" s="64"/>
      <c r="I96" s="24"/>
      <c r="J96" s="24"/>
      <c r="K96" s="24"/>
      <c r="L96" s="24"/>
      <c r="M96" s="24"/>
      <c r="N96" s="24"/>
      <c r="O96" s="24"/>
    </row>
    <row r="97" spans="1:15" x14ac:dyDescent="0.2">
      <c r="A97" s="62"/>
      <c r="B97" s="69"/>
      <c r="C97" s="64"/>
      <c r="D97" s="64"/>
      <c r="E97" s="65"/>
      <c r="F97" s="66"/>
      <c r="G97" s="64"/>
      <c r="I97" s="23"/>
      <c r="J97" s="23"/>
      <c r="K97" s="23"/>
      <c r="L97" s="23"/>
      <c r="M97" s="23"/>
      <c r="N97" s="23"/>
      <c r="O97" s="23"/>
    </row>
    <row r="98" spans="1:15" x14ac:dyDescent="0.2">
      <c r="A98" s="62"/>
      <c r="B98" s="70"/>
      <c r="C98" s="64"/>
      <c r="D98" s="64"/>
      <c r="E98" s="65"/>
      <c r="F98" s="66"/>
      <c r="G98" s="64"/>
      <c r="I98" s="23"/>
      <c r="J98" s="23"/>
      <c r="K98" s="23"/>
      <c r="L98" s="23"/>
      <c r="M98" s="23"/>
      <c r="N98" s="23"/>
      <c r="O98" s="23"/>
    </row>
    <row r="99" spans="1:15" x14ac:dyDescent="0.2">
      <c r="A99" s="23"/>
      <c r="B99" s="24"/>
      <c r="C99" s="23"/>
      <c r="D99" s="23"/>
      <c r="E99" s="23"/>
      <c r="F99" s="23"/>
      <c r="G99" s="23"/>
      <c r="H99" s="23"/>
      <c r="I99" s="23"/>
      <c r="J99" s="23"/>
      <c r="K99" s="23"/>
      <c r="L99" s="23"/>
      <c r="M99" s="23"/>
      <c r="N99" s="23"/>
      <c r="O99" s="23"/>
    </row>
    <row r="100" spans="1:15" x14ac:dyDescent="0.2">
      <c r="A100" s="23"/>
      <c r="B100" s="24"/>
      <c r="C100" s="23"/>
      <c r="D100" s="23"/>
      <c r="E100" s="23"/>
      <c r="F100" s="23"/>
      <c r="G100" s="23"/>
      <c r="H100" s="23"/>
      <c r="I100" s="23"/>
      <c r="J100" s="23"/>
      <c r="K100" s="23"/>
      <c r="L100" s="23"/>
      <c r="M100" s="23"/>
      <c r="N100" s="23"/>
      <c r="O100" s="23"/>
    </row>
    <row r="101" spans="1:15" x14ac:dyDescent="0.2">
      <c r="A101" s="23"/>
      <c r="B101" s="24"/>
      <c r="C101" s="23"/>
      <c r="D101" s="23"/>
      <c r="E101" s="23"/>
      <c r="F101" s="23"/>
      <c r="G101" s="23"/>
      <c r="H101" s="23"/>
      <c r="I101" s="23"/>
      <c r="J101" s="23"/>
      <c r="K101" s="23"/>
      <c r="L101" s="23"/>
      <c r="M101" s="23"/>
      <c r="N101" s="23"/>
      <c r="O101" s="23"/>
    </row>
    <row r="102" spans="1:15" x14ac:dyDescent="0.2">
      <c r="A102" s="23"/>
      <c r="B102" s="24"/>
      <c r="C102" s="23"/>
      <c r="D102" s="23"/>
      <c r="E102" s="23"/>
      <c r="F102" s="23"/>
      <c r="G102" s="23"/>
      <c r="H102" s="23"/>
      <c r="I102" s="23"/>
      <c r="J102" s="23"/>
      <c r="K102" s="23"/>
      <c r="L102" s="23"/>
      <c r="M102" s="23"/>
      <c r="N102" s="23"/>
      <c r="O102" s="23"/>
    </row>
    <row r="103" spans="1:15" x14ac:dyDescent="0.2">
      <c r="A103" s="23"/>
      <c r="B103" s="24"/>
      <c r="C103" s="23"/>
      <c r="D103" s="23"/>
      <c r="E103" s="23"/>
      <c r="F103" s="23"/>
      <c r="G103" s="23"/>
      <c r="H103" s="23"/>
      <c r="I103" s="23"/>
      <c r="J103" s="23"/>
      <c r="K103" s="23"/>
      <c r="L103" s="23"/>
      <c r="M103" s="23"/>
      <c r="N103" s="23"/>
      <c r="O103" s="23"/>
    </row>
    <row r="104" spans="1:15" x14ac:dyDescent="0.2">
      <c r="A104" s="23"/>
      <c r="B104" s="24"/>
      <c r="C104" s="23"/>
      <c r="D104" s="23"/>
      <c r="E104" s="23"/>
      <c r="F104" s="23"/>
      <c r="G104" s="23"/>
      <c r="H104" s="23"/>
      <c r="I104" s="23"/>
      <c r="J104" s="23"/>
      <c r="K104" s="23"/>
      <c r="L104" s="23"/>
      <c r="M104" s="23"/>
      <c r="N104" s="23"/>
      <c r="O104" s="23"/>
    </row>
    <row r="105" spans="1:15" x14ac:dyDescent="0.2">
      <c r="A105" s="23"/>
      <c r="B105" s="24"/>
      <c r="C105" s="23"/>
      <c r="D105" s="23"/>
      <c r="E105" s="23"/>
      <c r="F105" s="23"/>
      <c r="G105" s="23"/>
      <c r="H105" s="23"/>
      <c r="I105" s="23"/>
      <c r="J105" s="23"/>
      <c r="K105" s="23"/>
      <c r="L105" s="23"/>
      <c r="M105" s="23"/>
      <c r="N105" s="23"/>
      <c r="O105" s="23"/>
    </row>
    <row r="106" spans="1:15" x14ac:dyDescent="0.2">
      <c r="A106" s="23"/>
      <c r="B106" s="24"/>
      <c r="C106" s="23"/>
      <c r="D106" s="23"/>
      <c r="E106" s="23"/>
      <c r="F106" s="23"/>
      <c r="G106" s="23"/>
      <c r="H106" s="23"/>
      <c r="I106" s="23"/>
      <c r="J106" s="23"/>
      <c r="K106" s="23"/>
      <c r="L106" s="23"/>
      <c r="M106" s="23"/>
      <c r="N106" s="23"/>
      <c r="O106" s="23"/>
    </row>
    <row r="107" spans="1:15" x14ac:dyDescent="0.2">
      <c r="A107" s="23"/>
      <c r="B107" s="24"/>
      <c r="C107" s="23"/>
      <c r="D107" s="23"/>
      <c r="E107" s="23"/>
      <c r="F107" s="23"/>
      <c r="G107" s="23"/>
      <c r="H107" s="23"/>
      <c r="I107" s="23"/>
      <c r="J107" s="23"/>
      <c r="K107" s="23"/>
      <c r="L107" s="23"/>
      <c r="M107" s="23"/>
      <c r="N107" s="23"/>
      <c r="O107" s="23"/>
    </row>
    <row r="108" spans="1:15" x14ac:dyDescent="0.2">
      <c r="A108" s="23"/>
      <c r="B108" s="24"/>
      <c r="C108" s="23"/>
      <c r="D108" s="23"/>
      <c r="E108" s="23"/>
      <c r="F108" s="23"/>
      <c r="G108" s="23"/>
      <c r="H108" s="23"/>
      <c r="I108" s="23"/>
      <c r="J108" s="23"/>
      <c r="K108" s="23"/>
      <c r="L108" s="23"/>
      <c r="M108" s="23"/>
      <c r="N108" s="23"/>
      <c r="O108" s="23"/>
    </row>
    <row r="109" spans="1:15" x14ac:dyDescent="0.2">
      <c r="A109" s="23"/>
      <c r="B109" s="24"/>
      <c r="C109" s="23"/>
      <c r="D109" s="23"/>
      <c r="E109" s="23"/>
      <c r="F109" s="23"/>
      <c r="G109" s="23"/>
      <c r="H109" s="23"/>
      <c r="I109" s="23"/>
      <c r="J109" s="23"/>
      <c r="K109" s="23"/>
      <c r="L109" s="23"/>
      <c r="M109" s="23"/>
      <c r="N109" s="23"/>
      <c r="O109" s="23"/>
    </row>
    <row r="110" spans="1:15" x14ac:dyDescent="0.2">
      <c r="A110" s="23"/>
      <c r="B110" s="24"/>
      <c r="C110" s="23"/>
      <c r="D110" s="23"/>
      <c r="E110" s="23"/>
      <c r="F110" s="23"/>
      <c r="G110" s="23"/>
      <c r="H110" s="23"/>
      <c r="I110" s="23"/>
      <c r="J110" s="23"/>
      <c r="K110" s="23"/>
      <c r="L110" s="23"/>
      <c r="M110" s="23"/>
      <c r="N110" s="23"/>
      <c r="O110" s="23"/>
    </row>
    <row r="111" spans="1:15" x14ac:dyDescent="0.2">
      <c r="A111" s="23"/>
      <c r="B111" s="24"/>
      <c r="C111" s="23"/>
      <c r="D111" s="23"/>
      <c r="E111" s="23"/>
      <c r="F111" s="23"/>
      <c r="G111" s="23"/>
      <c r="H111" s="23"/>
      <c r="I111" s="23"/>
      <c r="J111" s="23"/>
      <c r="K111" s="23"/>
      <c r="L111" s="23"/>
      <c r="M111" s="23"/>
      <c r="N111" s="23"/>
      <c r="O111" s="23"/>
    </row>
    <row r="112" spans="1:15" x14ac:dyDescent="0.2">
      <c r="A112" s="23"/>
      <c r="B112" s="24"/>
      <c r="C112" s="23"/>
      <c r="D112" s="23"/>
      <c r="E112" s="23"/>
      <c r="F112" s="23"/>
      <c r="G112" s="23"/>
      <c r="H112" s="23"/>
      <c r="I112" s="23"/>
      <c r="J112" s="23"/>
      <c r="K112" s="23"/>
      <c r="L112" s="23"/>
      <c r="M112" s="23"/>
      <c r="N112" s="23"/>
      <c r="O112" s="23"/>
    </row>
    <row r="113" spans="1:15" x14ac:dyDescent="0.2">
      <c r="A113" s="23"/>
      <c r="B113" s="23"/>
      <c r="C113" s="23"/>
      <c r="D113" s="23"/>
      <c r="E113" s="23"/>
      <c r="F113" s="23"/>
      <c r="G113" s="23"/>
      <c r="H113" s="23"/>
      <c r="I113" s="23"/>
      <c r="J113" s="23"/>
      <c r="K113" s="23"/>
      <c r="L113" s="23"/>
      <c r="M113" s="23"/>
      <c r="N113" s="23"/>
      <c r="O113" s="23"/>
    </row>
    <row r="114" spans="1:15" x14ac:dyDescent="0.2">
      <c r="A114" s="23"/>
      <c r="B114" s="23"/>
      <c r="C114" s="23"/>
      <c r="D114" s="23"/>
      <c r="E114" s="23"/>
      <c r="F114" s="23"/>
      <c r="G114" s="23"/>
      <c r="H114" s="23"/>
      <c r="I114" s="23"/>
      <c r="J114" s="23"/>
      <c r="K114" s="23"/>
      <c r="L114" s="23"/>
      <c r="M114" s="23"/>
      <c r="N114" s="23"/>
      <c r="O114" s="23"/>
    </row>
    <row r="115" spans="1:15" x14ac:dyDescent="0.2">
      <c r="A115" s="23"/>
      <c r="B115" s="23"/>
      <c r="C115" s="23"/>
      <c r="D115" s="23"/>
      <c r="E115" s="23"/>
      <c r="F115" s="23"/>
      <c r="G115" s="23"/>
      <c r="H115" s="23"/>
      <c r="I115" s="23"/>
      <c r="J115" s="23"/>
      <c r="K115" s="23"/>
      <c r="L115" s="23"/>
      <c r="M115" s="23"/>
      <c r="N115" s="23"/>
      <c r="O115" s="23"/>
    </row>
  </sheetData>
  <mergeCells count="13">
    <mergeCell ref="A18:B18"/>
    <mergeCell ref="F18:G18"/>
    <mergeCell ref="A1:H2"/>
    <mergeCell ref="A4:C5"/>
    <mergeCell ref="A7:B7"/>
    <mergeCell ref="A16:B16"/>
    <mergeCell ref="A17:B17"/>
    <mergeCell ref="E9:F10"/>
    <mergeCell ref="F19:G19"/>
    <mergeCell ref="A23:B24"/>
    <mergeCell ref="C23:C24"/>
    <mergeCell ref="A28:B29"/>
    <mergeCell ref="C29:E29"/>
  </mergeCells>
  <conditionalFormatting sqref="C16">
    <cfRule type="containsText" dxfId="7" priority="5" operator="containsText" text="FALSO">
      <formula>NOT(ISERROR(SEARCH("FALSO",C16)))</formula>
    </cfRule>
    <cfRule type="containsText" dxfId="6" priority="6" operator="containsText" text="VERO">
      <formula>NOT(ISERROR(SEARCH("VERO",C16)))</formula>
    </cfRule>
  </conditionalFormatting>
  <conditionalFormatting sqref="F24">
    <cfRule type="containsText" dxfId="5" priority="3" operator="containsText" text="FALSO">
      <formula>NOT(ISERROR(SEARCH("FALSO",F24)))</formula>
    </cfRule>
    <cfRule type="containsText" dxfId="4" priority="4" operator="containsText" text="VERO">
      <formula>NOT(ISERROR(SEARCH("VERO",F24)))</formula>
    </cfRule>
  </conditionalFormatting>
  <conditionalFormatting sqref="C23:C24">
    <cfRule type="containsText" dxfId="3" priority="1" operator="containsText" text="FALSO">
      <formula>NOT(ISERROR(SEARCH("FALSO",C23)))</formula>
    </cfRule>
    <cfRule type="containsText" dxfId="2" priority="2" operator="containsText" text="VERO">
      <formula>NOT(ISERROR(SEARCH("VERO",C23)))</formula>
    </cfRule>
  </conditionalFormatting>
  <conditionalFormatting sqref="B10:B13">
    <cfRule type="cellIs" dxfId="1" priority="17" operator="equal">
      <formula>$C$18</formula>
    </cfRule>
  </conditionalFormatting>
  <conditionalFormatting sqref="A10:A13">
    <cfRule type="cellIs" dxfId="0" priority="19" operator="equal">
      <formula>$C$17</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B9AED-C722-D64C-BA20-AC52A4D4FCED}">
  <dimension ref="A1:Z61"/>
  <sheetViews>
    <sheetView topLeftCell="G1" zoomScale="113" workbookViewId="0">
      <selection activeCell="AC22" sqref="AC22"/>
    </sheetView>
  </sheetViews>
  <sheetFormatPr baseColWidth="10" defaultRowHeight="16" x14ac:dyDescent="0.2"/>
  <cols>
    <col min="1" max="1" width="29.6640625" bestFit="1" customWidth="1"/>
    <col min="14" max="14" width="11.5" bestFit="1" customWidth="1"/>
    <col min="22" max="22" width="13.6640625" bestFit="1" customWidth="1"/>
    <col min="23" max="23" width="14.1640625" bestFit="1" customWidth="1"/>
    <col min="24" max="24" width="15.6640625" bestFit="1" customWidth="1"/>
  </cols>
  <sheetData>
    <row r="1" spans="1:26" ht="16" customHeight="1" thickBot="1" x14ac:dyDescent="0.25">
      <c r="A1" s="250" t="s">
        <v>209</v>
      </c>
      <c r="B1" s="251"/>
      <c r="C1" s="251"/>
      <c r="D1" s="252"/>
      <c r="E1" s="252"/>
      <c r="F1" s="252"/>
      <c r="G1" s="252"/>
      <c r="H1" s="252"/>
      <c r="I1" s="252"/>
      <c r="J1" s="537" t="s">
        <v>224</v>
      </c>
      <c r="K1" s="538"/>
      <c r="L1" s="538"/>
      <c r="M1" s="538"/>
      <c r="N1" s="539"/>
      <c r="O1" s="537" t="s">
        <v>228</v>
      </c>
      <c r="P1" s="538"/>
      <c r="Q1" s="539"/>
      <c r="X1" s="400" t="s">
        <v>415</v>
      </c>
    </row>
    <row r="2" spans="1:26" x14ac:dyDescent="0.2">
      <c r="A2" s="229" t="s">
        <v>205</v>
      </c>
      <c r="B2" s="230" t="s">
        <v>210</v>
      </c>
      <c r="C2" s="230" t="s">
        <v>211</v>
      </c>
      <c r="D2" s="230" t="s">
        <v>212</v>
      </c>
      <c r="E2" s="230" t="s">
        <v>213</v>
      </c>
      <c r="F2" s="230" t="s">
        <v>214</v>
      </c>
      <c r="G2" s="230" t="s">
        <v>215</v>
      </c>
      <c r="H2" s="230" t="s">
        <v>216</v>
      </c>
      <c r="I2" s="230" t="s">
        <v>217</v>
      </c>
      <c r="J2" s="241" t="s">
        <v>218</v>
      </c>
      <c r="K2" s="242" t="s">
        <v>219</v>
      </c>
      <c r="L2" s="242" t="s">
        <v>220</v>
      </c>
      <c r="M2" s="242" t="s">
        <v>221</v>
      </c>
      <c r="N2" s="243" t="s">
        <v>412</v>
      </c>
      <c r="O2" s="256" t="s">
        <v>420</v>
      </c>
      <c r="P2" s="242" t="s">
        <v>421</v>
      </c>
      <c r="Q2" s="243" t="s">
        <v>422</v>
      </c>
      <c r="U2" s="242" t="s">
        <v>218</v>
      </c>
      <c r="V2" s="231" t="s">
        <v>407</v>
      </c>
      <c r="W2" s="231" t="s">
        <v>408</v>
      </c>
      <c r="X2" s="231" t="s">
        <v>409</v>
      </c>
    </row>
    <row r="3" spans="1:26" x14ac:dyDescent="0.2">
      <c r="A3" s="231" t="s">
        <v>79</v>
      </c>
      <c r="B3" s="232">
        <v>370731</v>
      </c>
      <c r="C3" s="232">
        <v>356706</v>
      </c>
      <c r="D3" s="232">
        <v>704155</v>
      </c>
      <c r="E3" s="232">
        <v>311874</v>
      </c>
      <c r="F3" s="232">
        <v>382201</v>
      </c>
      <c r="G3" s="232">
        <v>354179</v>
      </c>
      <c r="H3" s="232">
        <v>856584</v>
      </c>
      <c r="I3" s="232">
        <v>309963</v>
      </c>
      <c r="J3" s="324">
        <v>408535</v>
      </c>
      <c r="K3" s="331">
        <v>386844</v>
      </c>
      <c r="L3" s="331">
        <v>457216</v>
      </c>
      <c r="M3" s="403">
        <v>365133</v>
      </c>
      <c r="N3" s="501">
        <v>500935</v>
      </c>
      <c r="O3" s="489">
        <f>O15</f>
        <v>434059.50395586697</v>
      </c>
      <c r="P3" s="244">
        <f t="shared" ref="P3:Q3" si="0">P15</f>
        <v>965777.42682061507</v>
      </c>
      <c r="Q3" s="245">
        <f t="shared" si="0"/>
        <v>393304.372183981</v>
      </c>
      <c r="U3" s="231" t="s">
        <v>79</v>
      </c>
      <c r="V3" s="315">
        <v>0.16</v>
      </c>
      <c r="W3" s="399">
        <v>0.17699999999999999</v>
      </c>
      <c r="X3" s="399">
        <v>0.19</v>
      </c>
    </row>
    <row r="4" spans="1:26" x14ac:dyDescent="0.2">
      <c r="A4" s="231" t="s">
        <v>118</v>
      </c>
      <c r="B4" s="232">
        <v>720554</v>
      </c>
      <c r="C4" s="232">
        <v>1260207</v>
      </c>
      <c r="D4" s="232">
        <v>370983</v>
      </c>
      <c r="E4" s="232">
        <v>1026082</v>
      </c>
      <c r="F4" s="232">
        <v>742863</v>
      </c>
      <c r="G4" s="232">
        <v>1397883</v>
      </c>
      <c r="H4" s="232">
        <v>374833</v>
      </c>
      <c r="I4" s="232">
        <v>929683</v>
      </c>
      <c r="J4" s="324">
        <v>746153</v>
      </c>
      <c r="K4" s="331">
        <v>1470072</v>
      </c>
      <c r="L4" s="331">
        <v>782055</v>
      </c>
      <c r="M4" s="403">
        <v>1185946</v>
      </c>
      <c r="N4" s="501">
        <v>937160</v>
      </c>
      <c r="O4" s="489">
        <f t="shared" ref="O4:Q5" si="1">O16</f>
        <v>1793968.8079180685</v>
      </c>
      <c r="P4" s="244">
        <f t="shared" si="1"/>
        <v>540933.37322522583</v>
      </c>
      <c r="Q4" s="245">
        <f t="shared" si="1"/>
        <v>1517240.250087121</v>
      </c>
      <c r="U4" s="231" t="s">
        <v>118</v>
      </c>
      <c r="V4" s="315">
        <v>0.14499999999999999</v>
      </c>
      <c r="W4" s="399">
        <v>0.13900000000000001</v>
      </c>
      <c r="X4" s="399">
        <v>0.14399999999999999</v>
      </c>
    </row>
    <row r="5" spans="1:26" ht="17" thickBot="1" x14ac:dyDescent="0.25">
      <c r="A5" s="231" t="s">
        <v>84</v>
      </c>
      <c r="B5" s="232">
        <v>91402</v>
      </c>
      <c r="C5" s="232">
        <v>73876</v>
      </c>
      <c r="D5" s="232">
        <v>123163</v>
      </c>
      <c r="E5" s="232">
        <v>177223</v>
      </c>
      <c r="F5" s="232">
        <v>92999</v>
      </c>
      <c r="G5" s="232">
        <v>67706</v>
      </c>
      <c r="H5" s="232">
        <v>120902</v>
      </c>
      <c r="I5" s="232">
        <v>166940</v>
      </c>
      <c r="J5" s="325">
        <v>97488</v>
      </c>
      <c r="K5" s="332">
        <v>74488</v>
      </c>
      <c r="L5" s="332">
        <v>74656</v>
      </c>
      <c r="M5" s="404">
        <v>149464</v>
      </c>
      <c r="N5" s="502">
        <v>114513</v>
      </c>
      <c r="O5" s="490">
        <f t="shared" si="1"/>
        <v>72166.446310619314</v>
      </c>
      <c r="P5" s="246">
        <f t="shared" si="1"/>
        <v>108015.22225933496</v>
      </c>
      <c r="Q5" s="247">
        <f t="shared" si="1"/>
        <v>144119.55683852479</v>
      </c>
      <c r="U5" s="231" t="s">
        <v>84</v>
      </c>
      <c r="V5" s="315">
        <v>0.153</v>
      </c>
      <c r="W5" s="399">
        <v>0.14899999999999999</v>
      </c>
      <c r="X5" s="399">
        <v>0.152</v>
      </c>
    </row>
    <row r="6" spans="1:26" ht="16" customHeight="1" x14ac:dyDescent="0.2">
      <c r="J6" s="275" t="s">
        <v>222</v>
      </c>
      <c r="K6" s="275" t="s">
        <v>222</v>
      </c>
      <c r="L6" s="275" t="s">
        <v>222</v>
      </c>
      <c r="M6" s="275" t="s">
        <v>222</v>
      </c>
      <c r="N6" s="275" t="s">
        <v>222</v>
      </c>
      <c r="O6" s="491" t="s">
        <v>227</v>
      </c>
      <c r="P6" s="487"/>
      <c r="Q6" s="487"/>
      <c r="X6" s="400" t="s">
        <v>415</v>
      </c>
    </row>
    <row r="7" spans="1:26" ht="16" customHeight="1" x14ac:dyDescent="0.2">
      <c r="I7" s="231" t="s">
        <v>79</v>
      </c>
      <c r="J7" s="276">
        <f t="shared" ref="J7:N9" si="2">I3*(1+J53)</f>
        <v>406826.4375</v>
      </c>
      <c r="K7" s="276">
        <f t="shared" si="2"/>
        <v>369642.46799999999</v>
      </c>
      <c r="L7" s="276">
        <f t="shared" si="2"/>
        <v>488661.34079999995</v>
      </c>
      <c r="M7" s="276">
        <f t="shared" si="2"/>
        <v>342912</v>
      </c>
      <c r="N7" s="276">
        <f t="shared" si="2"/>
        <v>507133.22370000003</v>
      </c>
      <c r="O7" s="491"/>
      <c r="P7" s="487"/>
      <c r="Q7" s="487"/>
      <c r="U7" s="242" t="s">
        <v>219</v>
      </c>
      <c r="V7" s="231" t="s">
        <v>407</v>
      </c>
      <c r="W7" s="231" t="s">
        <v>408</v>
      </c>
      <c r="X7" s="231" t="s">
        <v>410</v>
      </c>
    </row>
    <row r="8" spans="1:26" ht="16" customHeight="1" x14ac:dyDescent="0.2">
      <c r="I8" s="231" t="s">
        <v>118</v>
      </c>
      <c r="J8" s="276">
        <f t="shared" si="2"/>
        <v>743746.4</v>
      </c>
      <c r="K8" s="276">
        <f t="shared" si="2"/>
        <v>1417690.7</v>
      </c>
      <c r="L8" s="276">
        <f t="shared" si="2"/>
        <v>812361.78720000002</v>
      </c>
      <c r="M8" s="276">
        <f t="shared" si="2"/>
        <v>1117243.7729999998</v>
      </c>
      <c r="N8" s="276">
        <f t="shared" si="2"/>
        <v>948756.8</v>
      </c>
      <c r="O8" s="491"/>
      <c r="P8" s="487"/>
      <c r="Q8" s="487"/>
      <c r="U8" s="231" t="s">
        <v>79</v>
      </c>
      <c r="V8" s="399">
        <v>0.19</v>
      </c>
      <c r="W8" s="399">
        <v>0.184</v>
      </c>
      <c r="X8" s="402">
        <v>0.21199999999999999</v>
      </c>
    </row>
    <row r="9" spans="1:26" ht="16" customHeight="1" x14ac:dyDescent="0.2">
      <c r="I9" s="231" t="s">
        <v>84</v>
      </c>
      <c r="J9" s="276">
        <f t="shared" si="2"/>
        <v>98194.108000000007</v>
      </c>
      <c r="K9" s="276">
        <f t="shared" si="2"/>
        <v>73116</v>
      </c>
      <c r="L9" s="276">
        <f t="shared" si="2"/>
        <v>79456.349600000001</v>
      </c>
      <c r="M9" s="276">
        <f t="shared" si="2"/>
        <v>139980</v>
      </c>
      <c r="N9" s="276">
        <f t="shared" si="2"/>
        <v>114594.04879999999</v>
      </c>
      <c r="O9" s="491"/>
      <c r="P9" s="487"/>
      <c r="Q9" s="487"/>
      <c r="U9" s="231" t="s">
        <v>118</v>
      </c>
      <c r="V9" s="399">
        <v>0.14399999999999999</v>
      </c>
      <c r="W9" s="399">
        <v>0.16700000000000001</v>
      </c>
      <c r="X9" s="402">
        <v>0.17</v>
      </c>
    </row>
    <row r="10" spans="1:26" ht="16" customHeight="1" x14ac:dyDescent="0.2">
      <c r="I10" s="231"/>
      <c r="J10" s="271" t="s">
        <v>225</v>
      </c>
      <c r="K10" s="271" t="s">
        <v>225</v>
      </c>
      <c r="L10" s="271" t="s">
        <v>225</v>
      </c>
      <c r="M10" s="271" t="s">
        <v>225</v>
      </c>
      <c r="N10" s="271" t="s">
        <v>225</v>
      </c>
      <c r="O10" s="492"/>
      <c r="P10" s="237"/>
      <c r="Q10" s="237"/>
      <c r="U10" s="231" t="s">
        <v>84</v>
      </c>
      <c r="V10" s="399">
        <v>0.152</v>
      </c>
      <c r="W10" s="399">
        <v>0.14899999999999999</v>
      </c>
      <c r="X10" s="402">
        <v>0.156</v>
      </c>
      <c r="Z10" s="235"/>
    </row>
    <row r="11" spans="1:26" x14ac:dyDescent="0.2">
      <c r="H11" s="270"/>
      <c r="I11" s="238" t="s">
        <v>79</v>
      </c>
      <c r="J11" s="66">
        <f>IF(J3=0,0,J3-J7)</f>
        <v>1708.5625</v>
      </c>
      <c r="K11" s="66">
        <f t="shared" ref="K11:N11" si="3">IF(K3=0,0,K3-K7)</f>
        <v>17201.532000000007</v>
      </c>
      <c r="L11" s="66">
        <f t="shared" si="3"/>
        <v>-31445.340799999947</v>
      </c>
      <c r="M11" s="66">
        <f t="shared" si="3"/>
        <v>22221</v>
      </c>
      <c r="N11" s="66">
        <f t="shared" si="3"/>
        <v>-6198.2237000000314</v>
      </c>
      <c r="O11" s="493"/>
      <c r="X11" s="400" t="s">
        <v>415</v>
      </c>
    </row>
    <row r="12" spans="1:26" x14ac:dyDescent="0.2">
      <c r="H12" s="270"/>
      <c r="I12" s="238" t="s">
        <v>118</v>
      </c>
      <c r="J12" s="66">
        <f>IF(J4=0,0,J4-J8)</f>
        <v>2406.5999999999767</v>
      </c>
      <c r="K12" s="66">
        <f t="shared" ref="K12:N13" si="4">IF(K4=0,0,K4-K8)</f>
        <v>52381.300000000047</v>
      </c>
      <c r="L12" s="66">
        <f t="shared" si="4"/>
        <v>-30306.787200000021</v>
      </c>
      <c r="M12" s="66">
        <f t="shared" si="4"/>
        <v>68702.227000000188</v>
      </c>
      <c r="N12" s="66">
        <f t="shared" si="4"/>
        <v>-11596.800000000047</v>
      </c>
      <c r="O12" s="493"/>
      <c r="U12" s="242" t="s">
        <v>220</v>
      </c>
      <c r="V12" s="231" t="s">
        <v>407</v>
      </c>
      <c r="W12" s="231" t="s">
        <v>408</v>
      </c>
      <c r="X12" s="231" t="s">
        <v>411</v>
      </c>
    </row>
    <row r="13" spans="1:26" x14ac:dyDescent="0.2">
      <c r="H13" s="270"/>
      <c r="I13" s="238" t="s">
        <v>84</v>
      </c>
      <c r="J13" s="66">
        <f>IF(J5=0,0,J5-J9)</f>
        <v>-706.10800000000745</v>
      </c>
      <c r="K13" s="66">
        <f t="shared" si="4"/>
        <v>1372</v>
      </c>
      <c r="L13" s="66">
        <f t="shared" si="4"/>
        <v>-4800.3496000000014</v>
      </c>
      <c r="M13" s="66">
        <f t="shared" si="4"/>
        <v>9484</v>
      </c>
      <c r="N13" s="66">
        <f t="shared" si="4"/>
        <v>-81.048799999989569</v>
      </c>
      <c r="O13" s="493"/>
      <c r="U13" s="231" t="s">
        <v>79</v>
      </c>
      <c r="V13" s="402">
        <v>0.21199999999999999</v>
      </c>
      <c r="W13" s="401">
        <v>0.21199999999999999</v>
      </c>
      <c r="X13" s="402">
        <v>0.23</v>
      </c>
    </row>
    <row r="14" spans="1:26" x14ac:dyDescent="0.2">
      <c r="J14" s="277" t="s">
        <v>223</v>
      </c>
      <c r="K14" s="277" t="s">
        <v>223</v>
      </c>
      <c r="L14" s="277" t="s">
        <v>223</v>
      </c>
      <c r="M14" s="277" t="s">
        <v>223</v>
      </c>
      <c r="N14" s="277" t="s">
        <v>223</v>
      </c>
      <c r="O14" s="257" t="s">
        <v>223</v>
      </c>
      <c r="P14" s="249" t="s">
        <v>223</v>
      </c>
      <c r="Q14" s="249" t="s">
        <v>223</v>
      </c>
      <c r="R14" s="540" t="s">
        <v>233</v>
      </c>
      <c r="S14" s="540"/>
      <c r="U14" s="231" t="s">
        <v>118</v>
      </c>
      <c r="V14" s="402">
        <v>0.17</v>
      </c>
      <c r="W14" s="401">
        <v>0.19800000000000001</v>
      </c>
      <c r="X14" s="402">
        <v>0.24</v>
      </c>
    </row>
    <row r="15" spans="1:26" x14ac:dyDescent="0.2">
      <c r="I15" s="231" t="s">
        <v>79</v>
      </c>
      <c r="J15" s="278">
        <f>'FABRICS - retail'!$F$46</f>
        <v>418145.68871873716</v>
      </c>
      <c r="K15" s="278">
        <f>'FABRICS - retail'!$F$47</f>
        <v>402907.26878583228</v>
      </c>
      <c r="L15" s="278">
        <f>'FABRICS - retail'!$F$48</f>
        <v>897685.78604051122</v>
      </c>
      <c r="M15" s="278">
        <f>'FABRICS - retail'!$F$49</f>
        <v>366054.95130026626</v>
      </c>
      <c r="N15" s="278">
        <f>'FABRICS - retail'!$F$50</f>
        <v>451113.39188488375</v>
      </c>
      <c r="O15" s="258">
        <f>'FABRICS - retail'!$F$51</f>
        <v>434059.50395586697</v>
      </c>
      <c r="P15" s="236">
        <f>'FABRICS - retail'!$F$52</f>
        <v>965777.42682061507</v>
      </c>
      <c r="Q15" s="236">
        <f>'FABRICS - retail'!$F$53</f>
        <v>393304.372183981</v>
      </c>
      <c r="R15" s="540"/>
      <c r="S15" s="540"/>
      <c r="U15" s="231" t="s">
        <v>84</v>
      </c>
      <c r="V15" s="402">
        <v>1.4E-2</v>
      </c>
      <c r="W15" s="401">
        <v>2.3E-2</v>
      </c>
      <c r="X15" s="402">
        <v>0.161</v>
      </c>
    </row>
    <row r="16" spans="1:26" x14ac:dyDescent="0.2">
      <c r="I16" s="231" t="s">
        <v>118</v>
      </c>
      <c r="J16" s="278">
        <f>'FITTINGS - retail'!$F$46</f>
        <v>749748.37358849379</v>
      </c>
      <c r="K16" s="278">
        <f>'FITTINGS - retail'!$F$47</f>
        <v>1361597.8272427013</v>
      </c>
      <c r="L16" s="278">
        <f>'FITTINGS - retail'!$F$48</f>
        <v>412504.31511073594</v>
      </c>
      <c r="M16" s="278">
        <f>'FITTINGS - retail'!$F$49</f>
        <v>1069021.3737127464</v>
      </c>
      <c r="N16" s="278">
        <f>'FITTINGS - retail'!$F$50</f>
        <v>893962.05067385943</v>
      </c>
      <c r="O16" s="258">
        <f>'FITTINGS - retail'!$F$51</f>
        <v>1793968.8079180685</v>
      </c>
      <c r="P16" s="236">
        <f>'FITTINGS - retail'!$F$52</f>
        <v>540933.37322522583</v>
      </c>
      <c r="Q16" s="236">
        <f>'FITTINGS - retail'!$F$53</f>
        <v>1517240.250087121</v>
      </c>
      <c r="R16" s="540"/>
      <c r="S16" s="540"/>
      <c r="X16" s="400" t="s">
        <v>415</v>
      </c>
    </row>
    <row r="17" spans="2:24" x14ac:dyDescent="0.2">
      <c r="I17" s="231" t="s">
        <v>84</v>
      </c>
      <c r="J17" s="278">
        <f>'FURNITURE - retail'!$F$46</f>
        <v>87929.843148195228</v>
      </c>
      <c r="K17" s="278">
        <f>'FURNITURE - retail'!$F$47</f>
        <v>66903.846099187766</v>
      </c>
      <c r="L17" s="278">
        <f>'FURNITURE - retail'!$F$48</f>
        <v>114581.51776364092</v>
      </c>
      <c r="M17" s="278">
        <f>'FURNITURE - retail'!$F$49</f>
        <v>160139.0530421841</v>
      </c>
      <c r="N17" s="278">
        <f>'FURNITURE - retail'!$F$50</f>
        <v>94210.724499719247</v>
      </c>
      <c r="O17" s="258">
        <f>'FURNITURE - retail'!$F$51</f>
        <v>72166.446310619314</v>
      </c>
      <c r="P17" s="236">
        <f>'FURNITURE - retail'!$F$52</f>
        <v>108015.22225933496</v>
      </c>
      <c r="Q17" s="236">
        <f>'FURNITURE - retail'!$F$53</f>
        <v>144119.55683852479</v>
      </c>
      <c r="R17" s="540"/>
      <c r="S17" s="540"/>
      <c r="U17" s="230" t="s">
        <v>221</v>
      </c>
      <c r="V17" s="231" t="s">
        <v>407</v>
      </c>
      <c r="W17" s="231" t="s">
        <v>408</v>
      </c>
      <c r="X17" s="231" t="s">
        <v>413</v>
      </c>
    </row>
    <row r="18" spans="2:24" x14ac:dyDescent="0.2">
      <c r="I18" s="231"/>
      <c r="J18" s="271" t="s">
        <v>225</v>
      </c>
      <c r="K18" s="271" t="s">
        <v>225</v>
      </c>
      <c r="L18" s="271" t="s">
        <v>225</v>
      </c>
      <c r="M18" s="271" t="s">
        <v>225</v>
      </c>
      <c r="N18" s="271" t="s">
        <v>225</v>
      </c>
      <c r="O18" s="489"/>
      <c r="P18" s="234"/>
      <c r="Q18" s="234"/>
      <c r="U18" s="231" t="s">
        <v>79</v>
      </c>
      <c r="V18" s="402">
        <v>0.23</v>
      </c>
      <c r="W18" s="476">
        <f>M43</f>
        <v>0.191</v>
      </c>
      <c r="X18" s="389">
        <v>0.24</v>
      </c>
    </row>
    <row r="19" spans="2:24" x14ac:dyDescent="0.2">
      <c r="H19" s="269"/>
      <c r="I19" s="240" t="s">
        <v>79</v>
      </c>
      <c r="J19" s="66">
        <f>IF(J3=0,0,J3-J15)</f>
        <v>-9610.6887187371613</v>
      </c>
      <c r="K19" s="66">
        <f t="shared" ref="K19:N19" si="5">IF(K3=0,0,K3-K15)</f>
        <v>-16063.268785832275</v>
      </c>
      <c r="L19" s="66">
        <f t="shared" si="5"/>
        <v>-440469.78604051122</v>
      </c>
      <c r="M19" s="66">
        <f t="shared" si="5"/>
        <v>-921.95130026625702</v>
      </c>
      <c r="N19" s="66">
        <f t="shared" si="5"/>
        <v>49821.608115116251</v>
      </c>
      <c r="O19" s="493"/>
      <c r="P19" s="14"/>
      <c r="Q19" s="14"/>
      <c r="U19" s="231" t="s">
        <v>118</v>
      </c>
      <c r="V19" s="402">
        <v>0.24</v>
      </c>
      <c r="W19" s="476">
        <f t="shared" ref="W19:W20" si="6">M44</f>
        <v>0.21299999999999999</v>
      </c>
      <c r="X19" s="389">
        <v>0.24</v>
      </c>
    </row>
    <row r="20" spans="2:24" x14ac:dyDescent="0.2">
      <c r="H20" s="269"/>
      <c r="I20" s="240" t="s">
        <v>118</v>
      </c>
      <c r="J20" s="66">
        <f>IF(J4=0,0,J4-J16)</f>
        <v>-3595.3735884937923</v>
      </c>
      <c r="K20" s="66">
        <f t="shared" ref="K20:N21" si="7">IF(K4=0,0,K4-K16)</f>
        <v>108474.17275729869</v>
      </c>
      <c r="L20" s="66">
        <f t="shared" si="7"/>
        <v>369550.68488926406</v>
      </c>
      <c r="M20" s="66">
        <f t="shared" si="7"/>
        <v>116924.62628725357</v>
      </c>
      <c r="N20" s="66">
        <f t="shared" si="7"/>
        <v>43197.949326140573</v>
      </c>
      <c r="O20" s="493"/>
      <c r="P20" s="14"/>
      <c r="Q20" s="14"/>
      <c r="U20" s="231" t="s">
        <v>84</v>
      </c>
      <c r="V20" s="402">
        <v>0.161</v>
      </c>
      <c r="W20" s="476">
        <f t="shared" si="6"/>
        <v>0.157</v>
      </c>
      <c r="X20" s="389">
        <v>0.19</v>
      </c>
    </row>
    <row r="21" spans="2:24" x14ac:dyDescent="0.2">
      <c r="H21" s="269"/>
      <c r="I21" s="240" t="s">
        <v>84</v>
      </c>
      <c r="J21" s="66">
        <f>IF(J5=0,0,J5-J17)</f>
        <v>9558.1568518047716</v>
      </c>
      <c r="K21" s="66">
        <f t="shared" si="7"/>
        <v>7584.1539008122345</v>
      </c>
      <c r="L21" s="66">
        <f t="shared" si="7"/>
        <v>-39925.517763640921</v>
      </c>
      <c r="M21" s="66">
        <f t="shared" si="7"/>
        <v>-10675.053042184096</v>
      </c>
      <c r="N21" s="66">
        <f t="shared" si="7"/>
        <v>20302.275500280753</v>
      </c>
      <c r="O21" s="493"/>
      <c r="P21" s="14"/>
      <c r="Q21" s="14"/>
      <c r="X21" s="400" t="s">
        <v>415</v>
      </c>
    </row>
    <row r="22" spans="2:24" ht="16" customHeight="1" x14ac:dyDescent="0.2">
      <c r="J22" s="279" t="s">
        <v>226</v>
      </c>
      <c r="K22" s="279" t="s">
        <v>226</v>
      </c>
      <c r="L22" s="279" t="s">
        <v>226</v>
      </c>
      <c r="M22" s="279" t="s">
        <v>226</v>
      </c>
      <c r="N22" s="279" t="s">
        <v>226</v>
      </c>
      <c r="O22" s="494"/>
      <c r="P22" s="488"/>
      <c r="Q22" s="488"/>
      <c r="U22" s="242" t="s">
        <v>412</v>
      </c>
      <c r="V22" s="231" t="s">
        <v>407</v>
      </c>
      <c r="W22" s="231" t="s">
        <v>408</v>
      </c>
      <c r="X22" s="231" t="s">
        <v>414</v>
      </c>
    </row>
    <row r="23" spans="2:24" ht="16" customHeight="1" x14ac:dyDescent="0.2">
      <c r="I23" s="231" t="s">
        <v>79</v>
      </c>
      <c r="J23" s="273">
        <f>$S$24*J7+$S$25*J15</f>
        <v>407958.36262187373</v>
      </c>
      <c r="K23" s="273">
        <f t="shared" ref="K23:M23" si="8">$S$24*K7+$S$25*K15</f>
        <v>372968.94807858323</v>
      </c>
      <c r="L23" s="273">
        <f>$S$24*L7+$S$25*L15</f>
        <v>529563.78532405104</v>
      </c>
      <c r="M23" s="273">
        <f t="shared" si="8"/>
        <v>345226.29513002664</v>
      </c>
      <c r="N23" s="485">
        <f>$S$25*N15+$S$24*N7</f>
        <v>501531.2405184884</v>
      </c>
      <c r="O23" s="494"/>
      <c r="P23" s="488"/>
      <c r="Q23" s="488"/>
      <c r="U23" s="231" t="s">
        <v>79</v>
      </c>
      <c r="V23" s="389">
        <v>0.24</v>
      </c>
      <c r="W23" s="389">
        <v>0.191</v>
      </c>
      <c r="X23" s="389">
        <v>0.22</v>
      </c>
    </row>
    <row r="24" spans="2:24" ht="16" customHeight="1" x14ac:dyDescent="0.2">
      <c r="I24" s="231" t="s">
        <v>118</v>
      </c>
      <c r="J24" s="273">
        <f t="shared" ref="J24:M25" si="9">$S$24*J8+$S$25*J16</f>
        <v>744346.59735884937</v>
      </c>
      <c r="K24" s="273">
        <f t="shared" si="9"/>
        <v>1412081.41272427</v>
      </c>
      <c r="L24" s="273">
        <f t="shared" si="9"/>
        <v>772376.03999107366</v>
      </c>
      <c r="M24" s="273">
        <f t="shared" si="9"/>
        <v>1112421.5330712744</v>
      </c>
      <c r="N24" s="485">
        <f t="shared" ref="N24:N25" si="10">$S$25*N16+$S$24*N8</f>
        <v>943277.32506738603</v>
      </c>
      <c r="O24" s="494"/>
      <c r="P24" s="488"/>
      <c r="Q24" s="488"/>
      <c r="R24" s="274" t="s">
        <v>2</v>
      </c>
      <c r="S24" s="272">
        <v>0.9</v>
      </c>
      <c r="U24" s="231" t="s">
        <v>118</v>
      </c>
      <c r="V24" s="389">
        <v>0.24</v>
      </c>
      <c r="W24" s="389">
        <v>0.14299999999999999</v>
      </c>
      <c r="X24" s="389">
        <v>0.19500000000000001</v>
      </c>
    </row>
    <row r="25" spans="2:24" ht="16" customHeight="1" x14ac:dyDescent="0.2">
      <c r="B25" s="233"/>
      <c r="I25" s="231" t="s">
        <v>84</v>
      </c>
      <c r="J25" s="273">
        <f t="shared" si="9"/>
        <v>97167.681514819531</v>
      </c>
      <c r="K25" s="273">
        <f t="shared" si="9"/>
        <v>72494.784609918788</v>
      </c>
      <c r="L25" s="273">
        <f t="shared" si="9"/>
        <v>82968.866416364093</v>
      </c>
      <c r="M25" s="273">
        <f t="shared" si="9"/>
        <v>141995.90530421841</v>
      </c>
      <c r="N25" s="485">
        <f t="shared" si="10"/>
        <v>112555.71636997191</v>
      </c>
      <c r="O25" s="494"/>
      <c r="P25" s="488"/>
      <c r="Q25" s="488"/>
      <c r="R25" s="274" t="s">
        <v>4</v>
      </c>
      <c r="S25" s="272">
        <v>0.1</v>
      </c>
      <c r="U25" s="231" t="s">
        <v>84</v>
      </c>
      <c r="V25" s="389">
        <v>0.19</v>
      </c>
      <c r="W25" s="389">
        <v>0.18</v>
      </c>
      <c r="X25" s="389">
        <v>0.2</v>
      </c>
    </row>
    <row r="26" spans="2:24" ht="19" x14ac:dyDescent="0.2">
      <c r="B26" s="233"/>
      <c r="I26" s="231"/>
      <c r="J26" s="271" t="s">
        <v>225</v>
      </c>
      <c r="K26" s="271" t="s">
        <v>225</v>
      </c>
      <c r="L26" s="271" t="s">
        <v>225</v>
      </c>
      <c r="M26" s="271" t="s">
        <v>225</v>
      </c>
      <c r="N26" s="271" t="s">
        <v>225</v>
      </c>
      <c r="O26" s="495"/>
      <c r="P26" s="239"/>
      <c r="Q26" s="239"/>
    </row>
    <row r="27" spans="2:24" x14ac:dyDescent="0.2">
      <c r="B27" s="233"/>
      <c r="H27" s="269"/>
      <c r="I27" s="238" t="s">
        <v>79</v>
      </c>
      <c r="J27" s="66">
        <f t="shared" ref="J27:N29" si="11">IF(J3=0,0,J3-J23)</f>
        <v>576.63737812626641</v>
      </c>
      <c r="K27" s="66">
        <f t="shared" si="11"/>
        <v>13875.051921416773</v>
      </c>
      <c r="L27" s="66">
        <f t="shared" si="11"/>
        <v>-72347.785324051045</v>
      </c>
      <c r="M27" s="66">
        <f t="shared" si="11"/>
        <v>19906.704869973357</v>
      </c>
      <c r="N27" s="66">
        <f t="shared" si="11"/>
        <v>-596.24051848839736</v>
      </c>
      <c r="O27" s="493"/>
      <c r="U27" s="23"/>
      <c r="V27" s="302"/>
      <c r="W27" s="302"/>
      <c r="X27" s="302"/>
    </row>
    <row r="28" spans="2:24" x14ac:dyDescent="0.2">
      <c r="B28" s="233"/>
      <c r="H28" s="269"/>
      <c r="I28" s="238" t="s">
        <v>118</v>
      </c>
      <c r="J28" s="66">
        <f t="shared" si="11"/>
        <v>1806.4026411506347</v>
      </c>
      <c r="K28" s="66">
        <f t="shared" si="11"/>
        <v>57990.58727572998</v>
      </c>
      <c r="L28" s="66">
        <f t="shared" si="11"/>
        <v>9678.9600089263404</v>
      </c>
      <c r="M28" s="66">
        <f t="shared" si="11"/>
        <v>73524.466928725597</v>
      </c>
      <c r="N28" s="66">
        <f t="shared" si="11"/>
        <v>-6117.3250673860312</v>
      </c>
      <c r="O28" s="493"/>
      <c r="U28" s="302"/>
      <c r="V28" s="61"/>
      <c r="W28" s="61"/>
      <c r="X28" s="61"/>
    </row>
    <row r="29" spans="2:24" x14ac:dyDescent="0.2">
      <c r="B29" s="233"/>
      <c r="H29" s="269"/>
      <c r="I29" s="238" t="s">
        <v>84</v>
      </c>
      <c r="J29" s="66">
        <f t="shared" si="11"/>
        <v>320.318485180469</v>
      </c>
      <c r="K29" s="66">
        <f t="shared" si="11"/>
        <v>1993.2153900812118</v>
      </c>
      <c r="L29" s="66">
        <f t="shared" si="11"/>
        <v>-8312.8664163640933</v>
      </c>
      <c r="M29" s="66">
        <f t="shared" si="11"/>
        <v>7468.0946957815904</v>
      </c>
      <c r="N29" s="66">
        <f t="shared" si="11"/>
        <v>1957.2836300280906</v>
      </c>
      <c r="O29" s="493"/>
      <c r="U29" s="302"/>
      <c r="V29" s="61"/>
      <c r="W29" s="61"/>
      <c r="X29" s="61"/>
    </row>
    <row r="30" spans="2:24" x14ac:dyDescent="0.2">
      <c r="B30" s="233"/>
      <c r="H30" s="248"/>
      <c r="I30" s="238"/>
      <c r="J30" s="253" t="s">
        <v>184</v>
      </c>
      <c r="K30" s="253" t="s">
        <v>184</v>
      </c>
      <c r="L30" s="253" t="s">
        <v>184</v>
      </c>
      <c r="M30" s="253" t="s">
        <v>184</v>
      </c>
      <c r="N30" s="253" t="s">
        <v>184</v>
      </c>
      <c r="O30" s="496" t="s">
        <v>184</v>
      </c>
      <c r="U30" s="302"/>
      <c r="V30" s="61"/>
      <c r="W30" s="61"/>
      <c r="X30" s="61"/>
    </row>
    <row r="31" spans="2:24" x14ac:dyDescent="0.2">
      <c r="B31" s="233"/>
      <c r="H31" s="248"/>
      <c r="I31" s="231" t="s">
        <v>79</v>
      </c>
      <c r="J31" s="254">
        <f>J7*J39</f>
        <v>65092.23</v>
      </c>
      <c r="K31" s="254">
        <f>IF(K7&gt;0,K7*K39,K15*K39)</f>
        <v>70232.068920000005</v>
      </c>
      <c r="L31" s="254">
        <f t="shared" ref="L31:M31" si="12">IF(L7&gt;0,L7*L39,L15*L39)</f>
        <v>103596.20424959999</v>
      </c>
      <c r="M31" s="254">
        <f t="shared" si="12"/>
        <v>87099.648000000001</v>
      </c>
      <c r="N31" s="254">
        <f>N23*N39</f>
        <v>125382.8101296221</v>
      </c>
      <c r="O31" s="259">
        <f>O39*O15</f>
        <v>95493.090870290733</v>
      </c>
    </row>
    <row r="32" spans="2:24" x14ac:dyDescent="0.2">
      <c r="B32" s="233"/>
      <c r="H32" s="248"/>
      <c r="I32" s="231" t="s">
        <v>118</v>
      </c>
      <c r="J32" s="254">
        <f t="shared" ref="J32:J33" si="13">J8*J40</f>
        <v>107843.228</v>
      </c>
      <c r="K32" s="254">
        <f t="shared" ref="K32:M33" si="14">IF(K8&gt;0,K8*K40,K16*K40)</f>
        <v>204147.46079999997</v>
      </c>
      <c r="L32" s="254">
        <f t="shared" si="14"/>
        <v>138101.50382400001</v>
      </c>
      <c r="M32" s="254">
        <f t="shared" si="14"/>
        <v>268138.50551999995</v>
      </c>
      <c r="N32" s="254">
        <f t="shared" ref="N32:N33" si="15">N24*N40</f>
        <v>237705.88591698129</v>
      </c>
      <c r="O32" s="259">
        <f t="shared" ref="O32:O33" si="16">O40*O16</f>
        <v>349823.91754402337</v>
      </c>
    </row>
    <row r="33" spans="1:17" ht="17" thickBot="1" x14ac:dyDescent="0.25">
      <c r="B33" s="233"/>
      <c r="H33" s="248"/>
      <c r="I33" s="231" t="s">
        <v>84</v>
      </c>
      <c r="J33" s="254">
        <f t="shared" si="13"/>
        <v>15023.698524000001</v>
      </c>
      <c r="K33" s="254">
        <f t="shared" si="14"/>
        <v>11113.632</v>
      </c>
      <c r="L33" s="254">
        <f t="shared" si="14"/>
        <v>993.20437000000004</v>
      </c>
      <c r="M33" s="254">
        <f t="shared" si="14"/>
        <v>22536.78</v>
      </c>
      <c r="N33" s="254">
        <f t="shared" si="15"/>
        <v>21385.586110294662</v>
      </c>
      <c r="O33" s="259">
        <f t="shared" si="16"/>
        <v>14433.289262123864</v>
      </c>
    </row>
    <row r="34" spans="1:17" x14ac:dyDescent="0.2">
      <c r="B34" s="233"/>
      <c r="H34" s="248"/>
      <c r="I34" s="263"/>
      <c r="J34" s="264" t="s">
        <v>230</v>
      </c>
      <c r="K34" s="264" t="s">
        <v>230</v>
      </c>
      <c r="L34" s="264" t="s">
        <v>230</v>
      </c>
      <c r="M34" s="264" t="s">
        <v>230</v>
      </c>
      <c r="N34" s="264" t="s">
        <v>230</v>
      </c>
      <c r="O34" s="503" t="s">
        <v>230</v>
      </c>
    </row>
    <row r="35" spans="1:17" x14ac:dyDescent="0.2">
      <c r="B35" s="233"/>
      <c r="H35" s="248"/>
      <c r="I35" s="265" t="s">
        <v>79</v>
      </c>
      <c r="J35" s="262">
        <f>J31/0.9</f>
        <v>72324.7</v>
      </c>
      <c r="K35" s="262">
        <f t="shared" ref="K35:N35" si="17">K31/0.9</f>
        <v>78035.632133333333</v>
      </c>
      <c r="L35" s="262">
        <f t="shared" si="17"/>
        <v>115106.89361066665</v>
      </c>
      <c r="M35" s="262">
        <f t="shared" si="17"/>
        <v>96777.386666666673</v>
      </c>
      <c r="N35" s="262">
        <f t="shared" si="17"/>
        <v>139314.23347735789</v>
      </c>
      <c r="O35" s="261">
        <f>O31/0.9</f>
        <v>106103.43430032303</v>
      </c>
    </row>
    <row r="36" spans="1:17" x14ac:dyDescent="0.2">
      <c r="B36" s="233"/>
      <c r="H36" s="248"/>
      <c r="I36" s="265" t="s">
        <v>118</v>
      </c>
      <c r="J36" s="262">
        <f t="shared" ref="J36:O37" si="18">J32/0.9</f>
        <v>119825.80888888889</v>
      </c>
      <c r="K36" s="262">
        <f t="shared" si="18"/>
        <v>226830.51199999996</v>
      </c>
      <c r="L36" s="262">
        <f t="shared" si="18"/>
        <v>153446.11536000003</v>
      </c>
      <c r="M36" s="262">
        <f t="shared" si="18"/>
        <v>297931.67279999994</v>
      </c>
      <c r="N36" s="262">
        <f t="shared" si="18"/>
        <v>264117.65101886808</v>
      </c>
      <c r="O36" s="261">
        <f t="shared" si="18"/>
        <v>388693.24171558151</v>
      </c>
    </row>
    <row r="37" spans="1:17" ht="17" thickBot="1" x14ac:dyDescent="0.25">
      <c r="B37" s="233"/>
      <c r="H37" s="248"/>
      <c r="I37" s="266" t="s">
        <v>84</v>
      </c>
      <c r="J37" s="268">
        <f t="shared" si="18"/>
        <v>16692.998360000001</v>
      </c>
      <c r="K37" s="268">
        <f t="shared" si="18"/>
        <v>12348.48</v>
      </c>
      <c r="L37" s="268">
        <f t="shared" si="18"/>
        <v>1103.5604111111111</v>
      </c>
      <c r="M37" s="268">
        <f t="shared" si="18"/>
        <v>25040.866666666665</v>
      </c>
      <c r="N37" s="268">
        <f t="shared" si="18"/>
        <v>23761.762344771847</v>
      </c>
      <c r="O37" s="267">
        <f t="shared" si="18"/>
        <v>16036.988069026516</v>
      </c>
    </row>
    <row r="38" spans="1:17" x14ac:dyDescent="0.2">
      <c r="A38" s="229" t="s">
        <v>247</v>
      </c>
      <c r="B38" s="230" t="s">
        <v>210</v>
      </c>
      <c r="C38" s="230" t="s">
        <v>211</v>
      </c>
      <c r="D38" s="230" t="s">
        <v>212</v>
      </c>
      <c r="E38" s="230" t="s">
        <v>213</v>
      </c>
      <c r="F38" s="230" t="s">
        <v>214</v>
      </c>
      <c r="G38" s="230" t="s">
        <v>215</v>
      </c>
      <c r="H38" s="230" t="s">
        <v>216</v>
      </c>
      <c r="I38" s="230" t="s">
        <v>217</v>
      </c>
      <c r="J38" s="242" t="s">
        <v>218</v>
      </c>
      <c r="K38" s="242" t="s">
        <v>219</v>
      </c>
      <c r="L38" s="242" t="s">
        <v>220</v>
      </c>
      <c r="M38" s="242" t="s">
        <v>221</v>
      </c>
      <c r="N38" s="242" t="s">
        <v>412</v>
      </c>
      <c r="O38" s="260" t="s">
        <v>420</v>
      </c>
      <c r="Q38" s="23"/>
    </row>
    <row r="39" spans="1:17" x14ac:dyDescent="0.2">
      <c r="A39" s="231" t="s">
        <v>79</v>
      </c>
      <c r="B39" s="255">
        <v>0.16700000000000001</v>
      </c>
      <c r="C39" s="255">
        <v>0.16700000000000001</v>
      </c>
      <c r="D39" s="255">
        <v>0.16700000000000001</v>
      </c>
      <c r="E39" s="255">
        <v>0.16700000000000001</v>
      </c>
      <c r="F39" s="255">
        <v>0.16700000000000001</v>
      </c>
      <c r="G39" s="255">
        <v>0.16700000000000001</v>
      </c>
      <c r="H39" s="255">
        <v>0.16700000000000001</v>
      </c>
      <c r="I39" s="255">
        <v>0.16700000000000001</v>
      </c>
      <c r="J39" s="3">
        <v>0.16</v>
      </c>
      <c r="K39" s="323">
        <v>0.19</v>
      </c>
      <c r="L39" s="320">
        <v>0.21199999999999999</v>
      </c>
      <c r="M39" s="320">
        <v>0.254</v>
      </c>
      <c r="N39" s="504">
        <v>0.25</v>
      </c>
      <c r="O39" s="497">
        <v>0.22</v>
      </c>
      <c r="P39" s="235"/>
      <c r="Q39" s="235"/>
    </row>
    <row r="40" spans="1:17" x14ac:dyDescent="0.2">
      <c r="A40" s="231" t="s">
        <v>118</v>
      </c>
      <c r="B40" s="255">
        <v>0.16700000000000001</v>
      </c>
      <c r="C40" s="255">
        <v>0.16700000000000001</v>
      </c>
      <c r="D40" s="255">
        <v>0.16700000000000001</v>
      </c>
      <c r="E40" s="255">
        <v>0.16700000000000001</v>
      </c>
      <c r="F40" s="255">
        <v>0.16700000000000001</v>
      </c>
      <c r="G40" s="255">
        <v>0.16700000000000001</v>
      </c>
      <c r="H40" s="255">
        <v>0.16700000000000001</v>
      </c>
      <c r="I40" s="255">
        <v>0.16700000000000001</v>
      </c>
      <c r="J40" s="3">
        <v>0.14499999999999999</v>
      </c>
      <c r="K40" s="323">
        <v>0.14399999999999999</v>
      </c>
      <c r="L40" s="320">
        <v>0.17</v>
      </c>
      <c r="M40" s="320">
        <v>0.24</v>
      </c>
      <c r="N40" s="504">
        <v>0.252</v>
      </c>
      <c r="O40" s="497">
        <v>0.19500000000000001</v>
      </c>
      <c r="P40" s="235"/>
      <c r="Q40" s="235"/>
    </row>
    <row r="41" spans="1:17" x14ac:dyDescent="0.2">
      <c r="A41" s="231" t="s">
        <v>84</v>
      </c>
      <c r="B41" s="255">
        <v>0.16700000000000001</v>
      </c>
      <c r="C41" s="255">
        <v>0.16700000000000001</v>
      </c>
      <c r="D41" s="255">
        <v>0.16700000000000001</v>
      </c>
      <c r="E41" s="255">
        <v>0.16700000000000001</v>
      </c>
      <c r="F41" s="255">
        <v>0.16700000000000001</v>
      </c>
      <c r="G41" s="255">
        <v>0.16700000000000001</v>
      </c>
      <c r="H41" s="255">
        <v>0.16700000000000001</v>
      </c>
      <c r="I41" s="255">
        <v>0.16700000000000001</v>
      </c>
      <c r="J41" s="3">
        <v>0.153</v>
      </c>
      <c r="K41" s="323">
        <v>0.152</v>
      </c>
      <c r="L41" s="320">
        <v>1.2500000000000001E-2</v>
      </c>
      <c r="M41" s="320">
        <v>0.161</v>
      </c>
      <c r="N41" s="504">
        <v>0.19</v>
      </c>
      <c r="O41" s="497">
        <v>0.2</v>
      </c>
      <c r="P41" s="235"/>
      <c r="Q41" s="235"/>
    </row>
    <row r="42" spans="1:17" x14ac:dyDescent="0.2">
      <c r="A42" s="229" t="s">
        <v>246</v>
      </c>
      <c r="B42" s="230" t="s">
        <v>210</v>
      </c>
      <c r="C42" s="230" t="s">
        <v>211</v>
      </c>
      <c r="D42" s="230" t="s">
        <v>212</v>
      </c>
      <c r="E42" s="230" t="s">
        <v>213</v>
      </c>
      <c r="F42" s="230" t="s">
        <v>214</v>
      </c>
      <c r="G42" s="230" t="s">
        <v>215</v>
      </c>
      <c r="H42" s="230" t="s">
        <v>216</v>
      </c>
      <c r="I42" s="230" t="s">
        <v>217</v>
      </c>
      <c r="J42" s="242" t="s">
        <v>218</v>
      </c>
      <c r="K42" s="242" t="s">
        <v>219</v>
      </c>
      <c r="L42" s="242" t="s">
        <v>220</v>
      </c>
      <c r="M42" s="242" t="s">
        <v>221</v>
      </c>
      <c r="N42" s="242" t="s">
        <v>412</v>
      </c>
      <c r="O42" s="498"/>
      <c r="P42" s="23"/>
      <c r="Q42" s="23"/>
    </row>
    <row r="43" spans="1:17" x14ac:dyDescent="0.2">
      <c r="A43" s="231" t="s">
        <v>79</v>
      </c>
      <c r="B43" s="255">
        <v>0.16700000000000001</v>
      </c>
      <c r="C43" s="255">
        <v>0.16700000000000001</v>
      </c>
      <c r="D43" s="255">
        <v>0.16700000000000001</v>
      </c>
      <c r="E43" s="255">
        <v>0.16700000000000001</v>
      </c>
      <c r="F43" s="255">
        <v>0.16700000000000001</v>
      </c>
      <c r="G43" s="255">
        <v>0.16700000000000001</v>
      </c>
      <c r="H43" s="255">
        <v>0.16700000000000001</v>
      </c>
      <c r="I43" s="255">
        <v>0.16700000000000001</v>
      </c>
      <c r="J43" s="280">
        <f>COMPETITORS!M9</f>
        <v>0.17699999999999999</v>
      </c>
      <c r="K43" s="280">
        <v>0.184</v>
      </c>
      <c r="L43" s="330">
        <v>0.21199999999999999</v>
      </c>
      <c r="M43" s="280">
        <v>0.191</v>
      </c>
      <c r="N43" s="330">
        <v>0.191</v>
      </c>
      <c r="O43" s="499"/>
      <c r="P43" s="235"/>
      <c r="Q43" s="235"/>
    </row>
    <row r="44" spans="1:17" x14ac:dyDescent="0.2">
      <c r="A44" s="231" t="s">
        <v>118</v>
      </c>
      <c r="B44" s="255">
        <v>0.16700000000000001</v>
      </c>
      <c r="C44" s="255">
        <v>0.16700000000000001</v>
      </c>
      <c r="D44" s="255">
        <v>0.16700000000000001</v>
      </c>
      <c r="E44" s="255">
        <v>0.16700000000000001</v>
      </c>
      <c r="F44" s="255">
        <v>0.16700000000000001</v>
      </c>
      <c r="G44" s="255">
        <v>0.16700000000000001</v>
      </c>
      <c r="H44" s="255">
        <v>0.16700000000000001</v>
      </c>
      <c r="I44" s="255">
        <v>0.16700000000000001</v>
      </c>
      <c r="J44" s="280">
        <f>COMPETITORS!N9</f>
        <v>0.13900000000000001</v>
      </c>
      <c r="K44" s="280">
        <v>0.16700000000000001</v>
      </c>
      <c r="L44" s="330">
        <v>0.19800000000000001</v>
      </c>
      <c r="M44" s="280">
        <v>0.21299999999999999</v>
      </c>
      <c r="N44" s="330">
        <v>0.14299999999999999</v>
      </c>
      <c r="O44" s="499"/>
      <c r="P44" s="235"/>
      <c r="Q44" s="235"/>
    </row>
    <row r="45" spans="1:17" x14ac:dyDescent="0.2">
      <c r="A45" s="231" t="s">
        <v>84</v>
      </c>
      <c r="B45" s="255">
        <v>0.16700000000000001</v>
      </c>
      <c r="C45" s="255">
        <v>0.16700000000000001</v>
      </c>
      <c r="D45" s="255">
        <v>0.16700000000000001</v>
      </c>
      <c r="E45" s="255">
        <v>0.16700000000000001</v>
      </c>
      <c r="F45" s="255">
        <v>0.16700000000000001</v>
      </c>
      <c r="G45" s="255">
        <v>0.16700000000000001</v>
      </c>
      <c r="H45" s="255">
        <v>0.16700000000000001</v>
      </c>
      <c r="I45" s="255">
        <v>0.16700000000000001</v>
      </c>
      <c r="J45" s="280">
        <f>COMPETITORS!O9</f>
        <v>0.14899999999999999</v>
      </c>
      <c r="K45" s="280">
        <v>0.14899999999999999</v>
      </c>
      <c r="L45" s="330">
        <v>2.3E-2</v>
      </c>
      <c r="M45" s="280">
        <v>0.157</v>
      </c>
      <c r="N45" s="330">
        <v>0.18</v>
      </c>
      <c r="O45" s="499"/>
      <c r="P45" s="287"/>
      <c r="Q45" s="235"/>
    </row>
    <row r="46" spans="1:17" x14ac:dyDescent="0.2">
      <c r="B46" s="233"/>
      <c r="H46" s="248"/>
      <c r="I46" s="238"/>
      <c r="J46" s="66"/>
      <c r="K46" s="66"/>
      <c r="L46" s="66"/>
      <c r="M46" s="66"/>
      <c r="N46" s="66"/>
      <c r="O46" s="493"/>
      <c r="P46" s="288"/>
    </row>
    <row r="47" spans="1:17" x14ac:dyDescent="0.2">
      <c r="A47" s="229" t="s">
        <v>245</v>
      </c>
      <c r="B47" s="230" t="s">
        <v>210</v>
      </c>
      <c r="C47" s="230" t="s">
        <v>211</v>
      </c>
      <c r="D47" s="230" t="s">
        <v>212</v>
      </c>
      <c r="E47" s="230" t="s">
        <v>213</v>
      </c>
      <c r="F47" s="230" t="s">
        <v>214</v>
      </c>
      <c r="G47" s="230" t="s">
        <v>215</v>
      </c>
      <c r="H47" s="230" t="s">
        <v>216</v>
      </c>
      <c r="I47" s="230" t="s">
        <v>217</v>
      </c>
      <c r="J47" s="242" t="s">
        <v>218</v>
      </c>
      <c r="K47" s="242" t="s">
        <v>219</v>
      </c>
      <c r="L47" s="242" t="s">
        <v>220</v>
      </c>
      <c r="M47" s="242" t="s">
        <v>221</v>
      </c>
      <c r="N47" s="242" t="s">
        <v>412</v>
      </c>
      <c r="O47" s="493"/>
      <c r="P47" s="287"/>
    </row>
    <row r="48" spans="1:17" x14ac:dyDescent="0.2">
      <c r="A48" s="231" t="s">
        <v>79</v>
      </c>
      <c r="B48" s="255">
        <v>0.16700000000000001</v>
      </c>
      <c r="C48" s="255">
        <v>0.16700000000000001</v>
      </c>
      <c r="D48" s="255">
        <v>0.16700000000000001</v>
      </c>
      <c r="E48" s="255">
        <v>0.16700000000000001</v>
      </c>
      <c r="F48" s="255">
        <v>0.16700000000000001</v>
      </c>
      <c r="G48" s="255">
        <v>0.16700000000000001</v>
      </c>
      <c r="H48" s="255">
        <v>0.16700000000000001</v>
      </c>
      <c r="I48" s="255">
        <v>0.16700000000000001</v>
      </c>
      <c r="J48" s="280">
        <f>COMPETITORS!P9</f>
        <v>0.18</v>
      </c>
      <c r="K48" s="330">
        <v>0.186</v>
      </c>
      <c r="L48" s="280">
        <f>COMPETITORS!P25</f>
        <v>0.219</v>
      </c>
      <c r="M48" s="280">
        <f>COMPETITORS!P33</f>
        <v>0.20100000000000001</v>
      </c>
      <c r="N48" s="486"/>
      <c r="O48" s="493"/>
    </row>
    <row r="49" spans="1:15" x14ac:dyDescent="0.2">
      <c r="A49" s="231" t="s">
        <v>118</v>
      </c>
      <c r="B49" s="255">
        <v>0.16700000000000001</v>
      </c>
      <c r="C49" s="255">
        <v>0.16700000000000001</v>
      </c>
      <c r="D49" s="255">
        <v>0.16700000000000001</v>
      </c>
      <c r="E49" s="255">
        <v>0.16700000000000001</v>
      </c>
      <c r="F49" s="255">
        <v>0.16700000000000001</v>
      </c>
      <c r="G49" s="255">
        <v>0.16700000000000001</v>
      </c>
      <c r="H49" s="255">
        <v>0.16700000000000001</v>
      </c>
      <c r="I49" s="255">
        <v>0.16700000000000001</v>
      </c>
      <c r="J49" s="280">
        <f>COMPETITORS!Q9</f>
        <v>0.159</v>
      </c>
      <c r="K49" s="330">
        <v>0.17100000000000001</v>
      </c>
      <c r="L49" s="280">
        <f>COMPETITORS!Q25</f>
        <v>0.22800000000000001</v>
      </c>
      <c r="M49" s="330">
        <f>COMPETITORS!Q33</f>
        <v>0.254</v>
      </c>
      <c r="N49" s="486"/>
      <c r="O49" s="493"/>
    </row>
    <row r="50" spans="1:15" x14ac:dyDescent="0.2">
      <c r="A50" s="231" t="s">
        <v>84</v>
      </c>
      <c r="B50" s="255">
        <v>0.16700000000000001</v>
      </c>
      <c r="C50" s="255">
        <v>0.16700000000000001</v>
      </c>
      <c r="D50" s="255">
        <v>0.16700000000000001</v>
      </c>
      <c r="E50" s="255">
        <v>0.16700000000000001</v>
      </c>
      <c r="F50" s="255">
        <v>0.16700000000000001</v>
      </c>
      <c r="G50" s="255">
        <v>0.16700000000000001</v>
      </c>
      <c r="H50" s="255">
        <v>0.16700000000000001</v>
      </c>
      <c r="I50" s="255">
        <v>0.16700000000000001</v>
      </c>
      <c r="J50" s="280">
        <f>COMPETITORS!R9</f>
        <v>0.16700000000000001</v>
      </c>
      <c r="K50" s="330">
        <v>0.16</v>
      </c>
      <c r="L50" s="280">
        <f>COMPETITORS!R25</f>
        <v>2.5000000000000001E-2</v>
      </c>
      <c r="M50" s="330">
        <f>COMPETITORS!R33</f>
        <v>0.16800000000000001</v>
      </c>
      <c r="N50" s="486"/>
      <c r="O50" s="493"/>
    </row>
    <row r="51" spans="1:15" x14ac:dyDescent="0.2">
      <c r="B51" s="233"/>
      <c r="H51" s="248"/>
      <c r="I51" s="238"/>
      <c r="J51" s="66"/>
      <c r="K51" s="66"/>
      <c r="L51" s="66"/>
      <c r="M51" s="66"/>
      <c r="N51" s="66"/>
      <c r="O51" s="493"/>
    </row>
    <row r="52" spans="1:15" x14ac:dyDescent="0.2">
      <c r="A52" s="229" t="s">
        <v>229</v>
      </c>
      <c r="B52" s="230" t="s">
        <v>210</v>
      </c>
      <c r="C52" s="230" t="s">
        <v>211</v>
      </c>
      <c r="D52" s="230" t="s">
        <v>212</v>
      </c>
      <c r="E52" s="230" t="s">
        <v>213</v>
      </c>
      <c r="F52" s="230" t="s">
        <v>214</v>
      </c>
      <c r="G52" s="230" t="s">
        <v>215</v>
      </c>
      <c r="H52" s="230" t="s">
        <v>216</v>
      </c>
      <c r="I52" s="230" t="s">
        <v>217</v>
      </c>
      <c r="J52" s="242" t="s">
        <v>218</v>
      </c>
      <c r="K52" s="242" t="s">
        <v>219</v>
      </c>
      <c r="L52" s="242" t="s">
        <v>220</v>
      </c>
      <c r="M52" s="242" t="s">
        <v>221</v>
      </c>
      <c r="N52" s="242" t="s">
        <v>412</v>
      </c>
      <c r="O52" s="493"/>
    </row>
    <row r="53" spans="1:15" x14ac:dyDescent="0.2">
      <c r="A53" s="231" t="s">
        <v>206</v>
      </c>
      <c r="B53" s="235">
        <v>1</v>
      </c>
      <c r="C53" s="235">
        <f t="shared" ref="C53:I55" si="19">(C3/B3)-1</f>
        <v>-3.7830664282188398E-2</v>
      </c>
      <c r="D53" s="235">
        <f t="shared" si="19"/>
        <v>0.97404865631640614</v>
      </c>
      <c r="E53" s="235">
        <f t="shared" si="19"/>
        <v>-0.55709467375790833</v>
      </c>
      <c r="F53" s="235">
        <f t="shared" si="19"/>
        <v>0.22549811782963625</v>
      </c>
      <c r="G53" s="235">
        <f t="shared" si="19"/>
        <v>-7.3317442916161935E-2</v>
      </c>
      <c r="H53" s="235">
        <f t="shared" si="19"/>
        <v>1.4185058967358315</v>
      </c>
      <c r="I53" s="235">
        <f t="shared" si="19"/>
        <v>-0.63814056765010785</v>
      </c>
      <c r="J53" s="280">
        <v>0.3125</v>
      </c>
      <c r="K53" s="280">
        <v>-9.5200000000000007E-2</v>
      </c>
      <c r="L53" s="280">
        <v>0.26319999999999999</v>
      </c>
      <c r="M53" s="330">
        <v>-0.25</v>
      </c>
      <c r="N53" s="280">
        <v>0.38890000000000002</v>
      </c>
      <c r="O53" s="493"/>
    </row>
    <row r="54" spans="1:15" x14ac:dyDescent="0.2">
      <c r="A54" s="231" t="s">
        <v>207</v>
      </c>
      <c r="B54" s="235">
        <v>1</v>
      </c>
      <c r="C54" s="235">
        <f t="shared" si="19"/>
        <v>0.74894178645875265</v>
      </c>
      <c r="D54" s="235">
        <f t="shared" si="19"/>
        <v>-0.70561741047304127</v>
      </c>
      <c r="E54" s="235">
        <f t="shared" si="19"/>
        <v>1.7658464134475165</v>
      </c>
      <c r="F54" s="235">
        <f t="shared" si="19"/>
        <v>-0.27601985026537845</v>
      </c>
      <c r="G54" s="235">
        <f t="shared" si="19"/>
        <v>0.88175074004224196</v>
      </c>
      <c r="H54" s="235">
        <f t="shared" si="19"/>
        <v>-0.73185667183877334</v>
      </c>
      <c r="I54" s="235">
        <f t="shared" si="19"/>
        <v>1.4802592087676381</v>
      </c>
      <c r="J54" s="280">
        <v>-0.2</v>
      </c>
      <c r="K54" s="280">
        <v>0.9</v>
      </c>
      <c r="L54" s="280">
        <v>-0.44740000000000002</v>
      </c>
      <c r="M54" s="330">
        <v>0.42859999999999998</v>
      </c>
      <c r="N54" s="280">
        <v>-0.2</v>
      </c>
      <c r="O54" s="493"/>
    </row>
    <row r="55" spans="1:15" ht="17" thickBot="1" x14ac:dyDescent="0.25">
      <c r="A55" s="231" t="s">
        <v>208</v>
      </c>
      <c r="B55" s="235">
        <v>1</v>
      </c>
      <c r="C55" s="235">
        <f t="shared" si="19"/>
        <v>-0.19174635128334172</v>
      </c>
      <c r="D55" s="235">
        <f t="shared" si="19"/>
        <v>0.66715848178028048</v>
      </c>
      <c r="E55" s="235">
        <f t="shared" si="19"/>
        <v>0.43893052296550095</v>
      </c>
      <c r="F55" s="235">
        <f t="shared" si="19"/>
        <v>-0.47524305535963163</v>
      </c>
      <c r="G55" s="235">
        <f t="shared" si="19"/>
        <v>-0.27197066635125111</v>
      </c>
      <c r="H55" s="235">
        <f t="shared" si="19"/>
        <v>0.78569107612323874</v>
      </c>
      <c r="I55" s="235">
        <f t="shared" si="19"/>
        <v>0.38078774544672545</v>
      </c>
      <c r="J55" s="280">
        <v>-0.4118</v>
      </c>
      <c r="K55" s="280">
        <v>-0.25</v>
      </c>
      <c r="L55" s="280">
        <v>6.6699999999999995E-2</v>
      </c>
      <c r="M55" s="330">
        <v>0.875</v>
      </c>
      <c r="N55" s="280">
        <v>-0.23330000000000001</v>
      </c>
      <c r="O55" s="500"/>
    </row>
    <row r="57" spans="1:15" x14ac:dyDescent="0.2">
      <c r="I57" s="231"/>
    </row>
    <row r="58" spans="1:15" x14ac:dyDescent="0.2">
      <c r="I58" s="322" t="s">
        <v>267</v>
      </c>
      <c r="J58" s="242" t="s">
        <v>218</v>
      </c>
      <c r="K58" s="242" t="s">
        <v>219</v>
      </c>
      <c r="L58" s="242" t="s">
        <v>220</v>
      </c>
      <c r="M58" s="242" t="s">
        <v>221</v>
      </c>
      <c r="N58" s="242" t="s">
        <v>412</v>
      </c>
    </row>
    <row r="59" spans="1:15" x14ac:dyDescent="0.2">
      <c r="I59" s="238" t="s">
        <v>79</v>
      </c>
      <c r="J59" s="3">
        <v>0.16</v>
      </c>
      <c r="K59" s="323">
        <v>0.19</v>
      </c>
      <c r="L59" s="320">
        <v>0.21199999999999999</v>
      </c>
      <c r="M59" s="320">
        <v>0.23</v>
      </c>
      <c r="N59" s="320">
        <v>0.25</v>
      </c>
    </row>
    <row r="60" spans="1:15" x14ac:dyDescent="0.2">
      <c r="I60" s="238" t="s">
        <v>118</v>
      </c>
      <c r="J60" s="3">
        <v>0.14499999999999999</v>
      </c>
      <c r="K60" s="323">
        <v>0.14399999999999999</v>
      </c>
      <c r="L60" s="320">
        <v>0.158</v>
      </c>
      <c r="M60" s="320">
        <v>0.17</v>
      </c>
      <c r="N60" s="320">
        <v>0.19</v>
      </c>
    </row>
    <row r="61" spans="1:15" x14ac:dyDescent="0.2">
      <c r="I61" s="238" t="s">
        <v>84</v>
      </c>
      <c r="J61" s="3">
        <v>0.153</v>
      </c>
      <c r="K61" s="323">
        <v>0.152</v>
      </c>
      <c r="L61" s="320">
        <v>0.16800000000000001</v>
      </c>
      <c r="M61" s="320">
        <v>0.18</v>
      </c>
      <c r="N61" s="320">
        <v>0.2</v>
      </c>
    </row>
  </sheetData>
  <mergeCells count="3">
    <mergeCell ref="O1:Q1"/>
    <mergeCell ref="R14:S17"/>
    <mergeCell ref="J1:N1"/>
  </mergeCells>
  <phoneticPr fontId="8"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6E9A3-2BE6-D84D-BF4E-2CEA2CA80470}">
  <dimension ref="A1:AN44"/>
  <sheetViews>
    <sheetView topLeftCell="Z8" workbookViewId="0">
      <selection activeCell="P50" sqref="P50"/>
    </sheetView>
  </sheetViews>
  <sheetFormatPr baseColWidth="10" defaultRowHeight="16" x14ac:dyDescent="0.2"/>
  <cols>
    <col min="1" max="1" width="17.33203125" bestFit="1" customWidth="1"/>
    <col min="2" max="2" width="14.1640625" hidden="1" customWidth="1"/>
    <col min="3" max="3" width="14.33203125" hidden="1" customWidth="1"/>
    <col min="4" max="4" width="12.83203125" hidden="1" customWidth="1"/>
    <col min="5" max="5" width="14.6640625" hidden="1" customWidth="1"/>
    <col min="6" max="6" width="13.5" hidden="1" customWidth="1"/>
    <col min="7" max="7" width="14.6640625" hidden="1" customWidth="1"/>
    <col min="8" max="8" width="15.1640625" hidden="1" customWidth="1"/>
    <col min="9" max="9" width="15.6640625" hidden="1" customWidth="1"/>
    <col min="10" max="10" width="16" hidden="1" customWidth="1"/>
    <col min="11" max="11" width="18.5" hidden="1" customWidth="1"/>
    <col min="12" max="12" width="14.33203125" hidden="1" customWidth="1"/>
    <col min="13" max="13" width="13.33203125" customWidth="1"/>
    <col min="14" max="14" width="13.6640625" customWidth="1"/>
    <col min="15" max="15" width="15" customWidth="1"/>
    <col min="16" max="16" width="13.1640625" customWidth="1"/>
    <col min="17" max="17" width="13.5" customWidth="1"/>
    <col min="18" max="18" width="14.83203125" customWidth="1"/>
    <col min="19" max="19" width="12.5" customWidth="1"/>
    <col min="20" max="21" width="9.83203125" customWidth="1"/>
    <col min="22" max="22" width="10.83203125" bestFit="1" customWidth="1"/>
    <col min="23" max="23" width="14.83203125" bestFit="1" customWidth="1"/>
    <col min="24" max="25" width="14.83203125" customWidth="1"/>
    <col min="26" max="26" width="16" customWidth="1"/>
    <col min="27" max="29" width="8.1640625" bestFit="1" customWidth="1"/>
    <col min="30" max="30" width="8.83203125" bestFit="1" customWidth="1"/>
  </cols>
  <sheetData>
    <row r="1" spans="1:40" x14ac:dyDescent="0.2">
      <c r="A1" s="229" t="s">
        <v>250</v>
      </c>
      <c r="B1" s="229" t="s">
        <v>16</v>
      </c>
      <c r="C1" s="229" t="s">
        <v>396</v>
      </c>
      <c r="D1" s="229" t="s">
        <v>397</v>
      </c>
      <c r="E1" s="229" t="s">
        <v>398</v>
      </c>
      <c r="F1" s="229" t="s">
        <v>399</v>
      </c>
      <c r="G1" s="229" t="s">
        <v>400</v>
      </c>
      <c r="H1" s="229" t="s">
        <v>401</v>
      </c>
      <c r="I1" s="229" t="s">
        <v>402</v>
      </c>
      <c r="J1" s="229" t="s">
        <v>403</v>
      </c>
      <c r="K1" s="229" t="s">
        <v>404</v>
      </c>
      <c r="L1" s="229" t="s">
        <v>273</v>
      </c>
      <c r="M1" s="229" t="s">
        <v>241</v>
      </c>
      <c r="N1" s="229" t="s">
        <v>242</v>
      </c>
      <c r="O1" s="229" t="s">
        <v>243</v>
      </c>
      <c r="P1" s="229" t="s">
        <v>393</v>
      </c>
      <c r="Q1" s="229" t="s">
        <v>394</v>
      </c>
      <c r="R1" s="229" t="s">
        <v>395</v>
      </c>
      <c r="S1" s="229" t="s">
        <v>234</v>
      </c>
      <c r="T1" s="229" t="s">
        <v>235</v>
      </c>
      <c r="U1" s="229" t="s">
        <v>256</v>
      </c>
      <c r="V1" s="229" t="s">
        <v>378</v>
      </c>
      <c r="W1" s="229" t="s">
        <v>244</v>
      </c>
      <c r="X1" s="229"/>
      <c r="Y1" s="229" t="s">
        <v>276</v>
      </c>
      <c r="Z1" s="229"/>
      <c r="AA1" s="229"/>
      <c r="AB1" s="229"/>
      <c r="AC1" s="229"/>
      <c r="AD1" s="229"/>
    </row>
    <row r="2" spans="1:40" x14ac:dyDescent="0.2">
      <c r="A2" s="302" t="s">
        <v>254</v>
      </c>
      <c r="B2" s="302" t="s">
        <v>217</v>
      </c>
      <c r="C2" s="289">
        <v>290</v>
      </c>
      <c r="D2" s="289">
        <v>99</v>
      </c>
      <c r="E2" s="289">
        <v>848</v>
      </c>
      <c r="F2" s="290">
        <v>51660</v>
      </c>
      <c r="G2" s="290">
        <v>154947</v>
      </c>
      <c r="H2" s="290">
        <v>27823</v>
      </c>
      <c r="I2" s="289">
        <f>C2*F2</f>
        <v>14981400</v>
      </c>
      <c r="J2" s="289">
        <f t="shared" ref="J2:K2" si="0">D2*G2</f>
        <v>15339753</v>
      </c>
      <c r="K2" s="289">
        <f t="shared" si="0"/>
        <v>23593904</v>
      </c>
      <c r="L2" s="289">
        <f>SUM(I2:K2)</f>
        <v>53915057</v>
      </c>
      <c r="M2" s="291">
        <f>0.167</f>
        <v>0.16700000000000001</v>
      </c>
      <c r="N2" s="291">
        <f t="shared" ref="N2:R2" si="1">0.167</f>
        <v>0.16700000000000001</v>
      </c>
      <c r="O2" s="291">
        <f t="shared" si="1"/>
        <v>0.16700000000000001</v>
      </c>
      <c r="P2" s="291">
        <f t="shared" si="1"/>
        <v>0.16700000000000001</v>
      </c>
      <c r="Q2" s="291">
        <f t="shared" si="1"/>
        <v>0.16700000000000001</v>
      </c>
      <c r="R2" s="291">
        <f t="shared" si="1"/>
        <v>0.16700000000000001</v>
      </c>
      <c r="S2" s="61">
        <v>8</v>
      </c>
      <c r="T2" s="61">
        <v>13</v>
      </c>
      <c r="U2" s="234">
        <f>S2*40000+T2*55000</f>
        <v>1035000</v>
      </c>
      <c r="V2" s="292">
        <v>19.8</v>
      </c>
      <c r="W2" s="292">
        <v>5446423</v>
      </c>
      <c r="X2" s="292"/>
      <c r="Y2" s="292">
        <v>5095636</v>
      </c>
      <c r="Z2" s="292"/>
      <c r="AA2" s="292"/>
      <c r="AB2" s="292"/>
      <c r="AC2" s="292"/>
      <c r="AD2" s="292"/>
    </row>
    <row r="3" spans="1:40" x14ac:dyDescent="0.2">
      <c r="A3" s="229" t="s">
        <v>255</v>
      </c>
      <c r="B3" s="229" t="s">
        <v>16</v>
      </c>
      <c r="C3" s="229" t="s">
        <v>396</v>
      </c>
      <c r="D3" s="229" t="s">
        <v>397</v>
      </c>
      <c r="E3" s="229" t="s">
        <v>398</v>
      </c>
      <c r="F3" s="229" t="s">
        <v>399</v>
      </c>
      <c r="G3" s="229" t="s">
        <v>400</v>
      </c>
      <c r="H3" s="229" t="s">
        <v>401</v>
      </c>
      <c r="I3" s="229" t="s">
        <v>402</v>
      </c>
      <c r="J3" s="229" t="s">
        <v>403</v>
      </c>
      <c r="K3" s="229" t="s">
        <v>404</v>
      </c>
      <c r="L3" s="229" t="s">
        <v>273</v>
      </c>
      <c r="M3" s="229" t="s">
        <v>241</v>
      </c>
      <c r="N3" s="229" t="s">
        <v>242</v>
      </c>
      <c r="O3" s="229" t="s">
        <v>243</v>
      </c>
      <c r="P3" s="229" t="s">
        <v>393</v>
      </c>
      <c r="Q3" s="229" t="s">
        <v>394</v>
      </c>
      <c r="R3" s="229" t="s">
        <v>395</v>
      </c>
      <c r="S3" s="229" t="s">
        <v>234</v>
      </c>
      <c r="T3" s="229" t="s">
        <v>235</v>
      </c>
      <c r="U3" s="229" t="s">
        <v>256</v>
      </c>
      <c r="V3" s="229" t="s">
        <v>378</v>
      </c>
      <c r="W3" s="229" t="s">
        <v>389</v>
      </c>
      <c r="X3" s="229" t="s">
        <v>388</v>
      </c>
      <c r="Y3" s="229" t="s">
        <v>276</v>
      </c>
      <c r="Z3" s="229" t="s">
        <v>277</v>
      </c>
      <c r="AA3" s="229" t="s">
        <v>390</v>
      </c>
      <c r="AB3" s="229" t="s">
        <v>391</v>
      </c>
      <c r="AC3" s="229" t="s">
        <v>392</v>
      </c>
      <c r="AD3" s="229" t="s">
        <v>406</v>
      </c>
      <c r="AE3" s="541" t="s">
        <v>266</v>
      </c>
      <c r="AF3" s="541"/>
      <c r="AG3" s="541"/>
      <c r="AH3" s="541"/>
      <c r="AI3" s="541"/>
      <c r="AJ3" s="541"/>
      <c r="AK3" s="541"/>
      <c r="AL3" s="541"/>
      <c r="AM3" s="541"/>
      <c r="AN3" s="541"/>
    </row>
    <row r="4" spans="1:40" x14ac:dyDescent="0.2">
      <c r="A4" s="231" t="s">
        <v>236</v>
      </c>
      <c r="B4" s="231" t="s">
        <v>218</v>
      </c>
      <c r="C4" s="286">
        <v>294</v>
      </c>
      <c r="D4" s="286">
        <v>88</v>
      </c>
      <c r="E4" s="286">
        <v>840</v>
      </c>
      <c r="F4" s="232">
        <v>76032</v>
      </c>
      <c r="G4" s="232">
        <v>148198</v>
      </c>
      <c r="H4" s="232">
        <v>20464</v>
      </c>
      <c r="I4" s="286">
        <f>C4*F4</f>
        <v>22353408</v>
      </c>
      <c r="J4" s="286">
        <f>D4*G4</f>
        <v>13041424</v>
      </c>
      <c r="K4" s="286">
        <f>H4*E4</f>
        <v>17189760</v>
      </c>
      <c r="L4" s="286">
        <f>SUM(I4:K4)</f>
        <v>52584592</v>
      </c>
      <c r="M4" s="284">
        <f t="shared" ref="M4:M9" si="2">ROUND(F4/$F$10,3)</f>
        <v>0.186</v>
      </c>
      <c r="N4" s="284">
        <f t="shared" ref="N4:N9" si="3">ROUND(G4/$G$10,3)</f>
        <v>0.19900000000000001</v>
      </c>
      <c r="O4" s="284">
        <f t="shared" ref="O4:O9" si="4">ROUND(H4/$H$10,3)</f>
        <v>0.21</v>
      </c>
      <c r="P4" s="284">
        <f t="shared" ref="P4:P9" si="5">ROUND(I4/$I$10,3)</f>
        <v>0.184</v>
      </c>
      <c r="Q4" s="284">
        <f t="shared" ref="Q4:Q9" si="6">ROUND(J4/$J$10,3)</f>
        <v>0.193</v>
      </c>
      <c r="R4" s="284">
        <f t="shared" ref="R4:R9" si="7">ROUND(K4/$K$10,3)</f>
        <v>0.21199999999999999</v>
      </c>
      <c r="S4">
        <v>11</v>
      </c>
      <c r="T4">
        <v>14</v>
      </c>
      <c r="U4" s="232">
        <f>S4*40000+T4*55000</f>
        <v>1210000</v>
      </c>
      <c r="V4" s="285">
        <v>18.670000000000002</v>
      </c>
      <c r="W4" s="285">
        <v>61703.53</v>
      </c>
      <c r="X4" s="285">
        <f>W4</f>
        <v>61703.53</v>
      </c>
      <c r="Y4" s="285"/>
      <c r="Z4" s="285"/>
      <c r="AA4" s="389">
        <f>(V4-MIN($V$4:$V$9))/(MAX($V$4:$V$9)-MIN($V$4:$V$9))</f>
        <v>0.77456382001836566</v>
      </c>
      <c r="AB4" s="389">
        <f>(W4+ABS(MIN($W$4:$W$9)))/(MAX($W$4:$W$9)+ABS(MIN($W$4:$W$9)))</f>
        <v>0.82267743528568693</v>
      </c>
      <c r="AC4" s="389">
        <f>AVERAGE(AA4:AB4)</f>
        <v>0.79862062765202624</v>
      </c>
      <c r="AD4" s="391">
        <v>3</v>
      </c>
      <c r="AE4" s="541"/>
      <c r="AF4" s="541"/>
      <c r="AG4" s="541"/>
      <c r="AH4" s="541"/>
      <c r="AI4" s="541"/>
      <c r="AJ4" s="541"/>
      <c r="AK4" s="541"/>
      <c r="AL4" s="541"/>
      <c r="AM4" s="541"/>
      <c r="AN4" s="541"/>
    </row>
    <row r="5" spans="1:40" x14ac:dyDescent="0.2">
      <c r="A5" s="231" t="s">
        <v>237</v>
      </c>
      <c r="B5" s="231" t="s">
        <v>218</v>
      </c>
      <c r="C5" s="286">
        <v>313</v>
      </c>
      <c r="D5" s="286">
        <v>89</v>
      </c>
      <c r="E5" s="286">
        <v>813</v>
      </c>
      <c r="F5" s="232">
        <v>62656</v>
      </c>
      <c r="G5" s="232">
        <v>132699</v>
      </c>
      <c r="H5" s="232">
        <v>17591</v>
      </c>
      <c r="I5" s="286">
        <f t="shared" ref="I5:I9" si="8">C5*F5</f>
        <v>19611328</v>
      </c>
      <c r="J5" s="286">
        <f t="shared" ref="J5:J9" si="9">D5*G5</f>
        <v>11810211</v>
      </c>
      <c r="K5" s="286">
        <f t="shared" ref="K5:K9" si="10">H5*E5</f>
        <v>14301483</v>
      </c>
      <c r="L5" s="286">
        <f t="shared" ref="L5:L9" si="11">SUM(I5:K5)</f>
        <v>45723022</v>
      </c>
      <c r="M5" s="284">
        <f t="shared" si="2"/>
        <v>0.153</v>
      </c>
      <c r="N5" s="284">
        <f t="shared" si="3"/>
        <v>0.17799999999999999</v>
      </c>
      <c r="O5" s="284">
        <f t="shared" si="4"/>
        <v>0.18</v>
      </c>
      <c r="P5" s="284">
        <f t="shared" si="5"/>
        <v>0.16200000000000001</v>
      </c>
      <c r="Q5" s="284">
        <f t="shared" si="6"/>
        <v>0.17499999999999999</v>
      </c>
      <c r="R5" s="284">
        <f t="shared" si="7"/>
        <v>0.17599999999999999</v>
      </c>
      <c r="S5">
        <v>10</v>
      </c>
      <c r="T5">
        <v>9</v>
      </c>
      <c r="U5" s="232">
        <f t="shared" ref="U5:U9" si="12">S5*40000+T5*55000</f>
        <v>895000</v>
      </c>
      <c r="V5" s="285">
        <v>1.8</v>
      </c>
      <c r="W5" s="285">
        <v>-13272314.189999999</v>
      </c>
      <c r="X5" s="285">
        <f t="shared" ref="X5:X9" si="13">W5</f>
        <v>-13272314.189999999</v>
      </c>
      <c r="Y5" s="285"/>
      <c r="Z5" s="285"/>
      <c r="AA5" s="389">
        <f t="shared" ref="AA5:AA9" si="14">(V5-MIN($V$4:$V$9))/(MAX($V$4:$V$9)-MIN($V$4:$V$9))</f>
        <v>0</v>
      </c>
      <c r="AB5" s="389">
        <f t="shared" ref="AB5:AB9" si="15">(W5+ABS(MIN($W$4:$W$9)))/(MAX($W$4:$W$9)+ABS(MIN($W$4:$W$9)))</f>
        <v>0</v>
      </c>
      <c r="AC5" s="389">
        <f t="shared" ref="AC5:AC9" si="16">AVERAGE(AA5:AB5)</f>
        <v>0</v>
      </c>
      <c r="AD5" s="391">
        <v>6</v>
      </c>
      <c r="AE5" s="541"/>
      <c r="AF5" s="541"/>
      <c r="AG5" s="541"/>
      <c r="AH5" s="541"/>
      <c r="AI5" s="541"/>
      <c r="AJ5" s="541"/>
      <c r="AK5" s="541"/>
      <c r="AL5" s="541"/>
      <c r="AM5" s="541"/>
      <c r="AN5" s="541"/>
    </row>
    <row r="6" spans="1:40" x14ac:dyDescent="0.2">
      <c r="A6" s="231" t="s">
        <v>238</v>
      </c>
      <c r="B6" s="231" t="s">
        <v>218</v>
      </c>
      <c r="C6" s="286">
        <v>285</v>
      </c>
      <c r="D6" s="286">
        <v>84</v>
      </c>
      <c r="E6" s="286">
        <v>729</v>
      </c>
      <c r="F6" s="232">
        <v>67492</v>
      </c>
      <c r="G6" s="232">
        <v>135009</v>
      </c>
      <c r="H6" s="232">
        <v>16287</v>
      </c>
      <c r="I6" s="286">
        <f t="shared" si="8"/>
        <v>19235220</v>
      </c>
      <c r="J6" s="286">
        <f t="shared" si="9"/>
        <v>11340756</v>
      </c>
      <c r="K6" s="286">
        <f t="shared" si="10"/>
        <v>11873223</v>
      </c>
      <c r="L6" s="286">
        <f t="shared" si="11"/>
        <v>42449199</v>
      </c>
      <c r="M6" s="284">
        <f t="shared" si="2"/>
        <v>0.16500000000000001</v>
      </c>
      <c r="N6" s="284">
        <f t="shared" si="3"/>
        <v>0.18099999999999999</v>
      </c>
      <c r="O6" s="284">
        <f t="shared" si="4"/>
        <v>0.16700000000000001</v>
      </c>
      <c r="P6" s="284">
        <f t="shared" si="5"/>
        <v>0.158</v>
      </c>
      <c r="Q6" s="284">
        <f t="shared" si="6"/>
        <v>0.16800000000000001</v>
      </c>
      <c r="R6" s="284">
        <f t="shared" si="7"/>
        <v>0.14599999999999999</v>
      </c>
      <c r="S6">
        <v>8</v>
      </c>
      <c r="T6">
        <v>13</v>
      </c>
      <c r="U6" s="232">
        <f t="shared" si="12"/>
        <v>1035000</v>
      </c>
      <c r="V6" s="285">
        <v>17.190000000000001</v>
      </c>
      <c r="W6" s="285">
        <v>-1166688.4099999999</v>
      </c>
      <c r="X6" s="285">
        <f t="shared" si="13"/>
        <v>-1166688.4099999999</v>
      </c>
      <c r="Y6" s="285"/>
      <c r="Z6" s="285"/>
      <c r="AA6" s="389">
        <f t="shared" si="14"/>
        <v>0.70661157024793397</v>
      </c>
      <c r="AB6" s="389">
        <f t="shared" si="15"/>
        <v>0.74688855064898585</v>
      </c>
      <c r="AC6" s="389">
        <f t="shared" si="16"/>
        <v>0.72675006044845991</v>
      </c>
      <c r="AD6" s="391">
        <v>4</v>
      </c>
      <c r="AE6" s="541"/>
      <c r="AF6" s="541"/>
      <c r="AG6" s="541"/>
      <c r="AH6" s="541"/>
      <c r="AI6" s="541"/>
      <c r="AJ6" s="541"/>
      <c r="AK6" s="541"/>
      <c r="AL6" s="541"/>
      <c r="AM6" s="541"/>
      <c r="AN6" s="541"/>
    </row>
    <row r="7" spans="1:40" x14ac:dyDescent="0.2">
      <c r="A7" s="231" t="s">
        <v>239</v>
      </c>
      <c r="B7" s="231" t="s">
        <v>218</v>
      </c>
      <c r="C7" s="286">
        <v>275</v>
      </c>
      <c r="D7" s="286">
        <v>85</v>
      </c>
      <c r="E7" s="286">
        <v>800</v>
      </c>
      <c r="F7" s="232">
        <v>72155</v>
      </c>
      <c r="G7" s="232">
        <v>130822</v>
      </c>
      <c r="H7" s="232">
        <v>17226</v>
      </c>
      <c r="I7" s="286">
        <f t="shared" si="8"/>
        <v>19842625</v>
      </c>
      <c r="J7" s="286">
        <f t="shared" si="9"/>
        <v>11119870</v>
      </c>
      <c r="K7" s="286">
        <f t="shared" si="10"/>
        <v>13780800</v>
      </c>
      <c r="L7" s="286">
        <f t="shared" si="11"/>
        <v>44743295</v>
      </c>
      <c r="M7" s="284">
        <f t="shared" si="2"/>
        <v>0.17699999999999999</v>
      </c>
      <c r="N7" s="284">
        <f t="shared" si="3"/>
        <v>0.17499999999999999</v>
      </c>
      <c r="O7" s="284">
        <f t="shared" si="4"/>
        <v>0.17699999999999999</v>
      </c>
      <c r="P7" s="284">
        <f t="shared" si="5"/>
        <v>0.16300000000000001</v>
      </c>
      <c r="Q7" s="284">
        <f t="shared" si="6"/>
        <v>0.16400000000000001</v>
      </c>
      <c r="R7" s="284">
        <f t="shared" si="7"/>
        <v>0.17</v>
      </c>
      <c r="S7">
        <v>8</v>
      </c>
      <c r="T7">
        <v>13</v>
      </c>
      <c r="U7" s="232">
        <f t="shared" si="12"/>
        <v>1035000</v>
      </c>
      <c r="V7" s="285">
        <v>23.58</v>
      </c>
      <c r="W7" s="285">
        <v>2935760.99</v>
      </c>
      <c r="X7" s="285">
        <f t="shared" si="13"/>
        <v>2935760.99</v>
      </c>
      <c r="Y7" s="285"/>
      <c r="Z7" s="285"/>
      <c r="AA7" s="389">
        <f t="shared" si="14"/>
        <v>1</v>
      </c>
      <c r="AB7" s="389">
        <f t="shared" si="15"/>
        <v>1</v>
      </c>
      <c r="AC7" s="389">
        <f t="shared" si="16"/>
        <v>1</v>
      </c>
      <c r="AD7" s="391">
        <v>1</v>
      </c>
      <c r="AE7" s="541"/>
      <c r="AF7" s="541"/>
      <c r="AG7" s="541"/>
      <c r="AH7" s="541"/>
      <c r="AI7" s="541"/>
      <c r="AJ7" s="541"/>
      <c r="AK7" s="541"/>
      <c r="AL7" s="541"/>
      <c r="AM7" s="541"/>
      <c r="AN7" s="541"/>
    </row>
    <row r="8" spans="1:40" x14ac:dyDescent="0.2">
      <c r="A8" s="231" t="s">
        <v>240</v>
      </c>
      <c r="B8" s="231" t="s">
        <v>218</v>
      </c>
      <c r="C8" s="286">
        <v>320</v>
      </c>
      <c r="D8" s="286">
        <v>100</v>
      </c>
      <c r="E8" s="286">
        <v>920</v>
      </c>
      <c r="F8" s="232">
        <v>58009</v>
      </c>
      <c r="G8" s="232">
        <v>96050</v>
      </c>
      <c r="H8" s="232">
        <v>11374</v>
      </c>
      <c r="I8" s="286">
        <f t="shared" si="8"/>
        <v>18562880</v>
      </c>
      <c r="J8" s="286">
        <f t="shared" si="9"/>
        <v>9605000</v>
      </c>
      <c r="K8" s="286">
        <f t="shared" si="10"/>
        <v>10464080</v>
      </c>
      <c r="L8" s="286">
        <f t="shared" si="11"/>
        <v>38631960</v>
      </c>
      <c r="M8" s="284">
        <f t="shared" si="2"/>
        <v>0.14199999999999999</v>
      </c>
      <c r="N8" s="284">
        <f t="shared" si="3"/>
        <v>0.129</v>
      </c>
      <c r="O8" s="284">
        <f t="shared" si="4"/>
        <v>0.11700000000000001</v>
      </c>
      <c r="P8" s="284">
        <f t="shared" si="5"/>
        <v>0.153</v>
      </c>
      <c r="Q8" s="284">
        <f t="shared" si="6"/>
        <v>0.14199999999999999</v>
      </c>
      <c r="R8" s="284">
        <f t="shared" si="7"/>
        <v>0.129</v>
      </c>
      <c r="S8">
        <v>8</v>
      </c>
      <c r="T8">
        <v>10</v>
      </c>
      <c r="U8" s="232">
        <f t="shared" si="12"/>
        <v>870000</v>
      </c>
      <c r="V8" s="285">
        <v>16.53</v>
      </c>
      <c r="W8" s="285">
        <v>1668800.54</v>
      </c>
      <c r="X8" s="285">
        <f t="shared" si="13"/>
        <v>1668800.54</v>
      </c>
      <c r="Y8" s="285"/>
      <c r="Z8" s="285"/>
      <c r="AA8" s="389">
        <f t="shared" si="14"/>
        <v>0.6763085399449037</v>
      </c>
      <c r="AB8" s="389">
        <f t="shared" si="15"/>
        <v>0.92183152928835321</v>
      </c>
      <c r="AC8" s="389">
        <f t="shared" si="16"/>
        <v>0.7990700346166284</v>
      </c>
      <c r="AD8" s="391">
        <v>2</v>
      </c>
      <c r="AE8" s="541"/>
      <c r="AF8" s="541"/>
      <c r="AG8" s="541"/>
      <c r="AH8" s="541"/>
      <c r="AI8" s="541"/>
      <c r="AJ8" s="541"/>
      <c r="AK8" s="541"/>
      <c r="AL8" s="541"/>
      <c r="AM8" s="541"/>
      <c r="AN8" s="541"/>
    </row>
    <row r="9" spans="1:40" s="231" customFormat="1" ht="17" thickBot="1" x14ac:dyDescent="0.25">
      <c r="A9" s="386" t="s">
        <v>320</v>
      </c>
      <c r="B9" s="386" t="s">
        <v>218</v>
      </c>
      <c r="C9" s="395">
        <v>302</v>
      </c>
      <c r="D9" s="395">
        <v>104</v>
      </c>
      <c r="E9" s="395">
        <v>930</v>
      </c>
      <c r="F9" s="396">
        <v>72189</v>
      </c>
      <c r="G9" s="396">
        <v>103373</v>
      </c>
      <c r="H9" s="396">
        <v>14544</v>
      </c>
      <c r="I9" s="395">
        <f t="shared" si="8"/>
        <v>21801078</v>
      </c>
      <c r="J9" s="395">
        <f t="shared" si="9"/>
        <v>10750792</v>
      </c>
      <c r="K9" s="395">
        <f t="shared" si="10"/>
        <v>13525920</v>
      </c>
      <c r="L9" s="395">
        <f t="shared" si="11"/>
        <v>46077790</v>
      </c>
      <c r="M9" s="397">
        <f t="shared" si="2"/>
        <v>0.17699999999999999</v>
      </c>
      <c r="N9" s="397">
        <f t="shared" si="3"/>
        <v>0.13900000000000001</v>
      </c>
      <c r="O9" s="397">
        <f t="shared" si="4"/>
        <v>0.14899999999999999</v>
      </c>
      <c r="P9" s="397">
        <f t="shared" si="5"/>
        <v>0.18</v>
      </c>
      <c r="Q9" s="397">
        <f t="shared" si="6"/>
        <v>0.159</v>
      </c>
      <c r="R9" s="397">
        <f t="shared" si="7"/>
        <v>0.16700000000000001</v>
      </c>
      <c r="S9" s="386">
        <v>9</v>
      </c>
      <c r="T9" s="386">
        <v>11</v>
      </c>
      <c r="U9" s="396">
        <f t="shared" si="12"/>
        <v>965000</v>
      </c>
      <c r="V9" s="387">
        <v>12.62</v>
      </c>
      <c r="W9" s="387">
        <v>-5097238.53</v>
      </c>
      <c r="X9" s="387">
        <f t="shared" si="13"/>
        <v>-5097238.53</v>
      </c>
      <c r="Y9" s="387">
        <v>-5423584</v>
      </c>
      <c r="Z9" s="387">
        <f>Y9</f>
        <v>-5423584</v>
      </c>
      <c r="AA9" s="392">
        <f t="shared" si="14"/>
        <v>0.4967860422405877</v>
      </c>
      <c r="AB9" s="392">
        <f t="shared" si="15"/>
        <v>0.50438288132372788</v>
      </c>
      <c r="AC9" s="392">
        <f t="shared" si="16"/>
        <v>0.50058446178215776</v>
      </c>
      <c r="AD9" s="393">
        <v>5</v>
      </c>
      <c r="AE9" s="541"/>
      <c r="AF9" s="541"/>
      <c r="AG9" s="541"/>
      <c r="AH9" s="541"/>
      <c r="AI9" s="541"/>
      <c r="AJ9" s="541"/>
      <c r="AK9" s="541"/>
      <c r="AL9" s="541"/>
      <c r="AM9" s="541"/>
      <c r="AN9" s="541"/>
    </row>
    <row r="10" spans="1:40" ht="17" thickBot="1" x14ac:dyDescent="0.25">
      <c r="A10" s="293" t="s">
        <v>405</v>
      </c>
      <c r="B10" s="300" t="s">
        <v>253</v>
      </c>
      <c r="C10" s="328">
        <f>AVERAGE(C4:C9)</f>
        <v>298.16666666666669</v>
      </c>
      <c r="D10" s="328">
        <f>AVERAGE(D4:D9)</f>
        <v>91.666666666666671</v>
      </c>
      <c r="E10" s="328">
        <f>AVERAGE(E4:E9)</f>
        <v>838.66666666666663</v>
      </c>
      <c r="F10" s="294">
        <f>SUM(F4:F9)</f>
        <v>408533</v>
      </c>
      <c r="G10" s="294">
        <f>SUM(G4:G9)</f>
        <v>746151</v>
      </c>
      <c r="H10" s="294">
        <f>SUM(H4:H9)</f>
        <v>97486</v>
      </c>
      <c r="I10" s="295">
        <f>SUM(I4:I9)</f>
        <v>121406539</v>
      </c>
      <c r="J10" s="295">
        <f t="shared" ref="J10:L10" si="17">SUM(J4:J9)</f>
        <v>67668053</v>
      </c>
      <c r="K10" s="295">
        <f t="shared" si="17"/>
        <v>81135266</v>
      </c>
      <c r="L10" s="295">
        <f t="shared" si="17"/>
        <v>270209858</v>
      </c>
      <c r="M10" s="301" t="s">
        <v>253</v>
      </c>
      <c r="N10" s="301" t="s">
        <v>253</v>
      </c>
      <c r="O10" s="301" t="s">
        <v>253</v>
      </c>
      <c r="P10" s="301" t="s">
        <v>253</v>
      </c>
      <c r="Q10" s="301" t="s">
        <v>253</v>
      </c>
      <c r="R10" s="301" t="s">
        <v>253</v>
      </c>
      <c r="S10" s="296">
        <f t="shared" ref="S10" si="18">SUM(S4:S9)</f>
        <v>54</v>
      </c>
      <c r="T10" s="296">
        <f t="shared" ref="T10" si="19">SUM(T4:T9)</f>
        <v>70</v>
      </c>
      <c r="U10" s="335">
        <f>AVERAGE(U4:U9)</f>
        <v>1001666.6666666666</v>
      </c>
      <c r="V10" s="297">
        <f>SUM(V4:V9)</f>
        <v>90.390000000000015</v>
      </c>
      <c r="W10" s="298">
        <f>SUM(W4:W9)</f>
        <v>-14869976.07</v>
      </c>
      <c r="X10" s="321">
        <f>SUM(X4:X9)</f>
        <v>-14869976.07</v>
      </c>
      <c r="Y10" s="321"/>
      <c r="Z10" s="321"/>
      <c r="AA10" s="390"/>
      <c r="AB10" s="390"/>
      <c r="AC10" s="390"/>
      <c r="AD10" s="390"/>
      <c r="AE10" s="541"/>
      <c r="AF10" s="541"/>
      <c r="AG10" s="541"/>
      <c r="AH10" s="541"/>
      <c r="AI10" s="541"/>
      <c r="AJ10" s="541"/>
      <c r="AK10" s="541"/>
      <c r="AL10" s="541"/>
      <c r="AM10" s="541"/>
      <c r="AN10" s="541"/>
    </row>
    <row r="11" spans="1:40" x14ac:dyDescent="0.2">
      <c r="A11" s="229" t="s">
        <v>255</v>
      </c>
      <c r="B11" s="229" t="s">
        <v>16</v>
      </c>
      <c r="C11" s="229" t="s">
        <v>396</v>
      </c>
      <c r="D11" s="229" t="s">
        <v>397</v>
      </c>
      <c r="E11" s="229" t="s">
        <v>398</v>
      </c>
      <c r="F11" s="229" t="s">
        <v>399</v>
      </c>
      <c r="G11" s="229" t="s">
        <v>400</v>
      </c>
      <c r="H11" s="229" t="s">
        <v>401</v>
      </c>
      <c r="I11" s="229" t="s">
        <v>402</v>
      </c>
      <c r="J11" s="229" t="s">
        <v>403</v>
      </c>
      <c r="K11" s="229" t="s">
        <v>404</v>
      </c>
      <c r="L11" s="229" t="s">
        <v>273</v>
      </c>
      <c r="M11" s="229" t="s">
        <v>241</v>
      </c>
      <c r="N11" s="229" t="s">
        <v>242</v>
      </c>
      <c r="O11" s="229" t="s">
        <v>243</v>
      </c>
      <c r="P11" s="229" t="s">
        <v>393</v>
      </c>
      <c r="Q11" s="229" t="s">
        <v>394</v>
      </c>
      <c r="R11" s="229" t="s">
        <v>395</v>
      </c>
      <c r="S11" s="229" t="s">
        <v>234</v>
      </c>
      <c r="T11" s="229" t="s">
        <v>235</v>
      </c>
      <c r="U11" s="229" t="s">
        <v>256</v>
      </c>
      <c r="V11" s="229" t="s">
        <v>378</v>
      </c>
      <c r="W11" s="229" t="s">
        <v>389</v>
      </c>
      <c r="X11" s="229" t="s">
        <v>388</v>
      </c>
      <c r="Y11" s="229" t="s">
        <v>276</v>
      </c>
      <c r="Z11" s="229" t="s">
        <v>277</v>
      </c>
      <c r="AA11" s="229" t="s">
        <v>390</v>
      </c>
      <c r="AB11" s="229" t="s">
        <v>391</v>
      </c>
      <c r="AC11" s="229" t="s">
        <v>392</v>
      </c>
      <c r="AD11" s="229" t="s">
        <v>406</v>
      </c>
      <c r="AE11" s="541" t="s">
        <v>266</v>
      </c>
      <c r="AF11" s="541"/>
      <c r="AG11" s="541"/>
      <c r="AH11" s="541"/>
      <c r="AI11" s="541"/>
      <c r="AJ11" s="541"/>
      <c r="AK11" s="541"/>
      <c r="AL11" s="541"/>
      <c r="AM11" s="541"/>
      <c r="AN11" s="541"/>
    </row>
    <row r="12" spans="1:40" x14ac:dyDescent="0.2">
      <c r="A12" s="231" t="s">
        <v>236</v>
      </c>
      <c r="B12" s="231" t="s">
        <v>219</v>
      </c>
      <c r="C12" s="286">
        <v>320</v>
      </c>
      <c r="D12" s="286">
        <v>105</v>
      </c>
      <c r="E12" s="286">
        <v>920</v>
      </c>
      <c r="F12" s="232">
        <v>71861</v>
      </c>
      <c r="G12" s="232">
        <v>257820</v>
      </c>
      <c r="H12" s="232">
        <v>15801</v>
      </c>
      <c r="I12" s="286">
        <f>C12*F12</f>
        <v>22995520</v>
      </c>
      <c r="J12" s="286">
        <f>D12*G12</f>
        <v>27071100</v>
      </c>
      <c r="K12" s="286">
        <f>H12*E12</f>
        <v>14536920</v>
      </c>
      <c r="L12" s="286">
        <f>SUM(I12:K12)</f>
        <v>64603540</v>
      </c>
      <c r="M12" s="284">
        <f t="shared" ref="M12:R17" si="20">ROUND(F12/F$18,3)</f>
        <v>0.186</v>
      </c>
      <c r="N12" s="284">
        <f t="shared" si="20"/>
        <v>0.20599999999999999</v>
      </c>
      <c r="O12" s="284">
        <f t="shared" si="20"/>
        <v>0.21199999999999999</v>
      </c>
      <c r="P12" s="284">
        <f t="shared" si="20"/>
        <v>0.19600000000000001</v>
      </c>
      <c r="Q12" s="284">
        <f t="shared" si="20"/>
        <v>0.221</v>
      </c>
      <c r="R12" s="284">
        <f t="shared" si="20"/>
        <v>0.223</v>
      </c>
      <c r="S12" s="23">
        <v>12</v>
      </c>
      <c r="T12" s="23">
        <v>13</v>
      </c>
      <c r="U12" s="232">
        <f>S12*40000+T12*55000</f>
        <v>1195000</v>
      </c>
      <c r="V12" s="285">
        <v>23.01</v>
      </c>
      <c r="W12" s="285">
        <f>X12-X4</f>
        <v>3001097.43</v>
      </c>
      <c r="X12" s="285">
        <v>3062800.96</v>
      </c>
      <c r="Y12" s="285"/>
      <c r="Z12" s="285"/>
      <c r="AA12" s="388">
        <f>(V12-MIN($V$12:$V$17))/(MAX($V$12:$V$17)-MIN($V$12:$V$17))</f>
        <v>0.88488645262333598</v>
      </c>
      <c r="AB12" s="389">
        <f>(X12+ABS(MIN($X$12:$X$17)))/(MAX($X$12:$X$17)+ABS(MIN($X$12:$X$17)))</f>
        <v>0.9079092791774358</v>
      </c>
      <c r="AC12" s="389">
        <f>AVERAGE(AA12:AB12)</f>
        <v>0.89639786590038595</v>
      </c>
      <c r="AD12" s="391">
        <v>3</v>
      </c>
      <c r="AE12" s="541"/>
      <c r="AF12" s="541"/>
      <c r="AG12" s="541"/>
      <c r="AH12" s="541"/>
      <c r="AI12" s="541"/>
      <c r="AJ12" s="541"/>
      <c r="AK12" s="541"/>
      <c r="AL12" s="541"/>
      <c r="AM12" s="541"/>
      <c r="AN12" s="541"/>
    </row>
    <row r="13" spans="1:40" x14ac:dyDescent="0.2">
      <c r="A13" s="231" t="s">
        <v>237</v>
      </c>
      <c r="B13" s="231" t="s">
        <v>219</v>
      </c>
      <c r="C13" s="286">
        <v>315</v>
      </c>
      <c r="D13" s="286">
        <v>100</v>
      </c>
      <c r="E13" s="286">
        <v>910</v>
      </c>
      <c r="F13" s="232">
        <v>69656</v>
      </c>
      <c r="G13" s="232">
        <v>298782</v>
      </c>
      <c r="H13" s="232">
        <v>14362</v>
      </c>
      <c r="I13" s="286">
        <f t="shared" ref="I13:I17" si="21">C13*F13</f>
        <v>21941640</v>
      </c>
      <c r="J13" s="286">
        <f t="shared" ref="J13:J17" si="22">D13*G13</f>
        <v>29878200</v>
      </c>
      <c r="K13" s="286">
        <f t="shared" ref="K13:K17" si="23">H13*E13</f>
        <v>13069420</v>
      </c>
      <c r="L13" s="286">
        <f t="shared" ref="L13:L17" si="24">SUM(I13:K13)</f>
        <v>64889260</v>
      </c>
      <c r="M13" s="284">
        <f t="shared" si="20"/>
        <v>0.18</v>
      </c>
      <c r="N13" s="284">
        <f t="shared" si="20"/>
        <v>0.23799999999999999</v>
      </c>
      <c r="O13" s="284">
        <f t="shared" si="20"/>
        <v>0.193</v>
      </c>
      <c r="P13" s="284">
        <f t="shared" si="20"/>
        <v>0.187</v>
      </c>
      <c r="Q13" s="284">
        <f t="shared" si="20"/>
        <v>0.24399999999999999</v>
      </c>
      <c r="R13" s="284">
        <f t="shared" si="20"/>
        <v>0.20100000000000001</v>
      </c>
      <c r="S13" s="23">
        <v>13</v>
      </c>
      <c r="T13" s="23">
        <v>9</v>
      </c>
      <c r="U13" s="232">
        <f t="shared" ref="U13:U17" si="25">S13*40000+T13*55000</f>
        <v>1015000</v>
      </c>
      <c r="V13" s="285">
        <v>0.41</v>
      </c>
      <c r="W13" s="285">
        <f t="shared" ref="W13:W17" si="26">X13-X5</f>
        <v>-3978729.6399999987</v>
      </c>
      <c r="X13" s="285">
        <v>-17251043.829999998</v>
      </c>
      <c r="Y13" s="285"/>
      <c r="Z13" s="285"/>
      <c r="AA13" s="388">
        <f t="shared" ref="AA13:AA17" si="27">(V13-MIN($V$12:$V$17))/(MAX($V$12:$V$17)-MIN($V$12:$V$17))</f>
        <v>0</v>
      </c>
      <c r="AB13" s="389">
        <f t="shared" ref="AB13:AB16" si="28">(X13+ABS(MIN($X$12:$X$17)))/(MAX($X$12:$X$17)+ABS(MIN($X$12:$X$17)))</f>
        <v>0</v>
      </c>
      <c r="AC13" s="389">
        <f t="shared" ref="AC13:AC17" si="29">AVERAGE(AA13:AB13)</f>
        <v>0</v>
      </c>
      <c r="AD13" s="391">
        <v>6</v>
      </c>
      <c r="AE13" s="541"/>
      <c r="AF13" s="541"/>
      <c r="AG13" s="541"/>
      <c r="AH13" s="541"/>
      <c r="AI13" s="541"/>
      <c r="AJ13" s="541"/>
      <c r="AK13" s="541"/>
      <c r="AL13" s="541"/>
      <c r="AM13" s="541"/>
      <c r="AN13" s="541"/>
    </row>
    <row r="14" spans="1:40" x14ac:dyDescent="0.2">
      <c r="A14" s="231" t="s">
        <v>238</v>
      </c>
      <c r="B14" s="231" t="s">
        <v>219</v>
      </c>
      <c r="C14" s="286">
        <v>285</v>
      </c>
      <c r="D14" s="286">
        <v>149</v>
      </c>
      <c r="E14" s="286">
        <v>736</v>
      </c>
      <c r="F14" s="232">
        <v>61682</v>
      </c>
      <c r="G14" s="232">
        <v>38131</v>
      </c>
      <c r="H14" s="232">
        <v>12154</v>
      </c>
      <c r="I14" s="286">
        <f t="shared" si="21"/>
        <v>17579370</v>
      </c>
      <c r="J14" s="286">
        <f t="shared" si="22"/>
        <v>5681519</v>
      </c>
      <c r="K14" s="286">
        <f t="shared" si="23"/>
        <v>8945344</v>
      </c>
      <c r="L14" s="286">
        <f t="shared" si="24"/>
        <v>32206233</v>
      </c>
      <c r="M14" s="284">
        <f t="shared" si="20"/>
        <v>0.159</v>
      </c>
      <c r="N14" s="284">
        <f t="shared" si="20"/>
        <v>0.03</v>
      </c>
      <c r="O14" s="284">
        <f t="shared" si="20"/>
        <v>0.16300000000000001</v>
      </c>
      <c r="P14" s="284">
        <f t="shared" si="20"/>
        <v>0.15</v>
      </c>
      <c r="Q14" s="284">
        <f t="shared" si="20"/>
        <v>4.5999999999999999E-2</v>
      </c>
      <c r="R14" s="284">
        <f t="shared" si="20"/>
        <v>0.13800000000000001</v>
      </c>
      <c r="S14" s="23">
        <v>8</v>
      </c>
      <c r="T14" s="23">
        <v>13</v>
      </c>
      <c r="U14" s="232">
        <f t="shared" si="25"/>
        <v>1035000</v>
      </c>
      <c r="V14" s="285">
        <v>6.48</v>
      </c>
      <c r="W14" s="285">
        <f t="shared" si="26"/>
        <v>-7927542.6799999997</v>
      </c>
      <c r="X14" s="285">
        <v>-9094231.0899999999</v>
      </c>
      <c r="Y14" s="285"/>
      <c r="Z14" s="285"/>
      <c r="AA14" s="388">
        <f t="shared" si="27"/>
        <v>0.23766640563821459</v>
      </c>
      <c r="AB14" s="389">
        <f t="shared" si="28"/>
        <v>0.36456151219607325</v>
      </c>
      <c r="AC14" s="389">
        <f t="shared" si="29"/>
        <v>0.30111395891714393</v>
      </c>
      <c r="AD14" s="391">
        <v>5</v>
      </c>
      <c r="AE14" s="541"/>
      <c r="AF14" s="541"/>
      <c r="AG14" s="541"/>
      <c r="AH14" s="541"/>
      <c r="AI14" s="541"/>
      <c r="AJ14" s="541"/>
      <c r="AK14" s="541"/>
      <c r="AL14" s="541"/>
      <c r="AM14" s="541"/>
      <c r="AN14" s="541"/>
    </row>
    <row r="15" spans="1:40" x14ac:dyDescent="0.2">
      <c r="A15" s="231" t="s">
        <v>239</v>
      </c>
      <c r="B15" s="231" t="s">
        <v>219</v>
      </c>
      <c r="C15" s="286">
        <v>268</v>
      </c>
      <c r="D15" s="286">
        <v>84</v>
      </c>
      <c r="E15" s="286">
        <v>780</v>
      </c>
      <c r="F15" s="232">
        <v>62540</v>
      </c>
      <c r="G15" s="232">
        <v>239476</v>
      </c>
      <c r="H15" s="232">
        <v>11633</v>
      </c>
      <c r="I15" s="286">
        <f t="shared" si="21"/>
        <v>16760720</v>
      </c>
      <c r="J15" s="286">
        <f t="shared" si="22"/>
        <v>20115984</v>
      </c>
      <c r="K15" s="286">
        <f t="shared" si="23"/>
        <v>9073740</v>
      </c>
      <c r="L15" s="286">
        <f t="shared" si="24"/>
        <v>45950444</v>
      </c>
      <c r="M15" s="284">
        <f t="shared" si="20"/>
        <v>0.16200000000000001</v>
      </c>
      <c r="N15" s="284">
        <f t="shared" si="20"/>
        <v>0.191</v>
      </c>
      <c r="O15" s="284">
        <f t="shared" si="20"/>
        <v>0.156</v>
      </c>
      <c r="P15" s="284">
        <f t="shared" si="20"/>
        <v>0.14299999999999999</v>
      </c>
      <c r="Q15" s="284">
        <f t="shared" si="20"/>
        <v>0.16400000000000001</v>
      </c>
      <c r="R15" s="284">
        <f t="shared" si="20"/>
        <v>0.13900000000000001</v>
      </c>
      <c r="S15" s="23">
        <v>9</v>
      </c>
      <c r="T15" s="23">
        <v>13</v>
      </c>
      <c r="U15" s="232">
        <f t="shared" si="25"/>
        <v>1075000</v>
      </c>
      <c r="V15" s="285">
        <v>25.95</v>
      </c>
      <c r="W15" s="285">
        <f t="shared" si="26"/>
        <v>2187506.42</v>
      </c>
      <c r="X15" s="285">
        <v>5123267.41</v>
      </c>
      <c r="Y15" s="285"/>
      <c r="Z15" s="285"/>
      <c r="AA15" s="388">
        <f t="shared" si="27"/>
        <v>1</v>
      </c>
      <c r="AB15" s="389">
        <f t="shared" si="28"/>
        <v>1</v>
      </c>
      <c r="AC15" s="389">
        <f t="shared" si="29"/>
        <v>1</v>
      </c>
      <c r="AD15" s="391">
        <v>1</v>
      </c>
      <c r="AE15" s="541"/>
      <c r="AF15" s="541"/>
      <c r="AG15" s="541"/>
      <c r="AH15" s="541"/>
      <c r="AI15" s="541"/>
      <c r="AJ15" s="541"/>
      <c r="AK15" s="541"/>
      <c r="AL15" s="541"/>
      <c r="AM15" s="541"/>
      <c r="AN15" s="541"/>
    </row>
    <row r="16" spans="1:40" x14ac:dyDescent="0.2">
      <c r="A16" s="231" t="s">
        <v>240</v>
      </c>
      <c r="B16" s="231" t="s">
        <v>219</v>
      </c>
      <c r="C16" s="286">
        <v>320</v>
      </c>
      <c r="D16" s="286">
        <v>89</v>
      </c>
      <c r="E16" s="286">
        <v>960</v>
      </c>
      <c r="F16" s="232">
        <v>50078</v>
      </c>
      <c r="G16" s="232">
        <v>210793</v>
      </c>
      <c r="H16" s="232">
        <v>9420</v>
      </c>
      <c r="I16" s="286">
        <f t="shared" si="21"/>
        <v>16024960</v>
      </c>
      <c r="J16" s="286">
        <f t="shared" si="22"/>
        <v>18760577</v>
      </c>
      <c r="K16" s="286">
        <f t="shared" si="23"/>
        <v>9043200</v>
      </c>
      <c r="L16" s="286">
        <f t="shared" si="24"/>
        <v>43828737</v>
      </c>
      <c r="M16" s="284">
        <f t="shared" si="20"/>
        <v>0.129</v>
      </c>
      <c r="N16" s="284">
        <f t="shared" si="20"/>
        <v>0.16800000000000001</v>
      </c>
      <c r="O16" s="284">
        <f t="shared" si="20"/>
        <v>0.126</v>
      </c>
      <c r="P16" s="284">
        <f t="shared" si="20"/>
        <v>0.13700000000000001</v>
      </c>
      <c r="Q16" s="284">
        <f t="shared" si="20"/>
        <v>0.153</v>
      </c>
      <c r="R16" s="284">
        <f t="shared" si="20"/>
        <v>0.13900000000000001</v>
      </c>
      <c r="S16" s="23">
        <v>10</v>
      </c>
      <c r="T16" s="23">
        <v>10</v>
      </c>
      <c r="U16" s="232">
        <f t="shared" si="25"/>
        <v>950000</v>
      </c>
      <c r="V16" s="285">
        <v>23.16</v>
      </c>
      <c r="W16" s="285">
        <f t="shared" si="26"/>
        <v>2096215.1</v>
      </c>
      <c r="X16" s="285">
        <v>3765015.64</v>
      </c>
      <c r="Y16" s="285"/>
      <c r="Z16" s="285"/>
      <c r="AA16" s="388">
        <f t="shared" si="27"/>
        <v>0.89075959279561479</v>
      </c>
      <c r="AB16" s="389">
        <f t="shared" si="28"/>
        <v>0.93929414159700408</v>
      </c>
      <c r="AC16" s="389">
        <f t="shared" si="29"/>
        <v>0.91502686719630943</v>
      </c>
      <c r="AD16" s="391">
        <v>2</v>
      </c>
      <c r="AE16" s="541"/>
      <c r="AF16" s="541"/>
      <c r="AG16" s="541"/>
      <c r="AH16" s="541"/>
      <c r="AI16" s="541"/>
      <c r="AJ16" s="541"/>
      <c r="AK16" s="541"/>
      <c r="AL16" s="541"/>
      <c r="AM16" s="541"/>
      <c r="AN16" s="541"/>
    </row>
    <row r="17" spans="1:40" s="231" customFormat="1" ht="17" thickBot="1" x14ac:dyDescent="0.25">
      <c r="A17" s="386" t="s">
        <v>320</v>
      </c>
      <c r="B17" s="386" t="s">
        <v>219</v>
      </c>
      <c r="C17" s="395">
        <v>306</v>
      </c>
      <c r="D17" s="395">
        <v>100</v>
      </c>
      <c r="E17" s="395">
        <v>934</v>
      </c>
      <c r="F17" s="396">
        <v>71025</v>
      </c>
      <c r="G17" s="396">
        <v>209564</v>
      </c>
      <c r="H17" s="396">
        <v>11117</v>
      </c>
      <c r="I17" s="395">
        <f t="shared" si="21"/>
        <v>21733650</v>
      </c>
      <c r="J17" s="395">
        <f t="shared" si="22"/>
        <v>20956400</v>
      </c>
      <c r="K17" s="395">
        <f t="shared" si="23"/>
        <v>10383278</v>
      </c>
      <c r="L17" s="395">
        <f t="shared" si="24"/>
        <v>53073328</v>
      </c>
      <c r="M17" s="397">
        <f t="shared" si="20"/>
        <v>0.184</v>
      </c>
      <c r="N17" s="397">
        <f t="shared" si="20"/>
        <v>0.16700000000000001</v>
      </c>
      <c r="O17" s="397">
        <f t="shared" si="20"/>
        <v>0.14899999999999999</v>
      </c>
      <c r="P17" s="397">
        <f t="shared" si="20"/>
        <v>0.186</v>
      </c>
      <c r="Q17" s="397">
        <f>ROUND(J17/J$18,3)</f>
        <v>0.17100000000000001</v>
      </c>
      <c r="R17" s="397">
        <f t="shared" si="20"/>
        <v>0.16</v>
      </c>
      <c r="S17" s="386">
        <v>14</v>
      </c>
      <c r="T17" s="386">
        <v>11</v>
      </c>
      <c r="U17" s="396">
        <f t="shared" si="25"/>
        <v>1165000</v>
      </c>
      <c r="V17" s="387">
        <v>14.39</v>
      </c>
      <c r="W17" s="387">
        <f t="shared" si="26"/>
        <v>-1720614.5999999996</v>
      </c>
      <c r="X17" s="387">
        <v>-6817853.1299999999</v>
      </c>
      <c r="Y17" s="387">
        <v>-2080696</v>
      </c>
      <c r="Z17" s="387">
        <f>Y17+Z9</f>
        <v>-7504280</v>
      </c>
      <c r="AA17" s="394">
        <f t="shared" si="27"/>
        <v>0.54737666405638219</v>
      </c>
      <c r="AB17" s="392">
        <f>(X17+ABS(MIN($X$12:$X$17)))/(MAX($X$12:$X$17)+ABS(MIN($X$12:$X$17)))</f>
        <v>0.4663022064942009</v>
      </c>
      <c r="AC17" s="392">
        <f t="shared" si="29"/>
        <v>0.50683943527529152</v>
      </c>
      <c r="AD17" s="393">
        <v>4</v>
      </c>
      <c r="AE17" s="541"/>
      <c r="AF17" s="541"/>
      <c r="AG17" s="541"/>
      <c r="AH17" s="541"/>
      <c r="AI17" s="541"/>
      <c r="AJ17" s="541"/>
      <c r="AK17" s="541"/>
      <c r="AL17" s="541"/>
      <c r="AM17" s="541"/>
      <c r="AN17" s="541"/>
    </row>
    <row r="18" spans="1:40" ht="17" thickBot="1" x14ac:dyDescent="0.25">
      <c r="A18" s="293" t="s">
        <v>405</v>
      </c>
      <c r="B18" s="300" t="s">
        <v>253</v>
      </c>
      <c r="C18" s="328">
        <f>AVERAGE(C12:C17)</f>
        <v>302.33333333333331</v>
      </c>
      <c r="D18" s="328">
        <f>AVERAGE(D12:D17)</f>
        <v>104.5</v>
      </c>
      <c r="E18" s="328">
        <f>AVERAGE(E12:E17)</f>
        <v>873.33333333333337</v>
      </c>
      <c r="F18" s="294">
        <f>SUM(F12:F17)</f>
        <v>386842</v>
      </c>
      <c r="G18" s="294">
        <f>SUM(G12:G17)</f>
        <v>1254566</v>
      </c>
      <c r="H18" s="294">
        <f>SUM(H12:H17)</f>
        <v>74487</v>
      </c>
      <c r="I18" s="295">
        <f>SUM(I12:I17)</f>
        <v>117035860</v>
      </c>
      <c r="J18" s="295">
        <f t="shared" ref="J18:L18" si="30">SUM(J12:J17)</f>
        <v>122463780</v>
      </c>
      <c r="K18" s="295">
        <f t="shared" si="30"/>
        <v>65051902</v>
      </c>
      <c r="L18" s="295">
        <f t="shared" si="30"/>
        <v>304551542</v>
      </c>
      <c r="M18" s="301" t="s">
        <v>253</v>
      </c>
      <c r="N18" s="301" t="s">
        <v>253</v>
      </c>
      <c r="O18" s="301" t="s">
        <v>253</v>
      </c>
      <c r="P18" s="301" t="s">
        <v>253</v>
      </c>
      <c r="Q18" s="301" t="s">
        <v>253</v>
      </c>
      <c r="R18" s="301" t="s">
        <v>253</v>
      </c>
      <c r="S18" s="296">
        <f t="shared" ref="S18:T18" si="31">SUM(S12:S17)</f>
        <v>66</v>
      </c>
      <c r="T18" s="296">
        <f t="shared" si="31"/>
        <v>69</v>
      </c>
      <c r="U18" s="335">
        <f>AVERAGE(U12:U17)</f>
        <v>1072500</v>
      </c>
      <c r="V18" s="297">
        <f>SUM(V12:V17)</f>
        <v>93.4</v>
      </c>
      <c r="W18" s="298">
        <f>SUM(W12:W17)</f>
        <v>-6342067.9699999988</v>
      </c>
      <c r="X18" s="321">
        <f>SUM(X12:X17)</f>
        <v>-21212044.039999995</v>
      </c>
      <c r="Y18" s="321"/>
      <c r="Z18" s="321"/>
      <c r="AA18" s="321"/>
      <c r="AB18" s="321"/>
      <c r="AC18" s="321"/>
      <c r="AD18" s="321"/>
      <c r="AE18" s="541"/>
      <c r="AF18" s="541"/>
      <c r="AG18" s="541"/>
      <c r="AH18" s="541"/>
      <c r="AI18" s="541"/>
      <c r="AJ18" s="541"/>
      <c r="AK18" s="541"/>
      <c r="AL18" s="541"/>
      <c r="AM18" s="541"/>
      <c r="AN18" s="541"/>
    </row>
    <row r="19" spans="1:40" x14ac:dyDescent="0.2">
      <c r="A19" s="229" t="s">
        <v>255</v>
      </c>
      <c r="B19" s="229" t="s">
        <v>16</v>
      </c>
      <c r="C19" s="229" t="s">
        <v>396</v>
      </c>
      <c r="D19" s="229" t="s">
        <v>397</v>
      </c>
      <c r="E19" s="229" t="s">
        <v>398</v>
      </c>
      <c r="F19" s="229" t="s">
        <v>399</v>
      </c>
      <c r="G19" s="229" t="s">
        <v>400</v>
      </c>
      <c r="H19" s="229" t="s">
        <v>401</v>
      </c>
      <c r="I19" s="229" t="s">
        <v>402</v>
      </c>
      <c r="J19" s="229" t="s">
        <v>403</v>
      </c>
      <c r="K19" s="229" t="s">
        <v>404</v>
      </c>
      <c r="L19" s="229" t="s">
        <v>273</v>
      </c>
      <c r="M19" s="229" t="s">
        <v>241</v>
      </c>
      <c r="N19" s="229" t="s">
        <v>242</v>
      </c>
      <c r="O19" s="229" t="s">
        <v>243</v>
      </c>
      <c r="P19" s="229" t="s">
        <v>393</v>
      </c>
      <c r="Q19" s="229" t="s">
        <v>394</v>
      </c>
      <c r="R19" s="229" t="s">
        <v>395</v>
      </c>
      <c r="S19" s="229" t="s">
        <v>234</v>
      </c>
      <c r="T19" s="229" t="s">
        <v>235</v>
      </c>
      <c r="U19" s="229" t="s">
        <v>256</v>
      </c>
      <c r="V19" s="229" t="s">
        <v>378</v>
      </c>
      <c r="W19" s="229" t="s">
        <v>389</v>
      </c>
      <c r="X19" s="229" t="s">
        <v>388</v>
      </c>
      <c r="Y19" s="229" t="s">
        <v>276</v>
      </c>
      <c r="Z19" s="229" t="s">
        <v>277</v>
      </c>
      <c r="AA19" s="229" t="s">
        <v>390</v>
      </c>
      <c r="AB19" s="229" t="s">
        <v>391</v>
      </c>
      <c r="AC19" s="229" t="s">
        <v>392</v>
      </c>
      <c r="AD19" s="229" t="s">
        <v>406</v>
      </c>
      <c r="AE19" s="541" t="s">
        <v>314</v>
      </c>
      <c r="AF19" s="541"/>
      <c r="AG19" s="541"/>
      <c r="AH19" s="541"/>
      <c r="AI19" s="541"/>
      <c r="AJ19" s="541"/>
      <c r="AK19" s="541"/>
      <c r="AL19" s="541"/>
      <c r="AM19" s="541"/>
      <c r="AN19" s="541"/>
    </row>
    <row r="20" spans="1:40" x14ac:dyDescent="0.2">
      <c r="A20" s="231" t="s">
        <v>236</v>
      </c>
      <c r="B20" s="231" t="s">
        <v>220</v>
      </c>
      <c r="C20" s="286">
        <v>325</v>
      </c>
      <c r="D20" s="286">
        <v>110</v>
      </c>
      <c r="E20" s="286">
        <v>930</v>
      </c>
      <c r="F20" s="232">
        <v>70442</v>
      </c>
      <c r="G20" s="232">
        <v>144767</v>
      </c>
      <c r="H20" s="232">
        <v>14931</v>
      </c>
      <c r="I20" s="286">
        <f>C20*F20</f>
        <v>22893650</v>
      </c>
      <c r="J20" s="286">
        <f>D20*G20</f>
        <v>15924370</v>
      </c>
      <c r="K20" s="286">
        <f>H20*E20</f>
        <v>13885830</v>
      </c>
      <c r="L20" s="286">
        <f>SUM(I20:K20)</f>
        <v>52703850</v>
      </c>
      <c r="M20" s="284">
        <f t="shared" ref="M20:R20" si="32">ROUND(F20/F$26,3)</f>
        <v>0.154</v>
      </c>
      <c r="N20" s="284">
        <f t="shared" si="32"/>
        <v>0.185</v>
      </c>
      <c r="O20" s="284">
        <f t="shared" si="32"/>
        <v>0.314</v>
      </c>
      <c r="P20" s="284">
        <f t="shared" si="32"/>
        <v>0.16</v>
      </c>
      <c r="Q20" s="284">
        <f t="shared" si="32"/>
        <v>0.215</v>
      </c>
      <c r="R20" s="284">
        <f t="shared" si="32"/>
        <v>0.32600000000000001</v>
      </c>
      <c r="S20" s="23">
        <v>12</v>
      </c>
      <c r="T20" s="23">
        <v>13</v>
      </c>
      <c r="U20" s="232">
        <f>S20*25000+T20*35000</f>
        <v>755000</v>
      </c>
      <c r="V20" s="285">
        <v>22.98</v>
      </c>
      <c r="W20" s="285">
        <f>X20-X12</f>
        <v>-871374.81</v>
      </c>
      <c r="X20" s="285">
        <v>2191426.15</v>
      </c>
      <c r="Y20" s="285"/>
      <c r="Z20" s="285"/>
      <c r="AA20" s="389">
        <f>(V20-MIN($V$20:$V$25))/(MAX($V$20:$V$25)-MIN($V$20:$V$25))</f>
        <v>1</v>
      </c>
      <c r="AB20" s="389">
        <f>(X20+ABS(MIN($X$20:$X$25)))/(MAX($X$20:$X$25)+ABS(MIN($X$20:$X$25)))</f>
        <v>1</v>
      </c>
      <c r="AC20" s="389">
        <f>AVERAGE(AA20:AB20)</f>
        <v>1</v>
      </c>
      <c r="AD20" s="391">
        <v>1</v>
      </c>
      <c r="AE20" s="541"/>
      <c r="AF20" s="541"/>
      <c r="AG20" s="541"/>
      <c r="AH20" s="541"/>
      <c r="AI20" s="541"/>
      <c r="AJ20" s="541"/>
      <c r="AK20" s="541"/>
      <c r="AL20" s="541"/>
      <c r="AM20" s="541"/>
      <c r="AN20" s="541"/>
    </row>
    <row r="21" spans="1:40" x14ac:dyDescent="0.2">
      <c r="A21" s="231" t="s">
        <v>237</v>
      </c>
      <c r="B21" s="231" t="s">
        <v>220</v>
      </c>
      <c r="C21" s="286">
        <v>325</v>
      </c>
      <c r="D21" s="286">
        <v>110</v>
      </c>
      <c r="E21" s="286">
        <v>925</v>
      </c>
      <c r="F21" s="232">
        <v>90417</v>
      </c>
      <c r="G21" s="232">
        <v>63165</v>
      </c>
      <c r="H21" s="232">
        <v>4089</v>
      </c>
      <c r="I21" s="286">
        <f t="shared" ref="I21:I25" si="33">C21*F21</f>
        <v>29385525</v>
      </c>
      <c r="J21" s="286">
        <f t="shared" ref="J21:J25" si="34">D21*G21</f>
        <v>6948150</v>
      </c>
      <c r="K21" s="286">
        <f t="shared" ref="K21:K25" si="35">H21*E21</f>
        <v>3782325</v>
      </c>
      <c r="L21" s="286">
        <f t="shared" ref="L21:L25" si="36">SUM(I21:K21)</f>
        <v>40116000</v>
      </c>
      <c r="M21" s="284">
        <f t="shared" ref="M21:M25" si="37">ROUND(F21/F$26,3)</f>
        <v>0.19800000000000001</v>
      </c>
      <c r="N21" s="284">
        <f t="shared" ref="N21:N25" si="38">ROUND(G21/G$26,3)</f>
        <v>8.1000000000000003E-2</v>
      </c>
      <c r="O21" s="284">
        <f t="shared" ref="O21:O25" si="39">ROUND(H21/H$26,3)</f>
        <v>8.5999999999999993E-2</v>
      </c>
      <c r="P21" s="284">
        <f t="shared" ref="P21:P25" si="40">ROUND(I21/I$26,3)</f>
        <v>0.20499999999999999</v>
      </c>
      <c r="Q21" s="284">
        <f t="shared" ref="Q21:Q25" si="41">ROUND(J21/J$26,3)</f>
        <v>9.4E-2</v>
      </c>
      <c r="R21" s="284">
        <f t="shared" ref="R21:R25" si="42">ROUND(K21/K$26,3)</f>
        <v>8.8999999999999996E-2</v>
      </c>
      <c r="S21" s="23">
        <v>13</v>
      </c>
      <c r="T21" s="23">
        <v>9</v>
      </c>
      <c r="U21" s="232">
        <f t="shared" ref="U21:U25" si="43">S21*25000+T21*35000</f>
        <v>640000</v>
      </c>
      <c r="V21" s="285">
        <v>0</v>
      </c>
      <c r="W21" s="285">
        <f t="shared" ref="W21:W25" si="44">X21-X13</f>
        <v>-8860694.4800000004</v>
      </c>
      <c r="X21" s="285">
        <v>-26111738.309999999</v>
      </c>
      <c r="Y21" s="285"/>
      <c r="Z21" s="285"/>
      <c r="AA21" s="389">
        <f t="shared" ref="AA21:AA25" si="45">(V21-MIN($V$20:$V$25))/(MAX($V$20:$V$25)-MIN($V$20:$V$25))</f>
        <v>0</v>
      </c>
      <c r="AB21" s="389">
        <f t="shared" ref="AB21:AB25" si="46">(X21+ABS(MIN($X$20:$X$25)))/(MAX($X$20:$X$25)+ABS(MIN($X$20:$X$25)))</f>
        <v>0</v>
      </c>
      <c r="AC21" s="389">
        <f t="shared" ref="AC21:AC25" si="47">AVERAGE(AA21:AB21)</f>
        <v>0</v>
      </c>
      <c r="AD21" s="391">
        <v>6</v>
      </c>
      <c r="AE21" s="541"/>
      <c r="AF21" s="541"/>
      <c r="AG21" s="541"/>
      <c r="AH21" s="541"/>
      <c r="AI21" s="541"/>
      <c r="AJ21" s="541"/>
      <c r="AK21" s="541"/>
      <c r="AL21" s="541"/>
      <c r="AM21" s="541"/>
      <c r="AN21" s="541"/>
    </row>
    <row r="22" spans="1:40" x14ac:dyDescent="0.2">
      <c r="A22" s="231" t="s">
        <v>238</v>
      </c>
      <c r="B22" s="231" t="s">
        <v>220</v>
      </c>
      <c r="C22" s="286">
        <v>300</v>
      </c>
      <c r="D22" s="286">
        <v>75</v>
      </c>
      <c r="E22" s="286">
        <v>850</v>
      </c>
      <c r="F22" s="232">
        <v>67077</v>
      </c>
      <c r="G22" s="232">
        <v>237893</v>
      </c>
      <c r="H22" s="232">
        <v>6774</v>
      </c>
      <c r="I22" s="286">
        <f t="shared" si="33"/>
        <v>20123100</v>
      </c>
      <c r="J22" s="286">
        <f t="shared" si="34"/>
        <v>17841975</v>
      </c>
      <c r="K22" s="286">
        <f t="shared" si="35"/>
        <v>5757900</v>
      </c>
      <c r="L22" s="286">
        <f t="shared" si="36"/>
        <v>43722975</v>
      </c>
      <c r="M22" s="284">
        <f t="shared" si="37"/>
        <v>0.14699999999999999</v>
      </c>
      <c r="N22" s="284">
        <f t="shared" si="38"/>
        <v>0.30399999999999999</v>
      </c>
      <c r="O22" s="284">
        <f t="shared" si="39"/>
        <v>0.14199999999999999</v>
      </c>
      <c r="P22" s="284">
        <f t="shared" si="40"/>
        <v>0.14000000000000001</v>
      </c>
      <c r="Q22" s="284">
        <f t="shared" si="41"/>
        <v>0.24099999999999999</v>
      </c>
      <c r="R22" s="284">
        <f t="shared" si="42"/>
        <v>0.13500000000000001</v>
      </c>
      <c r="S22" s="23">
        <v>8</v>
      </c>
      <c r="T22" s="23">
        <v>14</v>
      </c>
      <c r="U22" s="232">
        <f t="shared" si="43"/>
        <v>690000</v>
      </c>
      <c r="V22" s="285">
        <v>8.3800000000000008</v>
      </c>
      <c r="W22" s="285">
        <f t="shared" si="44"/>
        <v>-6060329.7599999998</v>
      </c>
      <c r="X22" s="285">
        <v>-15154560.85</v>
      </c>
      <c r="Y22" s="285"/>
      <c r="Z22" s="285"/>
      <c r="AA22" s="389">
        <f t="shared" si="45"/>
        <v>0.3646649260226284</v>
      </c>
      <c r="AB22" s="389">
        <f t="shared" si="46"/>
        <v>0.38713612661529229</v>
      </c>
      <c r="AC22" s="389">
        <f t="shared" si="47"/>
        <v>0.37590052631896032</v>
      </c>
      <c r="AD22" s="391">
        <v>5</v>
      </c>
      <c r="AE22" s="541"/>
      <c r="AF22" s="541"/>
      <c r="AG22" s="541"/>
      <c r="AH22" s="541"/>
      <c r="AI22" s="541"/>
      <c r="AJ22" s="541"/>
      <c r="AK22" s="541"/>
      <c r="AL22" s="541"/>
      <c r="AM22" s="541"/>
      <c r="AN22" s="541"/>
    </row>
    <row r="23" spans="1:40" x14ac:dyDescent="0.2">
      <c r="A23" s="231" t="s">
        <v>239</v>
      </c>
      <c r="B23" s="231" t="s">
        <v>220</v>
      </c>
      <c r="C23" s="286">
        <v>280</v>
      </c>
      <c r="D23" s="286">
        <v>90</v>
      </c>
      <c r="E23" s="286">
        <v>810</v>
      </c>
      <c r="F23" s="232">
        <v>71849</v>
      </c>
      <c r="G23" s="232">
        <v>134993</v>
      </c>
      <c r="H23" s="232">
        <v>11194</v>
      </c>
      <c r="I23" s="286">
        <f t="shared" si="33"/>
        <v>20117720</v>
      </c>
      <c r="J23" s="286">
        <f t="shared" si="34"/>
        <v>12149370</v>
      </c>
      <c r="K23" s="286">
        <f t="shared" si="35"/>
        <v>9067140</v>
      </c>
      <c r="L23" s="286">
        <f t="shared" si="36"/>
        <v>41334230</v>
      </c>
      <c r="M23" s="284">
        <f t="shared" si="37"/>
        <v>0.157</v>
      </c>
      <c r="N23" s="284">
        <f t="shared" si="38"/>
        <v>0.17299999999999999</v>
      </c>
      <c r="O23" s="284">
        <f t="shared" si="39"/>
        <v>0.23499999999999999</v>
      </c>
      <c r="P23" s="284">
        <f t="shared" si="40"/>
        <v>0.14000000000000001</v>
      </c>
      <c r="Q23" s="284">
        <f t="shared" si="41"/>
        <v>0.16400000000000001</v>
      </c>
      <c r="R23" s="284">
        <f t="shared" si="42"/>
        <v>0.21299999999999999</v>
      </c>
      <c r="S23" s="23">
        <v>9</v>
      </c>
      <c r="T23" s="23">
        <v>14</v>
      </c>
      <c r="U23" s="232">
        <f t="shared" si="43"/>
        <v>715000</v>
      </c>
      <c r="V23" s="285">
        <v>20.3</v>
      </c>
      <c r="W23" s="285">
        <f t="shared" si="44"/>
        <v>-4608042.6900000004</v>
      </c>
      <c r="X23" s="285">
        <v>515224.72</v>
      </c>
      <c r="Y23" s="285"/>
      <c r="Z23" s="285"/>
      <c r="AA23" s="389">
        <f t="shared" si="45"/>
        <v>0.88337684943429073</v>
      </c>
      <c r="AB23" s="389">
        <f t="shared" si="46"/>
        <v>0.94077688972309348</v>
      </c>
      <c r="AC23" s="389">
        <f t="shared" si="47"/>
        <v>0.91207686957869205</v>
      </c>
      <c r="AD23" s="391">
        <v>2</v>
      </c>
      <c r="AE23" s="541"/>
      <c r="AF23" s="541"/>
      <c r="AG23" s="541"/>
      <c r="AH23" s="541"/>
      <c r="AI23" s="541"/>
      <c r="AJ23" s="541"/>
      <c r="AK23" s="541"/>
      <c r="AL23" s="541"/>
      <c r="AM23" s="541"/>
      <c r="AN23" s="541"/>
    </row>
    <row r="24" spans="1:40" x14ac:dyDescent="0.2">
      <c r="A24" s="231" t="s">
        <v>240</v>
      </c>
      <c r="B24" s="231" t="s">
        <v>220</v>
      </c>
      <c r="C24" s="286">
        <v>320</v>
      </c>
      <c r="D24" s="286">
        <v>95</v>
      </c>
      <c r="E24" s="286">
        <v>950</v>
      </c>
      <c r="F24" s="232">
        <v>60546</v>
      </c>
      <c r="G24" s="232">
        <v>46087</v>
      </c>
      <c r="H24" s="232">
        <v>9475</v>
      </c>
      <c r="I24" s="286">
        <f t="shared" si="33"/>
        <v>19374720</v>
      </c>
      <c r="J24" s="286">
        <f t="shared" si="34"/>
        <v>4378265</v>
      </c>
      <c r="K24" s="286">
        <f t="shared" si="35"/>
        <v>9001250</v>
      </c>
      <c r="L24" s="286">
        <f t="shared" si="36"/>
        <v>32754235</v>
      </c>
      <c r="M24" s="284">
        <f t="shared" si="37"/>
        <v>0.13200000000000001</v>
      </c>
      <c r="N24" s="284">
        <f t="shared" si="38"/>
        <v>5.8999999999999997E-2</v>
      </c>
      <c r="O24" s="284">
        <f t="shared" si="39"/>
        <v>0.19900000000000001</v>
      </c>
      <c r="P24" s="284">
        <f t="shared" si="40"/>
        <v>0.13500000000000001</v>
      </c>
      <c r="Q24" s="284">
        <f t="shared" si="41"/>
        <v>5.8999999999999997E-2</v>
      </c>
      <c r="R24" s="284">
        <f t="shared" si="42"/>
        <v>0.21199999999999999</v>
      </c>
      <c r="S24" s="23">
        <v>10</v>
      </c>
      <c r="T24" s="23">
        <v>11</v>
      </c>
      <c r="U24" s="232">
        <f t="shared" si="43"/>
        <v>635000</v>
      </c>
      <c r="V24" s="285">
        <v>6.45</v>
      </c>
      <c r="W24" s="285">
        <f t="shared" si="44"/>
        <v>-7319895.1100000003</v>
      </c>
      <c r="X24" s="285">
        <v>-3554879.47</v>
      </c>
      <c r="Y24" s="285"/>
      <c r="Z24" s="285"/>
      <c r="AA24" s="389">
        <f t="shared" si="45"/>
        <v>0.28067885117493474</v>
      </c>
      <c r="AB24" s="389">
        <f t="shared" si="46"/>
        <v>0.79697303359413829</v>
      </c>
      <c r="AC24" s="389">
        <f t="shared" si="47"/>
        <v>0.53882594238453652</v>
      </c>
      <c r="AD24" s="391">
        <v>4</v>
      </c>
      <c r="AE24" s="541"/>
      <c r="AF24" s="541"/>
      <c r="AG24" s="541"/>
      <c r="AH24" s="541"/>
      <c r="AI24" s="541"/>
      <c r="AJ24" s="541"/>
      <c r="AK24" s="541"/>
      <c r="AL24" s="541"/>
      <c r="AM24" s="541"/>
      <c r="AN24" s="541"/>
    </row>
    <row r="25" spans="1:40" s="231" customFormat="1" ht="17" thickBot="1" x14ac:dyDescent="0.25">
      <c r="A25" s="386" t="s">
        <v>320</v>
      </c>
      <c r="B25" s="386" t="s">
        <v>220</v>
      </c>
      <c r="C25" s="395">
        <v>324</v>
      </c>
      <c r="D25" s="395">
        <v>109</v>
      </c>
      <c r="E25" s="395">
        <v>959</v>
      </c>
      <c r="F25" s="396">
        <v>96883</v>
      </c>
      <c r="G25" s="396">
        <v>155148</v>
      </c>
      <c r="H25" s="396">
        <v>1102</v>
      </c>
      <c r="I25" s="395">
        <f t="shared" si="33"/>
        <v>31390092</v>
      </c>
      <c r="J25" s="395">
        <f t="shared" si="34"/>
        <v>16911132</v>
      </c>
      <c r="K25" s="395">
        <f t="shared" si="35"/>
        <v>1056818</v>
      </c>
      <c r="L25" s="395">
        <f t="shared" si="36"/>
        <v>49358042</v>
      </c>
      <c r="M25" s="397">
        <f t="shared" si="37"/>
        <v>0.21199999999999999</v>
      </c>
      <c r="N25" s="397">
        <f t="shared" si="38"/>
        <v>0.19800000000000001</v>
      </c>
      <c r="O25" s="397">
        <f t="shared" si="39"/>
        <v>2.3E-2</v>
      </c>
      <c r="P25" s="397">
        <f t="shared" si="40"/>
        <v>0.219</v>
      </c>
      <c r="Q25" s="397">
        <f t="shared" si="41"/>
        <v>0.22800000000000001</v>
      </c>
      <c r="R25" s="397">
        <f t="shared" si="42"/>
        <v>2.5000000000000001E-2</v>
      </c>
      <c r="S25" s="386">
        <v>14</v>
      </c>
      <c r="T25" s="386">
        <v>12</v>
      </c>
      <c r="U25" s="396">
        <f t="shared" si="43"/>
        <v>770000</v>
      </c>
      <c r="V25" s="387">
        <v>18.04</v>
      </c>
      <c r="W25" s="387">
        <f t="shared" si="44"/>
        <v>374852.80999999959</v>
      </c>
      <c r="X25" s="387">
        <v>-6443000.3200000003</v>
      </c>
      <c r="Y25" s="387">
        <v>14771</v>
      </c>
      <c r="Z25" s="387">
        <f>Y25+Z17</f>
        <v>-7489509</v>
      </c>
      <c r="AA25" s="392">
        <f t="shared" si="45"/>
        <v>0.78503046127067011</v>
      </c>
      <c r="AB25" s="392">
        <f t="shared" si="46"/>
        <v>0.69493070351893793</v>
      </c>
      <c r="AC25" s="392">
        <f t="shared" si="47"/>
        <v>0.73998058239480402</v>
      </c>
      <c r="AD25" s="393">
        <v>3</v>
      </c>
      <c r="AE25" s="541"/>
      <c r="AF25" s="541"/>
      <c r="AG25" s="541"/>
      <c r="AH25" s="541"/>
      <c r="AI25" s="541"/>
      <c r="AJ25" s="541"/>
      <c r="AK25" s="541"/>
      <c r="AL25" s="541"/>
      <c r="AM25" s="541"/>
      <c r="AN25" s="541"/>
    </row>
    <row r="26" spans="1:40" ht="17" thickBot="1" x14ac:dyDescent="0.25">
      <c r="A26" s="293" t="s">
        <v>405</v>
      </c>
      <c r="B26" s="300" t="s">
        <v>253</v>
      </c>
      <c r="C26" s="328">
        <f>AVERAGE(C20:C25)</f>
        <v>312.33333333333331</v>
      </c>
      <c r="D26" s="328">
        <f>AVERAGE(D20:D25)</f>
        <v>98.166666666666671</v>
      </c>
      <c r="E26" s="328">
        <f>AVERAGE(E20:E25)</f>
        <v>904</v>
      </c>
      <c r="F26" s="294">
        <f>SUM(F20:F25)</f>
        <v>457214</v>
      </c>
      <c r="G26" s="294">
        <f>SUM(G20:G25)</f>
        <v>782053</v>
      </c>
      <c r="H26" s="294">
        <f>SUM(H20:H25)</f>
        <v>47565</v>
      </c>
      <c r="I26" s="295">
        <f>SUM(I20:I25)</f>
        <v>143284807</v>
      </c>
      <c r="J26" s="295">
        <f t="shared" ref="J26:L26" si="48">SUM(J20:J25)</f>
        <v>74153262</v>
      </c>
      <c r="K26" s="295">
        <f t="shared" si="48"/>
        <v>42551263</v>
      </c>
      <c r="L26" s="295">
        <f t="shared" si="48"/>
        <v>259989332</v>
      </c>
      <c r="M26" s="301" t="s">
        <v>253</v>
      </c>
      <c r="N26" s="301" t="s">
        <v>253</v>
      </c>
      <c r="O26" s="301" t="s">
        <v>253</v>
      </c>
      <c r="P26" s="301" t="s">
        <v>253</v>
      </c>
      <c r="Q26" s="301" t="s">
        <v>253</v>
      </c>
      <c r="R26" s="301" t="s">
        <v>253</v>
      </c>
      <c r="S26" s="296">
        <f t="shared" ref="S26:T26" si="49">SUM(S20:S25)</f>
        <v>66</v>
      </c>
      <c r="T26" s="296">
        <f t="shared" si="49"/>
        <v>73</v>
      </c>
      <c r="U26" s="335">
        <f>AVERAGE(U20:U25)</f>
        <v>700833.33333333337</v>
      </c>
      <c r="V26" s="297">
        <f>SUM(V20:V25)</f>
        <v>76.150000000000006</v>
      </c>
      <c r="W26" s="298">
        <f>SUM(W20:W25)</f>
        <v>-27345484.040000003</v>
      </c>
      <c r="X26" s="321">
        <f>SUM(X20:X25)</f>
        <v>-48557528.079999998</v>
      </c>
      <c r="Y26" s="321"/>
      <c r="Z26" s="321"/>
      <c r="AA26" s="321"/>
      <c r="AB26" s="321"/>
      <c r="AC26" s="321"/>
      <c r="AD26" s="321"/>
      <c r="AE26" s="541"/>
      <c r="AF26" s="541"/>
      <c r="AG26" s="541"/>
      <c r="AH26" s="541"/>
      <c r="AI26" s="541"/>
      <c r="AJ26" s="541"/>
      <c r="AK26" s="541"/>
      <c r="AL26" s="541"/>
      <c r="AM26" s="541"/>
      <c r="AN26" s="541"/>
    </row>
    <row r="27" spans="1:40" x14ac:dyDescent="0.2">
      <c r="A27" s="229" t="s">
        <v>255</v>
      </c>
      <c r="B27" s="229" t="s">
        <v>16</v>
      </c>
      <c r="C27" s="229" t="s">
        <v>396</v>
      </c>
      <c r="D27" s="229" t="s">
        <v>397</v>
      </c>
      <c r="E27" s="229" t="s">
        <v>398</v>
      </c>
      <c r="F27" s="229" t="s">
        <v>399</v>
      </c>
      <c r="G27" s="229" t="s">
        <v>400</v>
      </c>
      <c r="H27" s="229" t="s">
        <v>401</v>
      </c>
      <c r="I27" s="229" t="s">
        <v>402</v>
      </c>
      <c r="J27" s="229" t="s">
        <v>403</v>
      </c>
      <c r="K27" s="229" t="s">
        <v>404</v>
      </c>
      <c r="L27" s="229" t="s">
        <v>273</v>
      </c>
      <c r="M27" s="229" t="s">
        <v>241</v>
      </c>
      <c r="N27" s="229" t="s">
        <v>242</v>
      </c>
      <c r="O27" s="229" t="s">
        <v>243</v>
      </c>
      <c r="P27" s="229" t="s">
        <v>393</v>
      </c>
      <c r="Q27" s="229" t="s">
        <v>394</v>
      </c>
      <c r="R27" s="229" t="s">
        <v>395</v>
      </c>
      <c r="S27" s="229" t="s">
        <v>234</v>
      </c>
      <c r="T27" s="229" t="s">
        <v>235</v>
      </c>
      <c r="U27" s="229" t="s">
        <v>256</v>
      </c>
      <c r="V27" s="229" t="s">
        <v>378</v>
      </c>
      <c r="W27" s="229" t="s">
        <v>389</v>
      </c>
      <c r="X27" s="229" t="s">
        <v>388</v>
      </c>
      <c r="Y27" s="229" t="s">
        <v>276</v>
      </c>
      <c r="Z27" s="229" t="s">
        <v>277</v>
      </c>
      <c r="AA27" s="229" t="s">
        <v>390</v>
      </c>
      <c r="AB27" s="229" t="s">
        <v>391</v>
      </c>
      <c r="AC27" s="229" t="s">
        <v>392</v>
      </c>
      <c r="AD27" s="229" t="s">
        <v>406</v>
      </c>
      <c r="AE27" s="541" t="s">
        <v>418</v>
      </c>
      <c r="AF27" s="541"/>
      <c r="AG27" s="541"/>
      <c r="AH27" s="541"/>
      <c r="AI27" s="541"/>
      <c r="AJ27" s="541"/>
      <c r="AK27" s="541"/>
      <c r="AL27" s="541"/>
      <c r="AM27" s="541"/>
      <c r="AN27" s="541"/>
    </row>
    <row r="28" spans="1:40" x14ac:dyDescent="0.2">
      <c r="A28" s="231" t="s">
        <v>236</v>
      </c>
      <c r="B28" s="429" t="s">
        <v>221</v>
      </c>
      <c r="C28" s="428">
        <v>330</v>
      </c>
      <c r="D28" s="428">
        <v>115</v>
      </c>
      <c r="E28" s="428">
        <v>945</v>
      </c>
      <c r="F28" s="232">
        <v>60578</v>
      </c>
      <c r="G28" s="232">
        <v>150776</v>
      </c>
      <c r="H28" s="232">
        <v>33803</v>
      </c>
      <c r="I28" s="286">
        <f>C28*F28</f>
        <v>19990740</v>
      </c>
      <c r="J28" s="286">
        <f>D28*G28</f>
        <v>17339240</v>
      </c>
      <c r="K28" s="286">
        <f>H28*E28</f>
        <v>31943835</v>
      </c>
      <c r="L28" s="286">
        <f>SUM(I28:K28)</f>
        <v>69273815</v>
      </c>
      <c r="M28" s="284">
        <f>ROUND(F28/F$34,3)</f>
        <v>0.16600000000000001</v>
      </c>
      <c r="N28" s="284">
        <f t="shared" ref="N28:R28" si="50">ROUND(G28/G$34,3)</f>
        <v>0.127</v>
      </c>
      <c r="O28" s="284">
        <f t="shared" si="50"/>
        <v>0.255</v>
      </c>
      <c r="P28" s="284">
        <f t="shared" si="50"/>
        <v>0.17599999999999999</v>
      </c>
      <c r="Q28" s="284">
        <f t="shared" si="50"/>
        <v>0.153</v>
      </c>
      <c r="R28" s="284">
        <f t="shared" si="50"/>
        <v>0.27</v>
      </c>
      <c r="S28" s="23">
        <v>15</v>
      </c>
      <c r="T28" s="23">
        <v>12</v>
      </c>
      <c r="U28" s="232">
        <f>S28*25000+T28*35000</f>
        <v>795000</v>
      </c>
      <c r="V28" s="285">
        <v>14.73</v>
      </c>
      <c r="W28" s="285">
        <f>X28-X20</f>
        <v>5008382.7699999996</v>
      </c>
      <c r="X28" s="285">
        <v>7199808.9199999999</v>
      </c>
      <c r="Y28" s="285"/>
      <c r="Z28" s="285"/>
      <c r="AA28" s="388">
        <f>(V28-MIN($V$28:$V$33))/(MAX($V$28:$V$33)-MIN($V$28:$V$33))</f>
        <v>0.5262593783494105</v>
      </c>
      <c r="AB28" s="388">
        <f>(X28+ABS(MIN($X$28:$X$33)))/(MAX($X$28:$X$33)+ABS(MIN($X$28:$X$33)))</f>
        <v>0.99638378450826537</v>
      </c>
      <c r="AC28" s="388">
        <f>AVERAGE(AA28:AB28)</f>
        <v>0.76132158142883788</v>
      </c>
      <c r="AD28" s="432">
        <v>3</v>
      </c>
      <c r="AE28" s="541"/>
      <c r="AF28" s="541"/>
      <c r="AG28" s="541"/>
      <c r="AH28" s="541"/>
      <c r="AI28" s="541"/>
      <c r="AJ28" s="541"/>
      <c r="AK28" s="541"/>
      <c r="AL28" s="541"/>
      <c r="AM28" s="541"/>
      <c r="AN28" s="541"/>
    </row>
    <row r="29" spans="1:40" x14ac:dyDescent="0.2">
      <c r="A29" s="231" t="s">
        <v>237</v>
      </c>
      <c r="B29" s="429" t="s">
        <v>221</v>
      </c>
      <c r="C29" s="428">
        <v>325</v>
      </c>
      <c r="D29" s="428">
        <v>110</v>
      </c>
      <c r="E29" s="428">
        <v>950</v>
      </c>
      <c r="F29" s="232">
        <v>68465</v>
      </c>
      <c r="G29" s="232">
        <v>65717</v>
      </c>
      <c r="H29" s="232">
        <v>409</v>
      </c>
      <c r="I29" s="286">
        <f t="shared" ref="I29:I33" si="51">C29*F29</f>
        <v>22251125</v>
      </c>
      <c r="J29" s="286">
        <f t="shared" ref="J29:J33" si="52">D29*G29</f>
        <v>7228870</v>
      </c>
      <c r="K29" s="286">
        <f t="shared" ref="K29:K33" si="53">H29*E29</f>
        <v>388550</v>
      </c>
      <c r="L29" s="286">
        <f t="shared" ref="L29:L33" si="54">SUM(I29:K29)</f>
        <v>29868545</v>
      </c>
      <c r="M29" s="284">
        <f t="shared" ref="M29:M33" si="55">ROUND(F29/F$34,3)</f>
        <v>0.188</v>
      </c>
      <c r="N29" s="284">
        <f t="shared" ref="N29:N33" si="56">ROUND(G29/G$34,3)</f>
        <v>5.5E-2</v>
      </c>
      <c r="O29" s="284">
        <f t="shared" ref="O29:O33" si="57">ROUND(H29/H$34,3)</f>
        <v>3.0000000000000001E-3</v>
      </c>
      <c r="P29" s="284">
        <f t="shared" ref="P29:P33" si="58">ROUND(I29/I$34,3)</f>
        <v>0.19600000000000001</v>
      </c>
      <c r="Q29" s="284">
        <f t="shared" ref="Q29:Q33" si="59">ROUND(J29/J$34,3)</f>
        <v>6.4000000000000001E-2</v>
      </c>
      <c r="R29" s="284">
        <f t="shared" ref="R29:R33" si="60">ROUND(K29/K$34,3)</f>
        <v>3.0000000000000001E-3</v>
      </c>
      <c r="S29" s="23">
        <v>13</v>
      </c>
      <c r="T29" s="23">
        <v>9</v>
      </c>
      <c r="U29" s="232">
        <f t="shared" ref="U29:U33" si="61">S29*25000+T29*35000</f>
        <v>640000</v>
      </c>
      <c r="V29" s="285">
        <v>0</v>
      </c>
      <c r="W29" s="285">
        <f t="shared" ref="W29:W32" si="62">X29-X21</f>
        <v>-14493189.050000001</v>
      </c>
      <c r="X29" s="285">
        <v>-40604927.359999999</v>
      </c>
      <c r="Y29" s="285"/>
      <c r="Z29" s="285"/>
      <c r="AA29" s="388">
        <f t="shared" ref="AA29:AA33" si="63">(V29-MIN($V$28:$V$33))/(MAX($V$28:$V$33)-MIN($V$28:$V$33))</f>
        <v>0</v>
      </c>
      <c r="AB29" s="388">
        <f t="shared" ref="AB29:AB32" si="64">(X29+ABS(MIN($X$28:$X$33)))/(MAX($X$28:$X$33)+ABS(MIN($X$28:$X$33)))</f>
        <v>0</v>
      </c>
      <c r="AC29" s="388">
        <f t="shared" ref="AC29:AC33" si="65">AVERAGE(AA29:AB29)</f>
        <v>0</v>
      </c>
      <c r="AD29" s="432">
        <v>6</v>
      </c>
      <c r="AE29" s="541"/>
      <c r="AF29" s="541"/>
      <c r="AG29" s="541"/>
      <c r="AH29" s="541"/>
      <c r="AI29" s="541"/>
      <c r="AJ29" s="541"/>
      <c r="AK29" s="541"/>
      <c r="AL29" s="541"/>
      <c r="AM29" s="541"/>
      <c r="AN29" s="541"/>
    </row>
    <row r="30" spans="1:40" x14ac:dyDescent="0.2">
      <c r="A30" s="231" t="s">
        <v>238</v>
      </c>
      <c r="B30" s="429" t="s">
        <v>221</v>
      </c>
      <c r="C30" s="428">
        <v>296</v>
      </c>
      <c r="D30" s="428">
        <v>83</v>
      </c>
      <c r="E30" s="428">
        <v>875</v>
      </c>
      <c r="F30" s="232">
        <v>58702</v>
      </c>
      <c r="G30" s="232">
        <v>254295</v>
      </c>
      <c r="H30" s="232">
        <v>24419</v>
      </c>
      <c r="I30" s="286">
        <f t="shared" si="51"/>
        <v>17375792</v>
      </c>
      <c r="J30" s="286">
        <f t="shared" si="52"/>
        <v>21106485</v>
      </c>
      <c r="K30" s="286">
        <f t="shared" si="53"/>
        <v>21366625</v>
      </c>
      <c r="L30" s="286">
        <f t="shared" si="54"/>
        <v>59848902</v>
      </c>
      <c r="M30" s="284">
        <f t="shared" si="55"/>
        <v>0.161</v>
      </c>
      <c r="N30" s="284">
        <f t="shared" si="56"/>
        <v>0.214</v>
      </c>
      <c r="O30" s="284">
        <f t="shared" si="57"/>
        <v>0.184</v>
      </c>
      <c r="P30" s="284">
        <f t="shared" si="58"/>
        <v>0.153</v>
      </c>
      <c r="Q30" s="284">
        <f t="shared" si="59"/>
        <v>0.186</v>
      </c>
      <c r="R30" s="284">
        <f t="shared" si="60"/>
        <v>0.18</v>
      </c>
      <c r="S30" s="23">
        <v>8</v>
      </c>
      <c r="T30" s="23">
        <v>14</v>
      </c>
      <c r="U30" s="232">
        <f t="shared" si="61"/>
        <v>690000</v>
      </c>
      <c r="V30" s="285">
        <v>17.79</v>
      </c>
      <c r="W30" s="285">
        <f t="shared" si="62"/>
        <v>8099927.3099999996</v>
      </c>
      <c r="X30" s="285">
        <v>-7054633.54</v>
      </c>
      <c r="Y30" s="285"/>
      <c r="Z30" s="285"/>
      <c r="AA30" s="388">
        <f t="shared" si="63"/>
        <v>0.63558413719185425</v>
      </c>
      <c r="AB30" s="388">
        <f t="shared" si="64"/>
        <v>0.69928152164540858</v>
      </c>
      <c r="AC30" s="388">
        <f t="shared" si="65"/>
        <v>0.66743282941863136</v>
      </c>
      <c r="AD30" s="432">
        <v>4</v>
      </c>
      <c r="AE30" s="541"/>
      <c r="AF30" s="541"/>
      <c r="AG30" s="541"/>
      <c r="AH30" s="541"/>
      <c r="AI30" s="541"/>
      <c r="AJ30" s="541"/>
      <c r="AK30" s="541"/>
      <c r="AL30" s="541"/>
      <c r="AM30" s="541"/>
      <c r="AN30" s="541"/>
    </row>
    <row r="31" spans="1:40" x14ac:dyDescent="0.2">
      <c r="A31" s="231" t="s">
        <v>239</v>
      </c>
      <c r="B31" s="429" t="s">
        <v>221</v>
      </c>
      <c r="C31" s="428">
        <v>280</v>
      </c>
      <c r="D31" s="428">
        <v>90</v>
      </c>
      <c r="E31" s="428">
        <v>810</v>
      </c>
      <c r="F31" s="232">
        <v>62266</v>
      </c>
      <c r="G31" s="232">
        <v>196875</v>
      </c>
      <c r="H31" s="232">
        <v>30819</v>
      </c>
      <c r="I31" s="286">
        <f t="shared" si="51"/>
        <v>17434480</v>
      </c>
      <c r="J31" s="286">
        <f t="shared" si="52"/>
        <v>17718750</v>
      </c>
      <c r="K31" s="286">
        <f t="shared" si="53"/>
        <v>24963390</v>
      </c>
      <c r="L31" s="286">
        <f t="shared" si="54"/>
        <v>60116620</v>
      </c>
      <c r="M31" s="284">
        <f t="shared" si="55"/>
        <v>0.17100000000000001</v>
      </c>
      <c r="N31" s="284">
        <f t="shared" si="56"/>
        <v>0.16600000000000001</v>
      </c>
      <c r="O31" s="284">
        <f t="shared" si="57"/>
        <v>0.23300000000000001</v>
      </c>
      <c r="P31" s="284">
        <f t="shared" si="58"/>
        <v>0.154</v>
      </c>
      <c r="Q31" s="284">
        <f t="shared" si="59"/>
        <v>0.156</v>
      </c>
      <c r="R31" s="284">
        <f t="shared" si="60"/>
        <v>0.21099999999999999</v>
      </c>
      <c r="S31" s="23">
        <v>9</v>
      </c>
      <c r="T31" s="23">
        <v>14</v>
      </c>
      <c r="U31" s="232">
        <f t="shared" si="61"/>
        <v>715000</v>
      </c>
      <c r="V31" s="285">
        <v>27.99</v>
      </c>
      <c r="W31" s="285">
        <f t="shared" si="62"/>
        <v>6858083.8399999999</v>
      </c>
      <c r="X31" s="285">
        <v>7373308.5599999996</v>
      </c>
      <c r="Y31" s="285"/>
      <c r="Z31" s="285"/>
      <c r="AA31" s="388">
        <f t="shared" si="63"/>
        <v>1</v>
      </c>
      <c r="AB31" s="388">
        <f t="shared" si="64"/>
        <v>1</v>
      </c>
      <c r="AC31" s="388">
        <f t="shared" si="65"/>
        <v>1</v>
      </c>
      <c r="AD31" s="432">
        <v>1</v>
      </c>
      <c r="AE31" s="541"/>
      <c r="AF31" s="541"/>
      <c r="AG31" s="541"/>
      <c r="AH31" s="541"/>
      <c r="AI31" s="541"/>
      <c r="AJ31" s="541"/>
      <c r="AK31" s="541"/>
      <c r="AL31" s="541"/>
      <c r="AM31" s="541"/>
      <c r="AN31" s="541"/>
    </row>
    <row r="32" spans="1:40" x14ac:dyDescent="0.2">
      <c r="A32" s="231" t="s">
        <v>240</v>
      </c>
      <c r="B32" s="429" t="s">
        <v>221</v>
      </c>
      <c r="C32" s="428">
        <v>299</v>
      </c>
      <c r="D32" s="428">
        <v>80</v>
      </c>
      <c r="E32" s="428">
        <v>900</v>
      </c>
      <c r="F32" s="232">
        <v>45541</v>
      </c>
      <c r="G32" s="232">
        <v>265385</v>
      </c>
      <c r="H32" s="232">
        <v>22098</v>
      </c>
      <c r="I32" s="286">
        <f t="shared" si="51"/>
        <v>13616759</v>
      </c>
      <c r="J32" s="286">
        <f t="shared" si="52"/>
        <v>21230800</v>
      </c>
      <c r="K32" s="286">
        <f t="shared" si="53"/>
        <v>19888200</v>
      </c>
      <c r="L32" s="286">
        <f t="shared" si="54"/>
        <v>54735759</v>
      </c>
      <c r="M32" s="284">
        <f t="shared" si="55"/>
        <v>0.125</v>
      </c>
      <c r="N32" s="284">
        <f>ROUND(G32/G$34,3)</f>
        <v>0.224</v>
      </c>
      <c r="O32" s="284">
        <f t="shared" si="57"/>
        <v>0.16700000000000001</v>
      </c>
      <c r="P32" s="284">
        <f t="shared" si="58"/>
        <v>0.12</v>
      </c>
      <c r="Q32" s="284">
        <f t="shared" si="59"/>
        <v>0.187</v>
      </c>
      <c r="R32" s="284">
        <f t="shared" si="60"/>
        <v>0.16800000000000001</v>
      </c>
      <c r="S32" s="23">
        <v>10</v>
      </c>
      <c r="T32" s="23">
        <v>13</v>
      </c>
      <c r="U32" s="232">
        <f t="shared" si="61"/>
        <v>705000</v>
      </c>
      <c r="V32" s="285">
        <v>13.5</v>
      </c>
      <c r="W32" s="285">
        <f t="shared" si="62"/>
        <v>2700684</v>
      </c>
      <c r="X32" s="285">
        <v>-854195.47</v>
      </c>
      <c r="Y32" s="285"/>
      <c r="Z32" s="285"/>
      <c r="AA32" s="388">
        <f t="shared" si="63"/>
        <v>0.48231511254019294</v>
      </c>
      <c r="AB32" s="388">
        <f t="shared" si="64"/>
        <v>0.82851591201229813</v>
      </c>
      <c r="AC32" s="388">
        <f t="shared" si="65"/>
        <v>0.6554155122762455</v>
      </c>
      <c r="AD32" s="432">
        <v>5</v>
      </c>
      <c r="AE32" s="541"/>
      <c r="AF32" s="541"/>
      <c r="AG32" s="541"/>
      <c r="AH32" s="541"/>
      <c r="AI32" s="541"/>
      <c r="AJ32" s="541"/>
      <c r="AK32" s="541"/>
      <c r="AL32" s="541"/>
      <c r="AM32" s="541"/>
      <c r="AN32" s="541"/>
    </row>
    <row r="33" spans="1:40" s="231" customFormat="1" ht="17" thickBot="1" x14ac:dyDescent="0.25">
      <c r="A33" s="386" t="s">
        <v>320</v>
      </c>
      <c r="B33" s="430" t="s">
        <v>221</v>
      </c>
      <c r="C33" s="431">
        <v>328</v>
      </c>
      <c r="D33" s="431">
        <v>114</v>
      </c>
      <c r="E33" s="431">
        <v>959</v>
      </c>
      <c r="F33" s="396">
        <v>69579</v>
      </c>
      <c r="G33" s="396">
        <v>252897</v>
      </c>
      <c r="H33" s="396">
        <v>20805</v>
      </c>
      <c r="I33" s="395">
        <f t="shared" si="51"/>
        <v>22821912</v>
      </c>
      <c r="J33" s="395">
        <f t="shared" si="52"/>
        <v>28830258</v>
      </c>
      <c r="K33" s="395">
        <f t="shared" si="53"/>
        <v>19951995</v>
      </c>
      <c r="L33" s="395">
        <f t="shared" si="54"/>
        <v>71604165</v>
      </c>
      <c r="M33" s="397">
        <f t="shared" si="55"/>
        <v>0.191</v>
      </c>
      <c r="N33" s="397">
        <f t="shared" si="56"/>
        <v>0.21299999999999999</v>
      </c>
      <c r="O33" s="397">
        <f t="shared" si="57"/>
        <v>0.157</v>
      </c>
      <c r="P33" s="397">
        <f t="shared" si="58"/>
        <v>0.20100000000000001</v>
      </c>
      <c r="Q33" s="397">
        <f t="shared" si="59"/>
        <v>0.254</v>
      </c>
      <c r="R33" s="397">
        <f t="shared" si="60"/>
        <v>0.16800000000000001</v>
      </c>
      <c r="S33" s="386">
        <v>16</v>
      </c>
      <c r="T33" s="386">
        <v>11</v>
      </c>
      <c r="U33" s="396">
        <f t="shared" si="61"/>
        <v>785000</v>
      </c>
      <c r="V33" s="387">
        <v>25.56</v>
      </c>
      <c r="W33" s="387">
        <f>X33-X25</f>
        <v>12117979.300000001</v>
      </c>
      <c r="X33" s="387">
        <v>5674978.9800000004</v>
      </c>
      <c r="Y33" s="387">
        <v>11677616</v>
      </c>
      <c r="Z33" s="387">
        <f>Y33+Z25</f>
        <v>4188107</v>
      </c>
      <c r="AA33" s="398">
        <f t="shared" si="63"/>
        <v>0.91318327974276525</v>
      </c>
      <c r="AB33" s="398">
        <f>(X33+ABS(MIN($X$28:$X$33)))/(MAX($X$28:$X$33)+ABS(MIN($X$28:$X$33)))</f>
        <v>0.96460208368578138</v>
      </c>
      <c r="AC33" s="398">
        <f t="shared" si="65"/>
        <v>0.93889268171427331</v>
      </c>
      <c r="AD33" s="433">
        <v>2</v>
      </c>
      <c r="AE33" s="541"/>
      <c r="AF33" s="541"/>
      <c r="AG33" s="541"/>
      <c r="AH33" s="541"/>
      <c r="AI33" s="541"/>
      <c r="AJ33" s="541"/>
      <c r="AK33" s="541"/>
      <c r="AL33" s="541"/>
      <c r="AM33" s="541"/>
      <c r="AN33" s="541"/>
    </row>
    <row r="34" spans="1:40" ht="17" thickBot="1" x14ac:dyDescent="0.25">
      <c r="A34" s="293" t="s">
        <v>405</v>
      </c>
      <c r="B34" s="300" t="s">
        <v>253</v>
      </c>
      <c r="C34" s="328">
        <f>AVERAGE(C28:C33)</f>
        <v>309.66666666666669</v>
      </c>
      <c r="D34" s="328">
        <f>AVERAGE(D28:D33)</f>
        <v>98.666666666666671</v>
      </c>
      <c r="E34" s="328">
        <f>AVERAGE(E28:E33)</f>
        <v>906.5</v>
      </c>
      <c r="F34" s="294">
        <f>SUM(F28:F33)</f>
        <v>365131</v>
      </c>
      <c r="G34" s="294">
        <f>SUM(G28:G33)</f>
        <v>1185945</v>
      </c>
      <c r="H34" s="294">
        <f>SUM(H28:H33)</f>
        <v>132353</v>
      </c>
      <c r="I34" s="295">
        <f>SUM(I28:I33)</f>
        <v>113490808</v>
      </c>
      <c r="J34" s="295">
        <f t="shared" ref="J34:L34" si="66">SUM(J28:J33)</f>
        <v>113454403</v>
      </c>
      <c r="K34" s="295">
        <f t="shared" si="66"/>
        <v>118502595</v>
      </c>
      <c r="L34" s="295">
        <f t="shared" si="66"/>
        <v>345447806</v>
      </c>
      <c r="M34" s="301" t="s">
        <v>253</v>
      </c>
      <c r="N34" s="301" t="s">
        <v>253</v>
      </c>
      <c r="O34" s="301" t="s">
        <v>253</v>
      </c>
      <c r="P34" s="301" t="s">
        <v>253</v>
      </c>
      <c r="Q34" s="301" t="s">
        <v>253</v>
      </c>
      <c r="R34" s="301" t="s">
        <v>253</v>
      </c>
      <c r="S34" s="296">
        <f t="shared" ref="S34:T34" si="67">SUM(S28:S33)</f>
        <v>71</v>
      </c>
      <c r="T34" s="296">
        <f t="shared" si="67"/>
        <v>73</v>
      </c>
      <c r="U34" s="335">
        <f>AVERAGE(U28:U33)</f>
        <v>721666.66666666663</v>
      </c>
      <c r="V34" s="297">
        <f>SUM(V28:V33)</f>
        <v>99.57</v>
      </c>
      <c r="W34" s="298">
        <f>SUM(W28:W33)</f>
        <v>20291868.169999998</v>
      </c>
      <c r="X34" s="321">
        <f>SUM(X28:X33)</f>
        <v>-28265659.91</v>
      </c>
      <c r="Y34" s="321"/>
      <c r="Z34" s="321"/>
      <c r="AA34" s="321"/>
      <c r="AB34" s="321"/>
      <c r="AC34" s="321"/>
      <c r="AD34" s="321"/>
      <c r="AE34" s="541"/>
      <c r="AF34" s="541"/>
      <c r="AG34" s="541"/>
      <c r="AH34" s="541"/>
      <c r="AI34" s="541"/>
      <c r="AJ34" s="541"/>
      <c r="AK34" s="541"/>
      <c r="AL34" s="541"/>
      <c r="AM34" s="541"/>
      <c r="AN34" s="541"/>
    </row>
    <row r="35" spans="1:40" x14ac:dyDescent="0.2">
      <c r="A35" s="229" t="s">
        <v>255</v>
      </c>
      <c r="B35" s="229" t="s">
        <v>16</v>
      </c>
      <c r="C35" s="229" t="s">
        <v>396</v>
      </c>
      <c r="D35" s="229" t="s">
        <v>397</v>
      </c>
      <c r="E35" s="229" t="s">
        <v>398</v>
      </c>
      <c r="F35" s="229" t="s">
        <v>399</v>
      </c>
      <c r="G35" s="229" t="s">
        <v>400</v>
      </c>
      <c r="H35" s="229" t="s">
        <v>401</v>
      </c>
      <c r="I35" s="229" t="s">
        <v>402</v>
      </c>
      <c r="J35" s="229" t="s">
        <v>403</v>
      </c>
      <c r="K35" s="229" t="s">
        <v>404</v>
      </c>
      <c r="L35" s="229" t="s">
        <v>273</v>
      </c>
      <c r="M35" s="229" t="s">
        <v>241</v>
      </c>
      <c r="N35" s="229" t="s">
        <v>242</v>
      </c>
      <c r="O35" s="229" t="s">
        <v>243</v>
      </c>
      <c r="P35" s="229" t="s">
        <v>393</v>
      </c>
      <c r="Q35" s="229" t="s">
        <v>394</v>
      </c>
      <c r="R35" s="229" t="s">
        <v>395</v>
      </c>
      <c r="S35" s="229" t="s">
        <v>234</v>
      </c>
      <c r="T35" s="229" t="s">
        <v>235</v>
      </c>
      <c r="U35" s="229" t="s">
        <v>256</v>
      </c>
      <c r="V35" s="229" t="s">
        <v>378</v>
      </c>
      <c r="W35" s="229" t="s">
        <v>389</v>
      </c>
      <c r="X35" s="229" t="s">
        <v>388</v>
      </c>
      <c r="Y35" s="229" t="s">
        <v>276</v>
      </c>
      <c r="Z35" s="229" t="s">
        <v>277</v>
      </c>
      <c r="AA35" s="229" t="s">
        <v>390</v>
      </c>
      <c r="AB35" s="229" t="s">
        <v>391</v>
      </c>
      <c r="AC35" s="229" t="s">
        <v>392</v>
      </c>
      <c r="AD35" s="229" t="s">
        <v>406</v>
      </c>
      <c r="AE35" s="541" t="s">
        <v>419</v>
      </c>
      <c r="AF35" s="541"/>
      <c r="AG35" s="541"/>
      <c r="AH35" s="541"/>
      <c r="AI35" s="541"/>
      <c r="AJ35" s="541"/>
      <c r="AK35" s="541"/>
      <c r="AL35" s="541"/>
      <c r="AM35" s="541"/>
      <c r="AN35" s="541"/>
    </row>
    <row r="36" spans="1:40" x14ac:dyDescent="0.2">
      <c r="A36" s="231" t="s">
        <v>236</v>
      </c>
      <c r="B36" s="231" t="s">
        <v>412</v>
      </c>
      <c r="C36" s="428">
        <v>331</v>
      </c>
      <c r="D36" s="428">
        <v>116</v>
      </c>
      <c r="E36" s="428">
        <v>946</v>
      </c>
      <c r="F36" s="232">
        <v>88220</v>
      </c>
      <c r="G36" s="232">
        <v>114871</v>
      </c>
      <c r="H36" s="232">
        <v>21971</v>
      </c>
      <c r="I36" s="286">
        <f>C36*F36</f>
        <v>29200820</v>
      </c>
      <c r="J36" s="286">
        <f>D36*G36</f>
        <v>13325036</v>
      </c>
      <c r="K36" s="286">
        <f>H36*E36</f>
        <v>20784566</v>
      </c>
      <c r="L36" s="286">
        <f>SUM(I36:K36)</f>
        <v>63310422</v>
      </c>
      <c r="M36" s="284">
        <f>ROUND(F36/F$42,3)</f>
        <v>0.17599999999999999</v>
      </c>
      <c r="N36" s="284">
        <f>ROUND(G36/G$42,3)</f>
        <v>0.123</v>
      </c>
      <c r="O36" s="284">
        <f>ROUND(H36/H$42,3)</f>
        <v>0.192</v>
      </c>
      <c r="P36" s="284">
        <f>ROUND(I36/I$42,3)</f>
        <v>0.192</v>
      </c>
      <c r="Q36" s="284">
        <f>ROUND(J36/J$42,3)</f>
        <v>0.154</v>
      </c>
      <c r="R36" s="284">
        <f t="shared" ref="R36" si="68">ROUND(K36/K$42,3)</f>
        <v>0.20300000000000001</v>
      </c>
      <c r="S36" s="23">
        <v>19</v>
      </c>
      <c r="T36" s="23">
        <v>10</v>
      </c>
      <c r="U36" s="232">
        <f>S36*25000+T36*35000</f>
        <v>825000</v>
      </c>
      <c r="V36" s="285">
        <v>16.600000000000001</v>
      </c>
      <c r="W36" s="285">
        <f>X36-X28</f>
        <v>-2075486.2400000002</v>
      </c>
      <c r="X36" s="285">
        <v>5124322.68</v>
      </c>
      <c r="Y36" s="285"/>
      <c r="Z36" s="285"/>
      <c r="AA36" s="388">
        <f>(V36-MIN($V$36:$V$41))/(MAX($V$36:$V$41)-MIN($V$36:$V$41))</f>
        <v>0.45231607629427795</v>
      </c>
      <c r="AB36" s="388">
        <f>(X36+ABS(MIN($X$36:$X$41)))/(MAX($X$36:$X$41)+ABS(MIN($X$36:$X$41)))</f>
        <v>0.82093542637611827</v>
      </c>
      <c r="AC36" s="388">
        <f>AVERAGE(AA36:AB36)</f>
        <v>0.63662575133519805</v>
      </c>
      <c r="AD36" s="432">
        <v>4</v>
      </c>
      <c r="AE36" s="541"/>
      <c r="AF36" s="541"/>
      <c r="AG36" s="541"/>
      <c r="AH36" s="541"/>
      <c r="AI36" s="541"/>
      <c r="AJ36" s="541"/>
      <c r="AK36" s="541"/>
      <c r="AL36" s="541"/>
      <c r="AM36" s="541"/>
      <c r="AN36" s="541"/>
    </row>
    <row r="37" spans="1:40" x14ac:dyDescent="0.2">
      <c r="A37" s="231" t="s">
        <v>237</v>
      </c>
      <c r="B37" s="231" t="s">
        <v>412</v>
      </c>
      <c r="C37" s="428">
        <v>300</v>
      </c>
      <c r="D37" s="428">
        <v>90</v>
      </c>
      <c r="E37" s="428">
        <v>900</v>
      </c>
      <c r="F37" s="232">
        <v>62534</v>
      </c>
      <c r="G37" s="232">
        <v>120857</v>
      </c>
      <c r="H37" s="232">
        <v>12436</v>
      </c>
      <c r="I37" s="286">
        <f t="shared" ref="I37:I41" si="69">C37*F37</f>
        <v>18760200</v>
      </c>
      <c r="J37" s="286">
        <f t="shared" ref="J37:J41" si="70">D37*G37</f>
        <v>10877130</v>
      </c>
      <c r="K37" s="286">
        <f t="shared" ref="K37:K41" si="71">H37*E37</f>
        <v>11192400</v>
      </c>
      <c r="L37" s="286">
        <f t="shared" ref="L37:L41" si="72">SUM(I37:K37)</f>
        <v>40829730</v>
      </c>
      <c r="M37" s="284">
        <f t="shared" ref="M37:M41" si="73">ROUND(F37/F$42,3)</f>
        <v>0.125</v>
      </c>
      <c r="N37" s="284">
        <f t="shared" ref="N37:N41" si="74">ROUND(G37/G$42,3)</f>
        <v>0.129</v>
      </c>
      <c r="O37" s="284">
        <f t="shared" ref="O37:O41" si="75">ROUND(H37/H$42,3)</f>
        <v>0.109</v>
      </c>
      <c r="P37" s="284">
        <f t="shared" ref="P37:P41" si="76">ROUND(I37/I$42,3)</f>
        <v>0.123</v>
      </c>
      <c r="Q37" s="284">
        <f t="shared" ref="Q37:Q41" si="77">ROUND(J37/J$42,3)</f>
        <v>0.126</v>
      </c>
      <c r="R37" s="284">
        <f t="shared" ref="R37:R41" si="78">ROUND(K37/K$42,3)</f>
        <v>0.109</v>
      </c>
      <c r="S37" s="23">
        <v>13</v>
      </c>
      <c r="T37" s="23">
        <v>9</v>
      </c>
      <c r="U37" s="232">
        <f t="shared" ref="U37:U41" si="79">S37*25000+T37*35000</f>
        <v>640000</v>
      </c>
      <c r="V37" s="285">
        <v>0</v>
      </c>
      <c r="W37" s="285">
        <f t="shared" ref="W37:W40" si="80">X37-X29</f>
        <v>3451097.3200000003</v>
      </c>
      <c r="X37" s="285">
        <v>-37153830.039999999</v>
      </c>
      <c r="Y37" s="285"/>
      <c r="Z37" s="285"/>
      <c r="AA37" s="388">
        <f t="shared" ref="AA37:AA41" si="81">(V37-MIN($V$36:$V$41))/(MAX($V$36:$V$41)-MIN($V$36:$V$41))</f>
        <v>0</v>
      </c>
      <c r="AB37" s="388">
        <f t="shared" ref="AB37:AB41" si="82">(X37+ABS(MIN($X$36:$X$41)))/(MAX($X$36:$X$41)+ABS(MIN($X$36:$X$41)))</f>
        <v>0</v>
      </c>
      <c r="AC37" s="388">
        <f t="shared" ref="AC37:AC41" si="83">AVERAGE(AA37:AB37)</f>
        <v>0</v>
      </c>
      <c r="AD37" s="432">
        <v>6</v>
      </c>
      <c r="AE37" s="541"/>
      <c r="AF37" s="541"/>
      <c r="AG37" s="541"/>
      <c r="AH37" s="541"/>
      <c r="AI37" s="541"/>
      <c r="AJ37" s="541"/>
      <c r="AK37" s="541"/>
      <c r="AL37" s="541"/>
      <c r="AM37" s="541"/>
      <c r="AN37" s="541"/>
    </row>
    <row r="38" spans="1:40" x14ac:dyDescent="0.2">
      <c r="A38" s="231" t="s">
        <v>238</v>
      </c>
      <c r="B38" s="231" t="s">
        <v>412</v>
      </c>
      <c r="C38" s="428">
        <v>293</v>
      </c>
      <c r="D38" s="428">
        <v>84</v>
      </c>
      <c r="E38" s="428">
        <v>870</v>
      </c>
      <c r="F38" s="232">
        <v>86504</v>
      </c>
      <c r="G38" s="232">
        <v>207620</v>
      </c>
      <c r="H38" s="232">
        <v>20652</v>
      </c>
      <c r="I38" s="286">
        <f t="shared" si="69"/>
        <v>25345672</v>
      </c>
      <c r="J38" s="286">
        <f t="shared" si="70"/>
        <v>17440080</v>
      </c>
      <c r="K38" s="286">
        <f t="shared" si="71"/>
        <v>17967240</v>
      </c>
      <c r="L38" s="286">
        <f t="shared" si="72"/>
        <v>60752992</v>
      </c>
      <c r="M38" s="284">
        <f t="shared" si="73"/>
        <v>0.17299999999999999</v>
      </c>
      <c r="N38" s="284">
        <f t="shared" si="74"/>
        <v>0.222</v>
      </c>
      <c r="O38" s="284">
        <f t="shared" si="75"/>
        <v>0.18</v>
      </c>
      <c r="P38" s="284">
        <f t="shared" si="76"/>
        <v>0.16700000000000001</v>
      </c>
      <c r="Q38" s="284">
        <f t="shared" si="77"/>
        <v>0.20200000000000001</v>
      </c>
      <c r="R38" s="284">
        <f t="shared" si="78"/>
        <v>0.17599999999999999</v>
      </c>
      <c r="S38" s="23">
        <v>8</v>
      </c>
      <c r="T38" s="23">
        <v>14</v>
      </c>
      <c r="U38" s="232">
        <f t="shared" si="79"/>
        <v>690000</v>
      </c>
      <c r="V38" s="285">
        <v>25.44</v>
      </c>
      <c r="W38" s="285">
        <f t="shared" si="80"/>
        <v>5498226.9000000004</v>
      </c>
      <c r="X38" s="285">
        <v>-1556406.64</v>
      </c>
      <c r="Y38" s="285"/>
      <c r="Z38" s="285"/>
      <c r="AA38" s="388">
        <f t="shared" si="81"/>
        <v>0.69318801089918258</v>
      </c>
      <c r="AB38" s="388">
        <f t="shared" si="82"/>
        <v>0.69121246025836791</v>
      </c>
      <c r="AC38" s="388">
        <f t="shared" si="83"/>
        <v>0.6922002355787753</v>
      </c>
      <c r="AD38" s="432">
        <v>3</v>
      </c>
      <c r="AE38" s="541"/>
      <c r="AF38" s="541"/>
      <c r="AG38" s="541"/>
      <c r="AH38" s="541"/>
      <c r="AI38" s="541"/>
      <c r="AJ38" s="541"/>
      <c r="AK38" s="541"/>
      <c r="AL38" s="541"/>
      <c r="AM38" s="541"/>
      <c r="AN38" s="541"/>
    </row>
    <row r="39" spans="1:40" x14ac:dyDescent="0.2">
      <c r="A39" s="231" t="s">
        <v>239</v>
      </c>
      <c r="B39" s="231" t="s">
        <v>412</v>
      </c>
      <c r="C39" s="428">
        <v>280</v>
      </c>
      <c r="D39" s="428">
        <v>85</v>
      </c>
      <c r="E39" s="428">
        <v>810</v>
      </c>
      <c r="F39" s="232">
        <v>82222</v>
      </c>
      <c r="G39" s="232">
        <v>151473</v>
      </c>
      <c r="H39" s="232">
        <v>22326</v>
      </c>
      <c r="I39" s="286">
        <f t="shared" si="69"/>
        <v>23022160</v>
      </c>
      <c r="J39" s="286">
        <f t="shared" si="70"/>
        <v>12875205</v>
      </c>
      <c r="K39" s="286">
        <f t="shared" si="71"/>
        <v>18084060</v>
      </c>
      <c r="L39" s="286">
        <f t="shared" si="72"/>
        <v>53981425</v>
      </c>
      <c r="M39" s="284">
        <f t="shared" si="73"/>
        <v>0.16400000000000001</v>
      </c>
      <c r="N39" s="284">
        <f t="shared" si="74"/>
        <v>0.16200000000000001</v>
      </c>
      <c r="O39" s="284">
        <f t="shared" si="75"/>
        <v>0.19500000000000001</v>
      </c>
      <c r="P39" s="284">
        <f t="shared" si="76"/>
        <v>0.151</v>
      </c>
      <c r="Q39" s="284">
        <f t="shared" si="77"/>
        <v>0.14899999999999999</v>
      </c>
      <c r="R39" s="284">
        <f t="shared" si="78"/>
        <v>0.17699999999999999</v>
      </c>
      <c r="S39" s="23">
        <v>9</v>
      </c>
      <c r="T39" s="23">
        <v>14</v>
      </c>
      <c r="U39" s="232">
        <f t="shared" si="79"/>
        <v>715000</v>
      </c>
      <c r="V39" s="285">
        <v>36.700000000000003</v>
      </c>
      <c r="W39" s="285">
        <f t="shared" si="80"/>
        <v>4588111.080000001</v>
      </c>
      <c r="X39" s="285">
        <v>11961419.640000001</v>
      </c>
      <c r="Y39" s="285"/>
      <c r="Z39" s="285"/>
      <c r="AA39" s="388">
        <f t="shared" si="81"/>
        <v>1</v>
      </c>
      <c r="AB39" s="388">
        <f t="shared" si="82"/>
        <v>0.95369465890940919</v>
      </c>
      <c r="AC39" s="388">
        <f t="shared" si="83"/>
        <v>0.97684732945470465</v>
      </c>
      <c r="AD39" s="432">
        <v>1</v>
      </c>
      <c r="AE39" s="541"/>
      <c r="AF39" s="541"/>
      <c r="AG39" s="541"/>
      <c r="AH39" s="541"/>
      <c r="AI39" s="541"/>
      <c r="AJ39" s="541"/>
      <c r="AK39" s="541"/>
      <c r="AL39" s="541"/>
      <c r="AM39" s="541"/>
      <c r="AN39" s="541"/>
    </row>
    <row r="40" spans="1:40" x14ac:dyDescent="0.2">
      <c r="A40" s="231" t="s">
        <v>240</v>
      </c>
      <c r="B40" s="231" t="s">
        <v>412</v>
      </c>
      <c r="C40" s="428">
        <v>285</v>
      </c>
      <c r="D40" s="428">
        <v>80</v>
      </c>
      <c r="E40" s="428">
        <v>875</v>
      </c>
      <c r="F40" s="232">
        <v>85839</v>
      </c>
      <c r="G40" s="232">
        <v>208598</v>
      </c>
      <c r="H40" s="232">
        <v>16548</v>
      </c>
      <c r="I40" s="286">
        <f t="shared" si="69"/>
        <v>24464115</v>
      </c>
      <c r="J40" s="286">
        <f t="shared" si="70"/>
        <v>16687840</v>
      </c>
      <c r="K40" s="286">
        <f t="shared" si="71"/>
        <v>14479500</v>
      </c>
      <c r="L40" s="286">
        <f t="shared" si="72"/>
        <v>55631455</v>
      </c>
      <c r="M40" s="284">
        <f t="shared" si="73"/>
        <v>0.17100000000000001</v>
      </c>
      <c r="N40" s="284">
        <f t="shared" si="74"/>
        <v>0.223</v>
      </c>
      <c r="O40" s="284">
        <f t="shared" si="75"/>
        <v>0.14499999999999999</v>
      </c>
      <c r="P40" s="284">
        <f t="shared" si="76"/>
        <v>0.161</v>
      </c>
      <c r="Q40" s="284">
        <f t="shared" si="77"/>
        <v>0.193</v>
      </c>
      <c r="R40" s="284">
        <f t="shared" si="78"/>
        <v>0.14199999999999999</v>
      </c>
      <c r="S40" s="23">
        <v>10</v>
      </c>
      <c r="T40" s="23">
        <v>13</v>
      </c>
      <c r="U40" s="232">
        <f t="shared" si="79"/>
        <v>705000</v>
      </c>
      <c r="V40" s="285">
        <v>19.12</v>
      </c>
      <c r="W40" s="285">
        <f t="shared" si="80"/>
        <v>226195.70999999996</v>
      </c>
      <c r="X40" s="285">
        <v>-627999.76</v>
      </c>
      <c r="Y40" s="285"/>
      <c r="Z40" s="285"/>
      <c r="AA40" s="388">
        <f t="shared" si="81"/>
        <v>0.52098092643051774</v>
      </c>
      <c r="AB40" s="388">
        <f t="shared" si="82"/>
        <v>0.70923978758581707</v>
      </c>
      <c r="AC40" s="388">
        <f t="shared" si="83"/>
        <v>0.61511035700816741</v>
      </c>
      <c r="AD40" s="432">
        <v>5</v>
      </c>
      <c r="AE40" s="541"/>
      <c r="AF40" s="541"/>
      <c r="AG40" s="541"/>
      <c r="AH40" s="541"/>
      <c r="AI40" s="541"/>
      <c r="AJ40" s="541"/>
      <c r="AK40" s="541"/>
      <c r="AL40" s="541"/>
      <c r="AM40" s="541"/>
      <c r="AN40" s="541"/>
    </row>
    <row r="41" spans="1:40" ht="17" thickBot="1" x14ac:dyDescent="0.25">
      <c r="A41" s="386" t="s">
        <v>320</v>
      </c>
      <c r="B41" s="386" t="s">
        <v>412</v>
      </c>
      <c r="C41" s="431">
        <v>328</v>
      </c>
      <c r="D41" s="431">
        <v>114</v>
      </c>
      <c r="E41" s="431">
        <v>959</v>
      </c>
      <c r="F41" s="396">
        <v>95614</v>
      </c>
      <c r="G41" s="396">
        <v>133740</v>
      </c>
      <c r="H41" s="396">
        <v>20580</v>
      </c>
      <c r="I41" s="395">
        <f t="shared" si="69"/>
        <v>31361392</v>
      </c>
      <c r="J41" s="395">
        <f t="shared" si="70"/>
        <v>15246360</v>
      </c>
      <c r="K41" s="395">
        <f t="shared" si="71"/>
        <v>19736220</v>
      </c>
      <c r="L41" s="395">
        <f t="shared" si="72"/>
        <v>66343972</v>
      </c>
      <c r="M41" s="397">
        <f t="shared" si="73"/>
        <v>0.191</v>
      </c>
      <c r="N41" s="397">
        <f t="shared" si="74"/>
        <v>0.14299999999999999</v>
      </c>
      <c r="O41" s="397">
        <f t="shared" si="75"/>
        <v>0.18</v>
      </c>
      <c r="P41" s="397">
        <f t="shared" si="76"/>
        <v>0.20599999999999999</v>
      </c>
      <c r="Q41" s="397">
        <f t="shared" si="77"/>
        <v>0.17599999999999999</v>
      </c>
      <c r="R41" s="397">
        <f t="shared" si="78"/>
        <v>0.193</v>
      </c>
      <c r="S41" s="386">
        <v>16</v>
      </c>
      <c r="T41" s="386">
        <v>11</v>
      </c>
      <c r="U41" s="396">
        <f t="shared" si="79"/>
        <v>785000</v>
      </c>
      <c r="V41" s="387">
        <v>33.4</v>
      </c>
      <c r="W41" s="387">
        <f>X41-X33</f>
        <v>8671164.5</v>
      </c>
      <c r="X41" s="387">
        <v>14346143.48</v>
      </c>
      <c r="Y41" s="387">
        <v>7950802</v>
      </c>
      <c r="Z41" s="387">
        <f>Y41+Z33</f>
        <v>12138909</v>
      </c>
      <c r="AA41" s="394">
        <f t="shared" si="81"/>
        <v>0.9100817438692097</v>
      </c>
      <c r="AB41" s="394">
        <f t="shared" si="82"/>
        <v>1</v>
      </c>
      <c r="AC41" s="394">
        <f t="shared" si="83"/>
        <v>0.95504087193460485</v>
      </c>
      <c r="AD41" s="433">
        <v>2</v>
      </c>
      <c r="AE41" s="541"/>
      <c r="AF41" s="541"/>
      <c r="AG41" s="541"/>
      <c r="AH41" s="541"/>
      <c r="AI41" s="541"/>
      <c r="AJ41" s="541"/>
      <c r="AK41" s="541"/>
      <c r="AL41" s="541"/>
      <c r="AM41" s="541"/>
      <c r="AN41" s="541"/>
    </row>
    <row r="42" spans="1:40" ht="17" thickBot="1" x14ac:dyDescent="0.25">
      <c r="A42" s="293" t="s">
        <v>405</v>
      </c>
      <c r="B42" s="300" t="s">
        <v>253</v>
      </c>
      <c r="C42" s="328">
        <f>AVERAGE(C36:C41)</f>
        <v>302.83333333333331</v>
      </c>
      <c r="D42" s="328">
        <f>AVERAGE(D36:D41)</f>
        <v>94.833333333333329</v>
      </c>
      <c r="E42" s="328">
        <f>AVERAGE(E36:E41)</f>
        <v>893.33333333333337</v>
      </c>
      <c r="F42" s="294">
        <f>SUM(F36:F41)</f>
        <v>500933</v>
      </c>
      <c r="G42" s="294">
        <f>SUM(G36:G41)</f>
        <v>937159</v>
      </c>
      <c r="H42" s="294">
        <f>SUM(H36:H41)</f>
        <v>114513</v>
      </c>
      <c r="I42" s="295">
        <f>SUM(I36:I41)</f>
        <v>152154359</v>
      </c>
      <c r="J42" s="295">
        <f t="shared" ref="J42:L42" si="84">SUM(J36:J41)</f>
        <v>86451651</v>
      </c>
      <c r="K42" s="295">
        <f t="shared" si="84"/>
        <v>102243986</v>
      </c>
      <c r="L42" s="295">
        <f t="shared" si="84"/>
        <v>340849996</v>
      </c>
      <c r="M42" s="301" t="s">
        <v>253</v>
      </c>
      <c r="N42" s="301" t="s">
        <v>253</v>
      </c>
      <c r="O42" s="301" t="s">
        <v>253</v>
      </c>
      <c r="P42" s="301" t="s">
        <v>253</v>
      </c>
      <c r="Q42" s="301" t="s">
        <v>253</v>
      </c>
      <c r="R42" s="301" t="s">
        <v>253</v>
      </c>
      <c r="S42" s="296">
        <f t="shared" ref="S42:T42" si="85">SUM(S36:S41)</f>
        <v>75</v>
      </c>
      <c r="T42" s="296">
        <f t="shared" si="85"/>
        <v>71</v>
      </c>
      <c r="U42" s="335">
        <f>AVERAGE(U36:U41)</f>
        <v>726666.66666666663</v>
      </c>
      <c r="V42" s="297">
        <f>SUM(V36:V41)</f>
        <v>131.26000000000002</v>
      </c>
      <c r="W42" s="298">
        <f>SUM(W36:W41)</f>
        <v>20359309.270000003</v>
      </c>
      <c r="X42" s="321">
        <f>SUM(X36:X41)</f>
        <v>-7906350.6400000006</v>
      </c>
      <c r="Y42" s="321"/>
      <c r="Z42" s="321"/>
      <c r="AA42" s="321"/>
      <c r="AB42" s="321"/>
      <c r="AC42" s="321"/>
      <c r="AD42" s="321"/>
      <c r="AE42" s="541"/>
      <c r="AF42" s="541"/>
      <c r="AG42" s="541"/>
      <c r="AH42" s="541"/>
      <c r="AI42" s="541"/>
      <c r="AJ42" s="541"/>
      <c r="AK42" s="541"/>
      <c r="AL42" s="541"/>
      <c r="AM42" s="541"/>
      <c r="AN42" s="541"/>
    </row>
    <row r="44" spans="1:40" x14ac:dyDescent="0.2">
      <c r="K44" s="344"/>
    </row>
  </sheetData>
  <mergeCells count="5">
    <mergeCell ref="AE3:AN10"/>
    <mergeCell ref="AE11:AN18"/>
    <mergeCell ref="AE19:AN26"/>
    <mergeCell ref="AE27:AN34"/>
    <mergeCell ref="AE35:AN42"/>
  </mergeCells>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24119-96F3-114A-B285-7C8AD5C2B149}">
  <dimension ref="A1:V116"/>
  <sheetViews>
    <sheetView tabSelected="1" topLeftCell="A16" zoomScale="116" zoomScaleNormal="80" workbookViewId="0">
      <selection activeCell="D34" sqref="D34"/>
    </sheetView>
  </sheetViews>
  <sheetFormatPr baseColWidth="10" defaultColWidth="8.83203125" defaultRowHeight="15" x14ac:dyDescent="0.2"/>
  <cols>
    <col min="1" max="1" width="28.33203125" style="100" bestFit="1" customWidth="1"/>
    <col min="2" max="2" width="16.1640625" style="100" bestFit="1" customWidth="1"/>
    <col min="3" max="3" width="14.1640625" style="100" bestFit="1" customWidth="1"/>
    <col min="4" max="4" width="15.83203125" style="100" bestFit="1" customWidth="1"/>
    <col min="5" max="5" width="14.1640625" style="100" customWidth="1"/>
    <col min="6" max="6" width="19.33203125" style="100" customWidth="1"/>
    <col min="7" max="7" width="14.5" style="100" bestFit="1" customWidth="1"/>
    <col min="8" max="8" width="11.83203125" style="100" customWidth="1"/>
    <col min="9" max="9" width="19.83203125" style="100" customWidth="1"/>
    <col min="10" max="10" width="35.1640625" style="100" bestFit="1" customWidth="1"/>
    <col min="11" max="11" width="25.6640625" style="100" customWidth="1"/>
    <col min="12" max="12" width="12.33203125" style="100" bestFit="1" customWidth="1"/>
    <col min="13" max="13" width="10.83203125" style="100" bestFit="1" customWidth="1"/>
    <col min="14" max="14" width="8.83203125" style="100"/>
    <col min="15" max="16" width="20.6640625" style="100" bestFit="1" customWidth="1"/>
    <col min="17" max="17" width="17.6640625" style="100" bestFit="1" customWidth="1"/>
    <col min="18" max="18" width="27.6640625" style="100" bestFit="1" customWidth="1"/>
    <col min="19" max="19" width="16.33203125" style="100" bestFit="1" customWidth="1"/>
    <col min="20" max="20" width="16.6640625" style="100" bestFit="1" customWidth="1"/>
    <col min="21" max="21" width="10.6640625" style="100" bestFit="1" customWidth="1"/>
    <col min="22" max="22" width="13" style="100" bestFit="1" customWidth="1"/>
    <col min="23" max="16384" width="8.83203125" style="100"/>
  </cols>
  <sheetData>
    <row r="1" spans="1:21" ht="16" x14ac:dyDescent="0.2">
      <c r="A1" s="96" t="s">
        <v>47</v>
      </c>
      <c r="B1" s="97"/>
      <c r="C1" s="98" t="s">
        <v>48</v>
      </c>
      <c r="D1" s="98" t="s">
        <v>49</v>
      </c>
      <c r="E1" s="99" t="s">
        <v>50</v>
      </c>
      <c r="F1" s="98" t="s">
        <v>51</v>
      </c>
      <c r="J1" s="101" t="s">
        <v>52</v>
      </c>
      <c r="K1" s="102">
        <f>SUM(F2:F8)</f>
        <v>101343439.90000001</v>
      </c>
    </row>
    <row r="2" spans="1:21" ht="16" x14ac:dyDescent="0.2">
      <c r="A2" s="103" t="s">
        <v>53</v>
      </c>
      <c r="B2" s="104">
        <v>106104</v>
      </c>
      <c r="C2" s="105">
        <f>B2*0.9</f>
        <v>95493.6</v>
      </c>
      <c r="D2" s="106">
        <f>C2</f>
        <v>95493.6</v>
      </c>
      <c r="E2" s="107">
        <v>328</v>
      </c>
      <c r="F2" s="108">
        <f t="shared" ref="F2:F8" si="0">D2*E2</f>
        <v>31321900.800000001</v>
      </c>
      <c r="J2" s="109" t="s">
        <v>54</v>
      </c>
      <c r="K2" s="110">
        <f>(C22*B94)+(C23*B99)+(C24*B104)+(C26*B95)+(C27*B100)+(C28*B105)</f>
        <v>28108800</v>
      </c>
    </row>
    <row r="3" spans="1:21" ht="26" x14ac:dyDescent="0.3">
      <c r="A3" s="103" t="s">
        <v>55</v>
      </c>
      <c r="B3" s="104">
        <v>388694</v>
      </c>
      <c r="C3" s="105">
        <f>B3*0.9</f>
        <v>349824.60000000003</v>
      </c>
      <c r="D3" s="106">
        <f>C3</f>
        <v>349824.60000000003</v>
      </c>
      <c r="E3" s="107">
        <v>114</v>
      </c>
      <c r="F3" s="108">
        <f t="shared" si="0"/>
        <v>39880004.400000006</v>
      </c>
      <c r="J3" s="109" t="s">
        <v>56</v>
      </c>
      <c r="K3" s="282">
        <f>(B40*F94+B41*F99+B42*F104)-((B14+B18)*E94+(B15+B19)*E99+(B16+B20)*E104)-(B50*C95+B51*C100+B52*C105)</f>
        <v>-1479660</v>
      </c>
      <c r="R3" s="112"/>
    </row>
    <row r="4" spans="1:21" ht="16" x14ac:dyDescent="0.2">
      <c r="A4" s="103" t="s">
        <v>57</v>
      </c>
      <c r="B4" s="104">
        <v>16037</v>
      </c>
      <c r="C4" s="105">
        <f>B4*0.9</f>
        <v>14433.300000000001</v>
      </c>
      <c r="D4" s="106">
        <f t="shared" ref="D4" si="1">C4</f>
        <v>14433.300000000001</v>
      </c>
      <c r="E4" s="107">
        <v>959</v>
      </c>
      <c r="F4" s="108">
        <f t="shared" si="0"/>
        <v>13841534.700000001</v>
      </c>
      <c r="J4" s="109" t="s">
        <v>58</v>
      </c>
      <c r="K4" s="110">
        <f>(C35*A109+C36*A110+C37*A111)/1.00015074</f>
        <v>18738535.353180859</v>
      </c>
      <c r="P4" s="113" t="s">
        <v>59</v>
      </c>
    </row>
    <row r="5" spans="1:21" ht="16" x14ac:dyDescent="0.2">
      <c r="A5" s="114" t="s">
        <v>60</v>
      </c>
      <c r="B5" s="115"/>
      <c r="C5" s="116" t="s">
        <v>61</v>
      </c>
      <c r="D5" s="106"/>
      <c r="E5" s="107"/>
      <c r="F5" s="108"/>
      <c r="G5" s="113" t="s">
        <v>62</v>
      </c>
      <c r="J5" s="109" t="s">
        <v>63</v>
      </c>
      <c r="K5" s="117">
        <v>0</v>
      </c>
      <c r="P5" s="100" t="s">
        <v>64</v>
      </c>
      <c r="Q5" s="100" t="s">
        <v>65</v>
      </c>
      <c r="R5" s="100" t="s">
        <v>66</v>
      </c>
      <c r="S5" s="100" t="s">
        <v>67</v>
      </c>
      <c r="T5" s="100" t="s">
        <v>68</v>
      </c>
      <c r="U5" s="100" t="s">
        <v>69</v>
      </c>
    </row>
    <row r="6" spans="1:21" ht="16" x14ac:dyDescent="0.2">
      <c r="A6" s="103" t="s">
        <v>53</v>
      </c>
      <c r="B6" s="104">
        <v>40000</v>
      </c>
      <c r="C6" s="115">
        <v>300000</v>
      </c>
      <c r="D6" s="118">
        <f>B6*1</f>
        <v>40000</v>
      </c>
      <c r="E6" s="107">
        <f>G6</f>
        <v>235</v>
      </c>
      <c r="F6" s="108">
        <f t="shared" si="0"/>
        <v>9400000</v>
      </c>
      <c r="G6" s="119">
        <v>235</v>
      </c>
      <c r="J6" s="109" t="s">
        <v>70</v>
      </c>
      <c r="K6" s="111">
        <v>-2000000</v>
      </c>
      <c r="N6" s="113" t="s">
        <v>71</v>
      </c>
      <c r="O6" s="120">
        <f>C2</f>
        <v>95493.6</v>
      </c>
      <c r="P6" s="121">
        <f>F2</f>
        <v>31321900.800000001</v>
      </c>
      <c r="Q6" s="122">
        <f>A109*B35-Q12</f>
        <v>6980568</v>
      </c>
      <c r="R6" s="123">
        <f>B94*O6</f>
        <v>9453866.4000000004</v>
      </c>
      <c r="S6" s="121">
        <f>$P$18*B114*(C35-B6)</f>
        <v>4752232.5763993645</v>
      </c>
      <c r="T6" s="121">
        <f>($P$20)*(B2-B10)*5</f>
        <v>237441.87330544583</v>
      </c>
      <c r="U6" s="121">
        <f>$P$22*P6</f>
        <v>5228085.5804846156</v>
      </c>
    </row>
    <row r="7" spans="1:21" ht="16" x14ac:dyDescent="0.2">
      <c r="A7" s="103" t="s">
        <v>55</v>
      </c>
      <c r="B7" s="104">
        <v>100000</v>
      </c>
      <c r="C7" s="115">
        <v>100000</v>
      </c>
      <c r="D7" s="118">
        <f t="shared" ref="D7:D8" si="2">B7*1</f>
        <v>100000</v>
      </c>
      <c r="E7" s="107">
        <f>G7</f>
        <v>69</v>
      </c>
      <c r="F7" s="108">
        <f t="shared" si="0"/>
        <v>6900000</v>
      </c>
      <c r="G7" s="119">
        <v>69</v>
      </c>
      <c r="J7" s="124" t="s">
        <v>72</v>
      </c>
      <c r="K7" s="125">
        <f>K2+K4+K5-K3-K6</f>
        <v>50326995.353180856</v>
      </c>
      <c r="N7" s="113" t="s">
        <v>73</v>
      </c>
      <c r="O7" s="120">
        <f>C3</f>
        <v>349824.60000000003</v>
      </c>
      <c r="P7" s="121">
        <f>F3</f>
        <v>39880004.400000006</v>
      </c>
      <c r="Q7" s="122">
        <f>A110*B36-Q13</f>
        <v>4421615.4000000004</v>
      </c>
      <c r="R7" s="123">
        <f>B95*O7</f>
        <v>17491230</v>
      </c>
      <c r="S7" s="121">
        <f>$P$18*B115*(C36-B7)</f>
        <v>1755276.1534805878</v>
      </c>
      <c r="T7" s="121">
        <f>($P$20)*(B3-B11)*5</f>
        <v>984988.36790223885</v>
      </c>
      <c r="U7" s="121">
        <f>$P$22*P7</f>
        <v>6656558.8494968684</v>
      </c>
    </row>
    <row r="8" spans="1:21" ht="17" thickBot="1" x14ac:dyDescent="0.25">
      <c r="A8" s="103" t="s">
        <v>57</v>
      </c>
      <c r="B8" s="104">
        <v>0</v>
      </c>
      <c r="C8" s="115">
        <v>20000</v>
      </c>
      <c r="D8" s="118">
        <f t="shared" si="2"/>
        <v>0</v>
      </c>
      <c r="E8" s="107">
        <f>G8</f>
        <v>625</v>
      </c>
      <c r="F8" s="108">
        <f t="shared" si="0"/>
        <v>0</v>
      </c>
      <c r="G8" s="119">
        <v>625</v>
      </c>
      <c r="J8" s="124" t="s">
        <v>74</v>
      </c>
      <c r="K8" s="125">
        <f>K1-K7</f>
        <v>51016444.54681915</v>
      </c>
      <c r="N8" s="113" t="s">
        <v>75</v>
      </c>
      <c r="O8" s="120">
        <f>C4</f>
        <v>14433.300000000001</v>
      </c>
      <c r="P8" s="121">
        <f>F4</f>
        <v>13841534.700000001</v>
      </c>
      <c r="Q8" s="122">
        <f>A111*B37-Q14</f>
        <v>2661241.2000000002</v>
      </c>
      <c r="R8" s="123">
        <f>O8*B104</f>
        <v>5282587.8000000007</v>
      </c>
      <c r="S8" s="121">
        <f>$P$18*B116*(C37-B8)</f>
        <v>1750072.3185321405</v>
      </c>
      <c r="T8" s="121">
        <f>($P$20)*(B4-B12)*5</f>
        <v>49475.310442327063</v>
      </c>
      <c r="U8" s="121">
        <f>$P$22*P8</f>
        <v>2310355.5700185173</v>
      </c>
    </row>
    <row r="9" spans="1:21" ht="16" x14ac:dyDescent="0.2">
      <c r="A9" s="556" t="s">
        <v>76</v>
      </c>
      <c r="B9" s="557"/>
      <c r="C9" s="558" t="s">
        <v>77</v>
      </c>
      <c r="D9" s="559"/>
      <c r="E9" s="568" t="s">
        <v>232</v>
      </c>
      <c r="F9" s="569"/>
      <c r="J9" s="109" t="s">
        <v>78</v>
      </c>
      <c r="K9" s="110">
        <f>(15*B86+15*D86+250)*1000</f>
        <v>3550000</v>
      </c>
      <c r="N9" s="126"/>
      <c r="Q9" s="122"/>
      <c r="R9" s="123"/>
    </row>
    <row r="10" spans="1:21" ht="16" x14ac:dyDescent="0.2">
      <c r="A10" s="127" t="s">
        <v>79</v>
      </c>
      <c r="B10" s="115">
        <v>43772</v>
      </c>
      <c r="C10" s="560">
        <f>IF(C35+B10-D2-D6&gt;0,C35+B10-D2-D6,0)</f>
        <v>42678.399999999994</v>
      </c>
      <c r="D10" s="561"/>
      <c r="E10" s="570">
        <v>32000</v>
      </c>
      <c r="F10" s="571"/>
      <c r="J10" s="109" t="s">
        <v>80</v>
      </c>
      <c r="K10" s="110">
        <f>B89</f>
        <v>2400000</v>
      </c>
      <c r="N10" s="126"/>
      <c r="P10" s="113" t="s">
        <v>81</v>
      </c>
      <c r="Q10" s="122"/>
      <c r="R10" s="123"/>
    </row>
    <row r="11" spans="1:21" ht="16" x14ac:dyDescent="0.2">
      <c r="A11" s="127" t="s">
        <v>82</v>
      </c>
      <c r="B11" s="115">
        <v>130120</v>
      </c>
      <c r="C11" s="560">
        <f t="shared" ref="C11:C12" si="3">IF(C36+B11-D3-D7&gt;0,C36+B11-D3-D7,0)</f>
        <v>38895.399999999965</v>
      </c>
      <c r="D11" s="561"/>
      <c r="E11" s="570">
        <v>0</v>
      </c>
      <c r="F11" s="571"/>
      <c r="J11" s="109" t="s">
        <v>83</v>
      </c>
      <c r="K11" s="110">
        <f>40000*(D86)</f>
        <v>4000000</v>
      </c>
      <c r="N11" s="126"/>
      <c r="P11" s="100" t="s">
        <v>64</v>
      </c>
      <c r="Q11" s="122" t="s">
        <v>65</v>
      </c>
      <c r="R11" s="123" t="s">
        <v>66</v>
      </c>
      <c r="S11" s="100" t="s">
        <v>67</v>
      </c>
    </row>
    <row r="12" spans="1:21" ht="17" thickBot="1" x14ac:dyDescent="0.25">
      <c r="A12" s="128" t="s">
        <v>84</v>
      </c>
      <c r="B12" s="129">
        <v>3049</v>
      </c>
      <c r="C12" s="562">
        <f t="shared" si="3"/>
        <v>1615.6999999999989</v>
      </c>
      <c r="D12" s="563"/>
      <c r="E12" s="542">
        <v>0</v>
      </c>
      <c r="F12" s="543"/>
      <c r="J12" s="109" t="s">
        <v>85</v>
      </c>
      <c r="K12" s="117">
        <v>1000000</v>
      </c>
      <c r="N12" s="113" t="s">
        <v>71</v>
      </c>
      <c r="O12" s="100">
        <f>B6</f>
        <v>40000</v>
      </c>
      <c r="P12" s="121">
        <f>F6</f>
        <v>9400000</v>
      </c>
      <c r="Q12" s="122">
        <f>A109*B6</f>
        <v>2960000</v>
      </c>
      <c r="R12" s="123">
        <f>O12*B94</f>
        <v>3960000</v>
      </c>
      <c r="S12" s="121">
        <f>$P$18*B114*O12</f>
        <v>2013657.8713556628</v>
      </c>
    </row>
    <row r="13" spans="1:21" ht="16" x14ac:dyDescent="0.2">
      <c r="A13" s="114" t="s">
        <v>86</v>
      </c>
      <c r="B13" s="130"/>
      <c r="F13" s="342" t="s">
        <v>311</v>
      </c>
      <c r="G13" s="343">
        <v>3</v>
      </c>
      <c r="J13" s="109" t="s">
        <v>87</v>
      </c>
      <c r="K13" s="110">
        <f>B70*0.3+D70*0.75</f>
        <v>482325</v>
      </c>
      <c r="N13" s="113" t="s">
        <v>73</v>
      </c>
      <c r="O13" s="100">
        <f>B7</f>
        <v>100000</v>
      </c>
      <c r="P13" s="121">
        <f>F7</f>
        <v>6900000</v>
      </c>
      <c r="Q13" s="122">
        <f>A110*B7</f>
        <v>1710000.0000000002</v>
      </c>
      <c r="R13" s="123">
        <f>O13*B99</f>
        <v>3300000</v>
      </c>
      <c r="S13" s="121">
        <f>$P$18*B115*O13</f>
        <v>678761.08023224585</v>
      </c>
    </row>
    <row r="14" spans="1:21" ht="16" x14ac:dyDescent="0.2">
      <c r="A14" s="103" t="s">
        <v>79</v>
      </c>
      <c r="B14" s="130">
        <v>0</v>
      </c>
      <c r="J14" s="109" t="s">
        <v>88</v>
      </c>
      <c r="K14" s="110">
        <f>B68*80000/12</f>
        <v>173333.33333333334</v>
      </c>
      <c r="N14" s="113" t="s">
        <v>75</v>
      </c>
      <c r="O14" s="100">
        <f>B8</f>
        <v>0</v>
      </c>
      <c r="P14" s="121">
        <f>F8</f>
        <v>0</v>
      </c>
      <c r="Q14" s="122">
        <f>A111*B8</f>
        <v>0</v>
      </c>
      <c r="R14" s="123">
        <f>O14*B104</f>
        <v>0</v>
      </c>
      <c r="S14" s="121">
        <f>$P$18*B116*O14</f>
        <v>0</v>
      </c>
    </row>
    <row r="15" spans="1:21" ht="16" x14ac:dyDescent="0.2">
      <c r="A15" s="103" t="s">
        <v>82</v>
      </c>
      <c r="B15" s="130">
        <v>54200</v>
      </c>
      <c r="J15" s="109" t="s">
        <v>89</v>
      </c>
      <c r="K15" s="110">
        <f>300000 + 2*5*(C35 +B10-D2-D6)+2*(C36+B11-D3-D7)+2*10*(C37+B12-D4-D8)</f>
        <v>836888.79999999993</v>
      </c>
    </row>
    <row r="16" spans="1:21" ht="16" x14ac:dyDescent="0.2">
      <c r="A16" s="103" t="s">
        <v>84</v>
      </c>
      <c r="B16" s="130">
        <v>0</v>
      </c>
      <c r="J16" s="109" t="s">
        <v>90</v>
      </c>
      <c r="K16" s="110">
        <f>SUM(G32:G36)</f>
        <v>2400000</v>
      </c>
    </row>
    <row r="17" spans="1:22" ht="16" x14ac:dyDescent="0.2">
      <c r="A17" s="114" t="s">
        <v>91</v>
      </c>
      <c r="J17" s="109" t="s">
        <v>92</v>
      </c>
      <c r="K17" s="110">
        <f>((G26+IF(G25&gt;0,G25,0))*G27+(H26+IF(H25&gt;0,H25,0))*H27)/4</f>
        <v>2660000</v>
      </c>
      <c r="O17" s="100" t="s">
        <v>93</v>
      </c>
      <c r="P17" s="131">
        <f>C35*B114+C36*B115+C37*B116</f>
        <v>193588</v>
      </c>
    </row>
    <row r="18" spans="1:22" ht="16" x14ac:dyDescent="0.2">
      <c r="A18" s="103" t="s">
        <v>79</v>
      </c>
      <c r="B18" s="132">
        <v>0</v>
      </c>
      <c r="J18" s="109" t="s">
        <v>94</v>
      </c>
      <c r="K18" s="110">
        <f>((G30+IF(G29&gt;0,G29,0))*G31+(H30+IF(H29&gt;0,H29,0))*H31)/4</f>
        <v>9135000</v>
      </c>
      <c r="O18" s="126" t="s">
        <v>95</v>
      </c>
      <c r="P18" s="133">
        <f>SUM(K9:K12)/P17</f>
        <v>56.563423352687153</v>
      </c>
      <c r="Q18" s="100" t="s">
        <v>249</v>
      </c>
      <c r="R18" s="123"/>
      <c r="S18" s="123"/>
    </row>
    <row r="19" spans="1:22" ht="16" x14ac:dyDescent="0.2">
      <c r="A19" s="103" t="s">
        <v>82</v>
      </c>
      <c r="B19" s="132">
        <v>0</v>
      </c>
      <c r="J19" s="124" t="s">
        <v>96</v>
      </c>
      <c r="K19" s="125">
        <f>K8-SUM(K9:K18)</f>
        <v>24378897.413485818</v>
      </c>
      <c r="O19" s="100" t="s">
        <v>97</v>
      </c>
      <c r="P19" s="134">
        <f>SUM(B70:D70)</f>
        <v>860600</v>
      </c>
      <c r="R19" s="135"/>
      <c r="S19" s="121"/>
      <c r="U19" s="121"/>
    </row>
    <row r="20" spans="1:22" ht="16" x14ac:dyDescent="0.2">
      <c r="A20" s="103" t="s">
        <v>84</v>
      </c>
      <c r="B20" s="132">
        <v>0</v>
      </c>
      <c r="J20" s="109" t="s">
        <v>98</v>
      </c>
      <c r="K20" s="110">
        <f>G37*(G38+H38)</f>
        <v>438671.91000000003</v>
      </c>
      <c r="O20" s="126" t="s">
        <v>99</v>
      </c>
      <c r="P20" s="136">
        <f>SUM(K13:K14)/P19</f>
        <v>0.76186187930900928</v>
      </c>
      <c r="Q20" s="100" t="s">
        <v>248</v>
      </c>
      <c r="S20" s="121"/>
      <c r="U20" s="121"/>
    </row>
    <row r="21" spans="1:22" ht="16" x14ac:dyDescent="0.2">
      <c r="A21" s="114" t="s">
        <v>100</v>
      </c>
      <c r="B21" s="137" t="s">
        <v>101</v>
      </c>
      <c r="C21" s="113" t="s">
        <v>102</v>
      </c>
      <c r="D21" s="458" t="s">
        <v>424</v>
      </c>
      <c r="J21" s="109" t="s">
        <v>103</v>
      </c>
      <c r="K21" s="110">
        <f>H86</f>
        <v>0</v>
      </c>
      <c r="O21" s="100" t="s">
        <v>104</v>
      </c>
      <c r="P21" s="121">
        <f>SUM(P6:P8)</f>
        <v>85043439.900000006</v>
      </c>
    </row>
    <row r="22" spans="1:22" ht="33" thickBot="1" x14ac:dyDescent="0.4">
      <c r="A22" s="103" t="s">
        <v>79</v>
      </c>
      <c r="B22" s="138" t="s">
        <v>105</v>
      </c>
      <c r="C22" s="106">
        <f>IF(C35+B40-B50-B14&lt;0,0,C35+B40-B50-B14)</f>
        <v>134400</v>
      </c>
      <c r="D22" s="552">
        <f>SUM(C22:C24)</f>
        <v>451800</v>
      </c>
      <c r="E22" s="505" t="s">
        <v>437</v>
      </c>
      <c r="J22" s="139" t="s">
        <v>106</v>
      </c>
      <c r="K22" s="140">
        <f>K19-K20-K21</f>
        <v>23940225.503485817</v>
      </c>
      <c r="O22" s="126" t="s">
        <v>107</v>
      </c>
      <c r="P22" s="165">
        <f>SUM(K16:K18)/P21</f>
        <v>0.16691469696770814</v>
      </c>
    </row>
    <row r="23" spans="1:22" ht="16" x14ac:dyDescent="0.2">
      <c r="A23" s="103" t="s">
        <v>82</v>
      </c>
      <c r="B23" s="141"/>
      <c r="C23" s="106">
        <f>IF(C36+B41-B51-B15&lt;0,0,C36+B41-B51-B15)</f>
        <v>304400</v>
      </c>
      <c r="D23" s="552"/>
    </row>
    <row r="24" spans="1:22" ht="17" thickBot="1" x14ac:dyDescent="0.25">
      <c r="A24" s="103" t="s">
        <v>84</v>
      </c>
      <c r="B24" s="141"/>
      <c r="C24" s="106">
        <f>IF(C37+B42-B52-B16&lt;0,0,C37+B42-B52-B16)</f>
        <v>13000</v>
      </c>
      <c r="D24" s="552"/>
      <c r="G24" s="113" t="s">
        <v>108</v>
      </c>
      <c r="H24" s="113" t="s">
        <v>109</v>
      </c>
    </row>
    <row r="25" spans="1:22" ht="16" x14ac:dyDescent="0.2">
      <c r="A25" s="114" t="s">
        <v>110</v>
      </c>
      <c r="C25" s="142"/>
      <c r="F25" s="113" t="s">
        <v>111</v>
      </c>
      <c r="G25" s="143">
        <v>0</v>
      </c>
      <c r="H25" s="143">
        <v>0</v>
      </c>
      <c r="I25" s="126"/>
      <c r="J25" s="144" t="s">
        <v>112</v>
      </c>
      <c r="K25" s="329">
        <f>F86</f>
        <v>195000</v>
      </c>
    </row>
    <row r="26" spans="1:22" ht="16" x14ac:dyDescent="0.2">
      <c r="A26" s="103" t="s">
        <v>79</v>
      </c>
      <c r="B26" s="145">
        <f>IF(B2+B6-B18-B14&lt;0,0,B2+B6-B18-B14)</f>
        <v>146104</v>
      </c>
      <c r="C26" s="146">
        <v>0</v>
      </c>
      <c r="D26" s="551" t="s">
        <v>113</v>
      </c>
      <c r="F26" s="113" t="s">
        <v>114</v>
      </c>
      <c r="G26" s="147">
        <v>16</v>
      </c>
      <c r="H26" s="147">
        <v>11</v>
      </c>
      <c r="J26" s="109" t="s">
        <v>115</v>
      </c>
      <c r="K26" s="148">
        <f>C35*B114+C36*B115+C37*B116</f>
        <v>193588</v>
      </c>
      <c r="P26" s="149" t="s">
        <v>116</v>
      </c>
      <c r="V26" s="149" t="s">
        <v>117</v>
      </c>
    </row>
    <row r="27" spans="1:22" ht="17" thickBot="1" x14ac:dyDescent="0.25">
      <c r="A27" s="103" t="s">
        <v>118</v>
      </c>
      <c r="B27" s="145">
        <f>IF(B3+B7-B19-B15&lt;0,0,B3+B7-B19-B15)</f>
        <v>434494</v>
      </c>
      <c r="C27" s="146">
        <v>0</v>
      </c>
      <c r="D27" s="551"/>
      <c r="F27" s="113" t="s">
        <v>119</v>
      </c>
      <c r="G27" s="150">
        <v>500000</v>
      </c>
      <c r="H27" s="150">
        <v>240000</v>
      </c>
      <c r="J27" s="151" t="s">
        <v>120</v>
      </c>
      <c r="K27" s="152">
        <f>K26/K25</f>
        <v>0.99275897435897431</v>
      </c>
      <c r="P27" s="100" t="s">
        <v>121</v>
      </c>
      <c r="Q27" s="100" t="s">
        <v>122</v>
      </c>
      <c r="R27" s="100" t="s">
        <v>123</v>
      </c>
      <c r="S27" s="100" t="s">
        <v>124</v>
      </c>
      <c r="T27" s="100" t="s">
        <v>125</v>
      </c>
      <c r="U27" s="100" t="s">
        <v>126</v>
      </c>
    </row>
    <row r="28" spans="1:22" ht="16" x14ac:dyDescent="0.2">
      <c r="A28" s="103" t="s">
        <v>84</v>
      </c>
      <c r="B28" s="145">
        <f>IF(B4+B8-B20-B16&lt;0,0,B4+B8-B20-B16)</f>
        <v>16037</v>
      </c>
      <c r="C28" s="146">
        <v>0</v>
      </c>
      <c r="D28" s="551"/>
      <c r="G28" s="113" t="s">
        <v>127</v>
      </c>
      <c r="H28" s="113" t="s">
        <v>128</v>
      </c>
      <c r="O28" s="149" t="s">
        <v>129</v>
      </c>
      <c r="P28" s="100">
        <f>E2</f>
        <v>328</v>
      </c>
      <c r="Q28" s="100">
        <f>A109</f>
        <v>74</v>
      </c>
      <c r="R28" s="100">
        <f>B94</f>
        <v>99</v>
      </c>
      <c r="S28" s="121">
        <f>S6/O6</f>
        <v>49.764932690770522</v>
      </c>
      <c r="T28" s="153">
        <f>P20*5</f>
        <v>3.8093093965450464</v>
      </c>
      <c r="U28" s="121">
        <f>U6/O6</f>
        <v>54.748020605408271</v>
      </c>
      <c r="V28" s="153">
        <f>P28-Q28-R28-S28-T28-U28</f>
        <v>46.677737307276161</v>
      </c>
    </row>
    <row r="29" spans="1:22" ht="17" thickBot="1" x14ac:dyDescent="0.25">
      <c r="A29" s="114" t="s">
        <v>130</v>
      </c>
      <c r="B29" s="141"/>
      <c r="C29" s="141"/>
      <c r="D29" s="477" t="s">
        <v>434</v>
      </c>
      <c r="F29" s="113" t="s">
        <v>131</v>
      </c>
      <c r="G29" s="143">
        <v>5</v>
      </c>
      <c r="H29" s="143">
        <v>20</v>
      </c>
      <c r="I29" s="119"/>
      <c r="O29" s="149" t="s">
        <v>132</v>
      </c>
      <c r="P29" s="100">
        <f>E3</f>
        <v>114</v>
      </c>
      <c r="Q29" s="100">
        <f>A110</f>
        <v>17.100000000000001</v>
      </c>
      <c r="R29" s="100">
        <f>B99</f>
        <v>33</v>
      </c>
      <c r="S29" s="121">
        <f>S7/O7</f>
        <v>5.0175892532445907</v>
      </c>
      <c r="T29" s="153">
        <f>P20</f>
        <v>0.76186187930900928</v>
      </c>
      <c r="U29" s="121">
        <f>U7/O7</f>
        <v>19.028275454318731</v>
      </c>
      <c r="V29" s="153">
        <f>P29-Q29-R29-S29-T29-U29</f>
        <v>39.092273413127671</v>
      </c>
    </row>
    <row r="30" spans="1:22" ht="16" x14ac:dyDescent="0.2">
      <c r="A30" s="103" t="s">
        <v>79</v>
      </c>
      <c r="B30" s="154">
        <v>0</v>
      </c>
      <c r="C30" s="551" t="s">
        <v>133</v>
      </c>
      <c r="F30" s="113" t="s">
        <v>134</v>
      </c>
      <c r="G30" s="147">
        <v>169</v>
      </c>
      <c r="H30" s="147">
        <v>676</v>
      </c>
      <c r="J30" s="155" t="s">
        <v>135</v>
      </c>
      <c r="K30" s="281">
        <f>26374853+19767238+G44</f>
        <v>37740235</v>
      </c>
      <c r="O30" s="149" t="s">
        <v>136</v>
      </c>
      <c r="P30" s="100">
        <f>E4</f>
        <v>959</v>
      </c>
      <c r="Q30" s="100">
        <f>A111</f>
        <v>204.9</v>
      </c>
      <c r="R30" s="100">
        <f>B104</f>
        <v>366</v>
      </c>
      <c r="S30" s="121">
        <f>S8/O8</f>
        <v>121.25240371447558</v>
      </c>
      <c r="T30" s="153">
        <f>P20*10</f>
        <v>7.6186187930900928</v>
      </c>
      <c r="U30" s="121">
        <f>U8/O8</f>
        <v>160.07119439203211</v>
      </c>
      <c r="V30" s="153">
        <f>P30-Q30-R30-S30-T30-U30</f>
        <v>99.157783100402241</v>
      </c>
    </row>
    <row r="31" spans="1:22" ht="16" x14ac:dyDescent="0.2">
      <c r="A31" s="103" t="s">
        <v>82</v>
      </c>
      <c r="B31" s="154">
        <v>0</v>
      </c>
      <c r="C31" s="551"/>
      <c r="F31" s="113" t="s">
        <v>137</v>
      </c>
      <c r="G31" s="156">
        <v>50000</v>
      </c>
      <c r="H31" s="150">
        <v>40000</v>
      </c>
      <c r="J31" s="157" t="s">
        <v>138</v>
      </c>
      <c r="K31" s="158">
        <f>(C22*B94+C23*B99+C24*B104)*2/3</f>
        <v>18739200</v>
      </c>
      <c r="P31" s="149" t="s">
        <v>139</v>
      </c>
    </row>
    <row r="32" spans="1:22" ht="16" x14ac:dyDescent="0.2">
      <c r="A32" s="103" t="s">
        <v>84</v>
      </c>
      <c r="B32" s="154">
        <v>0</v>
      </c>
      <c r="C32" s="551"/>
      <c r="F32" s="113" t="s">
        <v>140</v>
      </c>
      <c r="G32" s="159">
        <v>0</v>
      </c>
      <c r="J32" s="160" t="s">
        <v>141</v>
      </c>
      <c r="K32" s="158">
        <f>C26*B95+C27*B100+C28*B105</f>
        <v>0</v>
      </c>
      <c r="P32" s="100" t="s">
        <v>121</v>
      </c>
      <c r="Q32" s="100" t="s">
        <v>122</v>
      </c>
      <c r="R32" s="100" t="s">
        <v>123</v>
      </c>
      <c r="S32" s="100" t="s">
        <v>124</v>
      </c>
      <c r="V32" s="149" t="s">
        <v>117</v>
      </c>
    </row>
    <row r="33" spans="1:22" ht="16" x14ac:dyDescent="0.2">
      <c r="A33" s="103"/>
      <c r="F33" s="113" t="s">
        <v>142</v>
      </c>
      <c r="G33" s="159">
        <v>800000</v>
      </c>
      <c r="J33" s="160" t="s">
        <v>143</v>
      </c>
      <c r="K33" s="158">
        <f>K4</f>
        <v>18738535.353180859</v>
      </c>
      <c r="O33" s="149" t="s">
        <v>129</v>
      </c>
      <c r="P33" s="100">
        <f>E6</f>
        <v>235</v>
      </c>
      <c r="Q33" s="100">
        <f>A109</f>
        <v>74</v>
      </c>
      <c r="R33" s="100">
        <f>B94</f>
        <v>99</v>
      </c>
      <c r="S33" s="121">
        <f>S12/O12</f>
        <v>50.34144678389157</v>
      </c>
      <c r="V33" s="121">
        <f>P33-Q33-R33-S33</f>
        <v>11.65855321610843</v>
      </c>
    </row>
    <row r="34" spans="1:22" ht="16" x14ac:dyDescent="0.2">
      <c r="A34" s="161" t="s">
        <v>144</v>
      </c>
      <c r="C34" s="113" t="s">
        <v>102</v>
      </c>
      <c r="F34" s="113" t="s">
        <v>145</v>
      </c>
      <c r="G34" s="159">
        <v>300000</v>
      </c>
      <c r="J34" s="160" t="s">
        <v>146</v>
      </c>
      <c r="K34" s="158">
        <f>IF(D87&gt;=0,40000*D87,0)</f>
        <v>0</v>
      </c>
      <c r="O34" s="149" t="s">
        <v>132</v>
      </c>
      <c r="P34" s="100">
        <f>E7</f>
        <v>69</v>
      </c>
      <c r="Q34" s="100">
        <f>A110</f>
        <v>17.100000000000001</v>
      </c>
      <c r="R34" s="100">
        <f>B99</f>
        <v>33</v>
      </c>
      <c r="S34" s="121">
        <f>S13/O13</f>
        <v>6.7876108023224582</v>
      </c>
      <c r="V34" s="121">
        <f>P34-Q34-R34-S34</f>
        <v>12.11238919767754</v>
      </c>
    </row>
    <row r="35" spans="1:22" ht="16" x14ac:dyDescent="0.2">
      <c r="A35" s="103" t="s">
        <v>79</v>
      </c>
      <c r="B35" s="145">
        <f>IF(B2+B6+E10-B10-B30&lt;0,0,B2+B6+E10-B10-B30)</f>
        <v>134332</v>
      </c>
      <c r="C35" s="162">
        <f>_xlfn.CEILING.MATH(B35,100)</f>
        <v>134400</v>
      </c>
      <c r="F35" s="113" t="s">
        <v>147</v>
      </c>
      <c r="G35" s="159">
        <v>800000</v>
      </c>
      <c r="J35" s="160" t="s">
        <v>148</v>
      </c>
      <c r="K35" s="158">
        <f>80000*B69</f>
        <v>0</v>
      </c>
      <c r="O35" s="149" t="s">
        <v>136</v>
      </c>
      <c r="P35" s="100">
        <f>E8</f>
        <v>625</v>
      </c>
      <c r="Q35" s="100">
        <f>A111</f>
        <v>204.9</v>
      </c>
      <c r="R35" s="100">
        <f>B104</f>
        <v>366</v>
      </c>
      <c r="S35" s="121" t="e">
        <f>S14/O14</f>
        <v>#DIV/0!</v>
      </c>
      <c r="V35" s="121" t="e">
        <f>P35-Q35-R35-S35</f>
        <v>#DIV/0!</v>
      </c>
    </row>
    <row r="36" spans="1:22" ht="16" x14ac:dyDescent="0.2">
      <c r="A36" s="103" t="s">
        <v>82</v>
      </c>
      <c r="B36" s="145">
        <f>IF(B3+B7+E11-B11-B31&lt;0,0,B3+B7+E11-B11-B31)</f>
        <v>358574</v>
      </c>
      <c r="C36" s="162">
        <f t="shared" ref="C36:C37" si="4">_xlfn.CEILING.MATH(B36,100)</f>
        <v>358600</v>
      </c>
      <c r="F36" s="113" t="s">
        <v>149</v>
      </c>
      <c r="G36" s="159">
        <v>500000</v>
      </c>
      <c r="J36" s="160" t="s">
        <v>150</v>
      </c>
      <c r="K36" s="158">
        <f>IF(G25&gt;=0,G25*G27/4,0)</f>
        <v>0</v>
      </c>
    </row>
    <row r="37" spans="1:22" ht="16" x14ac:dyDescent="0.2">
      <c r="A37" s="163" t="s">
        <v>84</v>
      </c>
      <c r="B37" s="145">
        <f>IF(B4+B8+E12-B12-B32&lt;0,0,B4+B8+E12-B12-B32)</f>
        <v>12988</v>
      </c>
      <c r="C37" s="162">
        <f t="shared" si="4"/>
        <v>13000</v>
      </c>
      <c r="F37" s="113" t="s">
        <v>151</v>
      </c>
      <c r="G37" s="159">
        <f>52269047+G44</f>
        <v>43867191</v>
      </c>
      <c r="J37" s="160" t="s">
        <v>152</v>
      </c>
      <c r="K37" s="158">
        <f>IF(H25&gt;=0,H25*H27/4,0)</f>
        <v>0</v>
      </c>
    </row>
    <row r="38" spans="1:22" x14ac:dyDescent="0.2">
      <c r="B38" s="141"/>
      <c r="C38" s="141"/>
      <c r="F38" s="113" t="s">
        <v>153</v>
      </c>
      <c r="G38" s="164">
        <v>0.01</v>
      </c>
      <c r="H38" s="165">
        <v>0</v>
      </c>
      <c r="J38" s="160" t="s">
        <v>154</v>
      </c>
      <c r="K38" s="158">
        <f>IF(G29&gt;=0,G29*G31/4,0)</f>
        <v>62500</v>
      </c>
    </row>
    <row r="39" spans="1:22" x14ac:dyDescent="0.2">
      <c r="A39" s="113" t="s">
        <v>155</v>
      </c>
      <c r="B39" s="166" t="s">
        <v>156</v>
      </c>
      <c r="C39" s="141"/>
      <c r="G39" s="564" t="s">
        <v>157</v>
      </c>
      <c r="H39" s="564"/>
      <c r="J39" s="160" t="s">
        <v>158</v>
      </c>
      <c r="K39" s="158">
        <f>IF(H29&gt;=0,H29*H31/4,0)</f>
        <v>200000</v>
      </c>
    </row>
    <row r="40" spans="1:22" x14ac:dyDescent="0.2">
      <c r="A40" s="126" t="s">
        <v>79</v>
      </c>
      <c r="B40" s="167">
        <v>0</v>
      </c>
      <c r="C40" s="565" t="s">
        <v>423</v>
      </c>
      <c r="D40" s="565"/>
      <c r="G40" s="564"/>
      <c r="H40" s="564"/>
      <c r="J40" s="160" t="s">
        <v>160</v>
      </c>
      <c r="K40" s="158">
        <f>G32</f>
        <v>0</v>
      </c>
    </row>
    <row r="41" spans="1:22" ht="16" thickBot="1" x14ac:dyDescent="0.25">
      <c r="A41" s="126" t="s">
        <v>82</v>
      </c>
      <c r="B41" s="167">
        <v>0</v>
      </c>
      <c r="C41" s="565"/>
      <c r="D41" s="565"/>
      <c r="J41" s="168" t="s">
        <v>161</v>
      </c>
      <c r="K41" s="169">
        <f>SUM(K31:K40)</f>
        <v>37740235.353180856</v>
      </c>
    </row>
    <row r="42" spans="1:22" x14ac:dyDescent="0.2">
      <c r="A42" s="126" t="s">
        <v>84</v>
      </c>
      <c r="B42" s="167">
        <v>0</v>
      </c>
      <c r="C42" s="565"/>
      <c r="D42" s="565"/>
      <c r="E42" s="299" t="s">
        <v>252</v>
      </c>
      <c r="J42" s="170"/>
    </row>
    <row r="44" spans="1:22" ht="16" thickBot="1" x14ac:dyDescent="0.25">
      <c r="A44" s="113" t="s">
        <v>162</v>
      </c>
      <c r="F44" s="113" t="s">
        <v>275</v>
      </c>
      <c r="G44" s="159">
        <v>-8401856</v>
      </c>
    </row>
    <row r="45" spans="1:22" x14ac:dyDescent="0.2">
      <c r="A45" s="126" t="s">
        <v>79</v>
      </c>
      <c r="B45" s="171">
        <f>C26*1/3</f>
        <v>0</v>
      </c>
      <c r="C45" s="551" t="s">
        <v>163</v>
      </c>
      <c r="D45" s="551"/>
      <c r="F45" s="346" t="s">
        <v>317</v>
      </c>
      <c r="G45" s="100">
        <f>COMPETITORS!X41</f>
        <v>14346143.48</v>
      </c>
      <c r="J45" s="144" t="s">
        <v>164</v>
      </c>
      <c r="K45" s="172">
        <f>(G26+G25)*40000+(H26+H25)*55000</f>
        <v>1245000</v>
      </c>
    </row>
    <row r="46" spans="1:22" ht="16" thickBot="1" x14ac:dyDescent="0.25">
      <c r="A46" s="126" t="s">
        <v>82</v>
      </c>
      <c r="B46" s="171">
        <f>C27*1/3</f>
        <v>0</v>
      </c>
      <c r="C46" s="551"/>
      <c r="D46" s="551"/>
      <c r="F46" s="345" t="s">
        <v>318</v>
      </c>
      <c r="G46" s="100">
        <f>G45+K22</f>
        <v>38286368.983485818</v>
      </c>
      <c r="J46" s="151" t="s">
        <v>165</v>
      </c>
      <c r="K46" s="173">
        <f>(D2+C10)*5+(D3+C11)*1+(D4+C12)*10</f>
        <v>1240070</v>
      </c>
    </row>
    <row r="47" spans="1:22" x14ac:dyDescent="0.2">
      <c r="A47" s="126" t="s">
        <v>84</v>
      </c>
      <c r="B47" s="171">
        <f>C28*1/3</f>
        <v>0</v>
      </c>
      <c r="C47" s="551"/>
      <c r="D47" s="551"/>
      <c r="K47" s="131"/>
    </row>
    <row r="48" spans="1:22" ht="16" thickBot="1" x14ac:dyDescent="0.25">
      <c r="B48" s="174"/>
      <c r="J48" s="100" t="s">
        <v>316</v>
      </c>
      <c r="K48" s="119"/>
    </row>
    <row r="49" spans="1:12" x14ac:dyDescent="0.2">
      <c r="A49" s="113" t="s">
        <v>166</v>
      </c>
      <c r="B49" s="174"/>
      <c r="G49" s="159"/>
      <c r="J49" s="144" t="s">
        <v>278</v>
      </c>
      <c r="K49" s="338">
        <f>2/3*SUM(F2:F4)</f>
        <v>56695626.600000001</v>
      </c>
    </row>
    <row r="50" spans="1:12" x14ac:dyDescent="0.2">
      <c r="A50" s="126" t="s">
        <v>79</v>
      </c>
      <c r="B50" s="175">
        <v>0</v>
      </c>
      <c r="G50" s="159"/>
      <c r="J50" s="109" t="s">
        <v>279</v>
      </c>
      <c r="K50" s="339">
        <v>0</v>
      </c>
    </row>
    <row r="51" spans="1:12" x14ac:dyDescent="0.2">
      <c r="A51" s="126" t="s">
        <v>82</v>
      </c>
      <c r="B51" s="175">
        <v>0</v>
      </c>
      <c r="J51" s="109" t="s">
        <v>280</v>
      </c>
      <c r="K51" s="340">
        <v>47871297.866666697</v>
      </c>
      <c r="L51" s="100" t="s">
        <v>312</v>
      </c>
    </row>
    <row r="52" spans="1:12" x14ac:dyDescent="0.2">
      <c r="A52" s="126" t="s">
        <v>84</v>
      </c>
      <c r="B52" s="175">
        <v>0</v>
      </c>
      <c r="J52" s="109" t="s">
        <v>281</v>
      </c>
      <c r="K52" s="339">
        <f>H86</f>
        <v>0</v>
      </c>
    </row>
    <row r="53" spans="1:12" ht="16" thickBot="1" x14ac:dyDescent="0.25">
      <c r="B53" s="176"/>
      <c r="J53" s="109" t="s">
        <v>310</v>
      </c>
      <c r="K53" s="341">
        <f>(1-G13/3)*SUM(F6:F8)</f>
        <v>0</v>
      </c>
      <c r="L53" s="176"/>
    </row>
    <row r="54" spans="1:12" ht="16" customHeight="1" x14ac:dyDescent="0.2">
      <c r="A54" s="177" t="s">
        <v>167</v>
      </c>
      <c r="B54" s="566" t="s">
        <v>168</v>
      </c>
      <c r="C54" s="567"/>
      <c r="J54" s="109" t="s">
        <v>282</v>
      </c>
      <c r="K54" s="339">
        <f>IF(G44&gt;0,G44,0)</f>
        <v>0</v>
      </c>
    </row>
    <row r="55" spans="1:12" x14ac:dyDescent="0.2">
      <c r="A55" s="124" t="s">
        <v>169</v>
      </c>
      <c r="B55" s="147" t="s">
        <v>170</v>
      </c>
      <c r="C55" s="178" t="s">
        <v>171</v>
      </c>
      <c r="J55" s="348" t="s">
        <v>313</v>
      </c>
      <c r="K55" s="349">
        <f>SUM(K49:K54)</f>
        <v>104566924.4666667</v>
      </c>
    </row>
    <row r="56" spans="1:12" x14ac:dyDescent="0.2">
      <c r="A56" s="179">
        <v>3</v>
      </c>
      <c r="B56" s="147">
        <v>0</v>
      </c>
      <c r="C56" s="180">
        <f>30000*B56</f>
        <v>0</v>
      </c>
      <c r="J56" s="109" t="s">
        <v>283</v>
      </c>
      <c r="K56" s="339">
        <f>C22*B94*2/3</f>
        <v>8870400</v>
      </c>
    </row>
    <row r="57" spans="1:12" x14ac:dyDescent="0.2">
      <c r="A57" s="179">
        <v>6</v>
      </c>
      <c r="B57" s="147">
        <v>0</v>
      </c>
      <c r="C57" s="180">
        <f>30000*B57*(11/12)</f>
        <v>0</v>
      </c>
      <c r="J57" s="109" t="s">
        <v>284</v>
      </c>
      <c r="K57" s="339">
        <f>C23*B99*2/3</f>
        <v>6696800</v>
      </c>
    </row>
    <row r="58" spans="1:12" x14ac:dyDescent="0.2">
      <c r="A58" s="179">
        <v>9</v>
      </c>
      <c r="B58" s="147">
        <v>0</v>
      </c>
      <c r="C58" s="180">
        <f>30000*B58*(10/12)</f>
        <v>0</v>
      </c>
      <c r="J58" s="109" t="s">
        <v>285</v>
      </c>
      <c r="K58" s="339">
        <f>C24*B104*2/3</f>
        <v>3172000</v>
      </c>
    </row>
    <row r="59" spans="1:12" x14ac:dyDescent="0.2">
      <c r="A59" s="179">
        <v>12</v>
      </c>
      <c r="B59" s="147">
        <v>0</v>
      </c>
      <c r="C59" s="180">
        <f>30000*B59*(9/12)</f>
        <v>0</v>
      </c>
      <c r="J59" s="109" t="s">
        <v>286</v>
      </c>
      <c r="K59" s="339">
        <v>0</v>
      </c>
    </row>
    <row r="60" spans="1:12" x14ac:dyDescent="0.2">
      <c r="A60" s="179">
        <v>15</v>
      </c>
      <c r="B60" s="147">
        <v>12</v>
      </c>
      <c r="C60" s="180">
        <f>30000*B60*(8/12)</f>
        <v>240000</v>
      </c>
      <c r="J60" s="109" t="s">
        <v>287</v>
      </c>
      <c r="K60" s="339">
        <v>0</v>
      </c>
    </row>
    <row r="61" spans="1:12" x14ac:dyDescent="0.2">
      <c r="A61" s="179">
        <v>18</v>
      </c>
      <c r="B61" s="147">
        <v>0</v>
      </c>
      <c r="C61" s="180">
        <f>30000*B61*(7/12)</f>
        <v>0</v>
      </c>
      <c r="J61" s="109" t="s">
        <v>288</v>
      </c>
      <c r="K61" s="339">
        <v>0</v>
      </c>
    </row>
    <row r="62" spans="1:12" x14ac:dyDescent="0.2">
      <c r="A62" s="179">
        <v>21</v>
      </c>
      <c r="B62" s="147">
        <v>0</v>
      </c>
      <c r="C62" s="180">
        <f>30000*B62*(6/12)</f>
        <v>0</v>
      </c>
      <c r="J62" s="109" t="s">
        <v>289</v>
      </c>
      <c r="K62" s="339">
        <f>K17</f>
        <v>2660000</v>
      </c>
    </row>
    <row r="63" spans="1:12" x14ac:dyDescent="0.2">
      <c r="A63" s="179">
        <v>24</v>
      </c>
      <c r="B63" s="147">
        <v>0</v>
      </c>
      <c r="C63" s="180">
        <f>30000*B63*(5/12)</f>
        <v>0</v>
      </c>
      <c r="J63" s="109" t="s">
        <v>290</v>
      </c>
      <c r="K63" s="339">
        <f>K18</f>
        <v>9135000</v>
      </c>
    </row>
    <row r="64" spans="1:12" x14ac:dyDescent="0.2">
      <c r="A64" s="179">
        <v>27</v>
      </c>
      <c r="B64" s="147">
        <v>7</v>
      </c>
      <c r="C64" s="180">
        <f>30000*B64*(4/12)</f>
        <v>70000</v>
      </c>
      <c r="J64" s="109" t="s">
        <v>291</v>
      </c>
      <c r="K64" s="339">
        <f>K11</f>
        <v>4000000</v>
      </c>
    </row>
    <row r="65" spans="1:12" x14ac:dyDescent="0.2">
      <c r="A65" s="179">
        <v>30</v>
      </c>
      <c r="B65" s="147">
        <v>7</v>
      </c>
      <c r="C65" s="180">
        <f>30000*B65*(3/12)</f>
        <v>52500</v>
      </c>
      <c r="J65" s="109" t="s">
        <v>292</v>
      </c>
      <c r="K65" s="339">
        <f>K4</f>
        <v>18738535.353180859</v>
      </c>
    </row>
    <row r="66" spans="1:12" x14ac:dyDescent="0.2">
      <c r="A66" s="179">
        <v>33</v>
      </c>
      <c r="B66" s="147">
        <v>0</v>
      </c>
      <c r="C66" s="180">
        <f>30000*B66*(2/12)</f>
        <v>0</v>
      </c>
      <c r="J66" s="109" t="s">
        <v>293</v>
      </c>
      <c r="K66" s="339">
        <f>G34</f>
        <v>300000</v>
      </c>
    </row>
    <row r="67" spans="1:12" ht="16" thickBot="1" x14ac:dyDescent="0.25">
      <c r="A67" s="181">
        <v>36</v>
      </c>
      <c r="B67" s="182">
        <v>0</v>
      </c>
      <c r="C67" s="183">
        <f>30000*B67*(1/12)</f>
        <v>0</v>
      </c>
      <c r="J67" s="109" t="s">
        <v>294</v>
      </c>
      <c r="K67" s="339">
        <f>G32</f>
        <v>0</v>
      </c>
    </row>
    <row r="68" spans="1:12" ht="16" thickBot="1" x14ac:dyDescent="0.25">
      <c r="A68" s="101" t="s">
        <v>172</v>
      </c>
      <c r="B68" s="184">
        <f>SUM(B56:B67)</f>
        <v>26</v>
      </c>
      <c r="C68" s="172">
        <f>SUM(C56:C67)</f>
        <v>362500</v>
      </c>
      <c r="D68" s="283"/>
      <c r="J68" s="109" t="s">
        <v>295</v>
      </c>
      <c r="K68" s="339">
        <f>B87*240000</f>
        <v>0</v>
      </c>
    </row>
    <row r="69" spans="1:12" x14ac:dyDescent="0.2">
      <c r="A69" s="177" t="s">
        <v>173</v>
      </c>
      <c r="B69" s="185">
        <v>0</v>
      </c>
      <c r="C69" s="186" t="s">
        <v>174</v>
      </c>
      <c r="D69" s="187"/>
      <c r="E69" s="187"/>
      <c r="F69" s="187"/>
      <c r="G69" s="188"/>
      <c r="J69" s="109" t="s">
        <v>148</v>
      </c>
      <c r="K69" s="339">
        <f>K35</f>
        <v>0</v>
      </c>
    </row>
    <row r="70" spans="1:12" ht="16" thickBot="1" x14ac:dyDescent="0.25">
      <c r="A70" s="189" t="s">
        <v>175</v>
      </c>
      <c r="B70" s="190">
        <f>C68</f>
        <v>362500</v>
      </c>
      <c r="C70" s="191" t="s">
        <v>176</v>
      </c>
      <c r="D70" s="192">
        <f>IF(F70&lt;B70,0,F70-B70)</f>
        <v>498100</v>
      </c>
      <c r="E70" s="191" t="s">
        <v>177</v>
      </c>
      <c r="F70" s="192">
        <f>(C35-B6)*5+(C36-B7)*1+(C37-B8)*10</f>
        <v>860600</v>
      </c>
      <c r="G70" s="193" t="s">
        <v>178</v>
      </c>
      <c r="J70" s="109" t="s">
        <v>296</v>
      </c>
      <c r="K70" s="340">
        <v>21455427.399999999</v>
      </c>
      <c r="L70" s="100" t="s">
        <v>312</v>
      </c>
    </row>
    <row r="71" spans="1:12" ht="16" thickBot="1" x14ac:dyDescent="0.25">
      <c r="A71" s="126"/>
      <c r="B71" s="194"/>
      <c r="C71" s="126"/>
      <c r="D71" s="195"/>
      <c r="E71" s="126"/>
      <c r="F71" s="195"/>
      <c r="J71" s="109" t="s">
        <v>297</v>
      </c>
      <c r="K71" s="339">
        <f>IF(G44&lt;=0,-G44,0)</f>
        <v>8401856</v>
      </c>
    </row>
    <row r="72" spans="1:12" ht="16" customHeight="1" x14ac:dyDescent="0.2">
      <c r="A72" s="177" t="s">
        <v>179</v>
      </c>
      <c r="B72" s="555" t="s">
        <v>180</v>
      </c>
      <c r="C72" s="555"/>
      <c r="D72" s="555"/>
      <c r="E72" s="555"/>
      <c r="F72" s="555"/>
      <c r="G72" s="555"/>
      <c r="H72" s="555"/>
      <c r="I72" s="555"/>
      <c r="J72" s="109" t="s">
        <v>298</v>
      </c>
      <c r="K72" s="339">
        <f>K20</f>
        <v>438671.91000000003</v>
      </c>
    </row>
    <row r="73" spans="1:12" x14ac:dyDescent="0.2">
      <c r="A73" s="196" t="s">
        <v>169</v>
      </c>
      <c r="B73" s="119" t="s">
        <v>181</v>
      </c>
      <c r="C73" s="197" t="s">
        <v>171</v>
      </c>
      <c r="D73" s="119" t="s">
        <v>182</v>
      </c>
      <c r="E73" s="197" t="s">
        <v>183</v>
      </c>
      <c r="F73" s="197" t="s">
        <v>184</v>
      </c>
      <c r="G73" s="198" t="s">
        <v>185</v>
      </c>
      <c r="H73" s="197" t="s">
        <v>186</v>
      </c>
      <c r="I73" s="336" t="s">
        <v>187</v>
      </c>
      <c r="J73" s="109" t="s">
        <v>299</v>
      </c>
      <c r="K73" s="339">
        <v>0</v>
      </c>
    </row>
    <row r="74" spans="1:12" x14ac:dyDescent="0.2">
      <c r="A74" s="199">
        <v>3</v>
      </c>
      <c r="B74" s="200">
        <v>0</v>
      </c>
      <c r="C74" s="201">
        <f>1500*B74</f>
        <v>0</v>
      </c>
      <c r="D74" s="200">
        <v>0</v>
      </c>
      <c r="E74" s="201">
        <f>1500*D74</f>
        <v>0</v>
      </c>
      <c r="F74" s="201">
        <f>C74+E74</f>
        <v>0</v>
      </c>
      <c r="G74" s="143">
        <v>0</v>
      </c>
      <c r="H74" s="202">
        <f>G74*240000*(1-A74/36)*0.5</f>
        <v>0</v>
      </c>
      <c r="I74" s="337">
        <f>1500*G74</f>
        <v>0</v>
      </c>
      <c r="J74" s="348" t="s">
        <v>300</v>
      </c>
      <c r="K74" s="349">
        <f>SUM(K56:K73)</f>
        <v>83868690.663180858</v>
      </c>
    </row>
    <row r="75" spans="1:12" x14ac:dyDescent="0.2">
      <c r="A75" s="199">
        <v>6</v>
      </c>
      <c r="B75" s="200">
        <v>0</v>
      </c>
      <c r="C75" s="201">
        <f>1500*B75*(11/12)</f>
        <v>0</v>
      </c>
      <c r="D75" s="200">
        <v>0</v>
      </c>
      <c r="E75" s="201">
        <f>1500*D75*(11/12)</f>
        <v>0</v>
      </c>
      <c r="F75" s="201">
        <f t="shared" ref="F75:F85" si="5">C75+E75</f>
        <v>0</v>
      </c>
      <c r="G75" s="143">
        <v>0</v>
      </c>
      <c r="H75" s="202">
        <f t="shared" ref="H75:H84" si="6">G75*240000*(1-A75/36)*0.5</f>
        <v>0</v>
      </c>
      <c r="I75" s="337">
        <f>1500*G75*(11/12)</f>
        <v>0</v>
      </c>
      <c r="J75" s="109" t="s">
        <v>301</v>
      </c>
      <c r="K75" s="339">
        <f>K55-K74</f>
        <v>20698233.803485841</v>
      </c>
    </row>
    <row r="76" spans="1:12" x14ac:dyDescent="0.2">
      <c r="A76" s="199">
        <v>9</v>
      </c>
      <c r="B76" s="200">
        <v>0</v>
      </c>
      <c r="C76" s="201">
        <f>1500*B76*(10/12)</f>
        <v>0</v>
      </c>
      <c r="D76" s="200">
        <v>0</v>
      </c>
      <c r="E76" s="201">
        <f>1500*D76*(10/12)</f>
        <v>0</v>
      </c>
      <c r="F76" s="201">
        <f t="shared" si="5"/>
        <v>0</v>
      </c>
      <c r="G76" s="143">
        <v>0</v>
      </c>
      <c r="H76" s="202">
        <f t="shared" si="6"/>
        <v>0</v>
      </c>
      <c r="I76" s="337">
        <f>1500*G76*(10/12)</f>
        <v>0</v>
      </c>
      <c r="J76" s="109" t="s">
        <v>302</v>
      </c>
      <c r="K76" s="340">
        <v>75578073.849999994</v>
      </c>
      <c r="L76" s="100" t="s">
        <v>416</v>
      </c>
    </row>
    <row r="77" spans="1:12" x14ac:dyDescent="0.2">
      <c r="A77" s="199">
        <v>12</v>
      </c>
      <c r="B77" s="200">
        <v>0</v>
      </c>
      <c r="C77" s="201">
        <f>1500*B77*(9/12)</f>
        <v>0</v>
      </c>
      <c r="D77" s="200">
        <v>100</v>
      </c>
      <c r="E77" s="201">
        <f>1500*D77*(9/12)</f>
        <v>112500</v>
      </c>
      <c r="F77" s="201">
        <f t="shared" si="5"/>
        <v>112500</v>
      </c>
      <c r="G77" s="143">
        <v>0</v>
      </c>
      <c r="H77" s="202">
        <f>G77*240000*(1-A77/36)*0.5</f>
        <v>0</v>
      </c>
      <c r="I77" s="337">
        <f>1500*G77*(9/12)</f>
        <v>0</v>
      </c>
      <c r="J77" s="348" t="s">
        <v>303</v>
      </c>
      <c r="K77" s="349">
        <f>K76+K75</f>
        <v>96276307.653485835</v>
      </c>
    </row>
    <row r="78" spans="1:12" x14ac:dyDescent="0.2">
      <c r="A78" s="199">
        <v>15</v>
      </c>
      <c r="B78" s="200">
        <v>20</v>
      </c>
      <c r="C78" s="201">
        <f>1500*B78*(8/12)</f>
        <v>20000</v>
      </c>
      <c r="D78" s="200">
        <v>0</v>
      </c>
      <c r="E78" s="201">
        <v>0</v>
      </c>
      <c r="F78" s="201">
        <f t="shared" si="5"/>
        <v>20000</v>
      </c>
      <c r="G78" s="143">
        <v>0</v>
      </c>
      <c r="H78" s="202">
        <f t="shared" si="6"/>
        <v>0</v>
      </c>
      <c r="I78" s="337">
        <f>1500*G78*(8/12)</f>
        <v>0</v>
      </c>
      <c r="J78" s="109" t="s">
        <v>305</v>
      </c>
      <c r="K78" s="341">
        <f>1/3*SUM(F2:F4)+(G13/3)*SUM(F6:F8)</f>
        <v>44647813.299999997</v>
      </c>
    </row>
    <row r="79" spans="1:12" x14ac:dyDescent="0.2">
      <c r="A79" s="199">
        <v>18</v>
      </c>
      <c r="B79" s="200">
        <v>0</v>
      </c>
      <c r="C79" s="201">
        <f>1500*B79*(7/12)</f>
        <v>0</v>
      </c>
      <c r="D79" s="200">
        <v>0</v>
      </c>
      <c r="E79" s="201">
        <v>0</v>
      </c>
      <c r="F79" s="201">
        <f t="shared" si="5"/>
        <v>0</v>
      </c>
      <c r="G79" s="143">
        <v>0</v>
      </c>
      <c r="H79" s="202">
        <f t="shared" si="6"/>
        <v>0</v>
      </c>
      <c r="I79" s="337">
        <f>1500*G79*(7/12)</f>
        <v>0</v>
      </c>
      <c r="J79" s="109" t="s">
        <v>304</v>
      </c>
      <c r="K79" s="339">
        <f>K51</f>
        <v>47871297.866666697</v>
      </c>
    </row>
    <row r="80" spans="1:12" x14ac:dyDescent="0.2">
      <c r="A80" s="199">
        <v>21</v>
      </c>
      <c r="B80" s="200">
        <v>0</v>
      </c>
      <c r="C80" s="201">
        <f>1500*B80*(6/12)</f>
        <v>0</v>
      </c>
      <c r="D80" s="200">
        <v>0</v>
      </c>
      <c r="E80" s="201">
        <v>0</v>
      </c>
      <c r="F80" s="201">
        <f t="shared" si="5"/>
        <v>0</v>
      </c>
      <c r="G80" s="143">
        <v>0</v>
      </c>
      <c r="H80" s="202">
        <f t="shared" si="6"/>
        <v>0</v>
      </c>
      <c r="I80" s="337">
        <f>1500*G80*(6/12)</f>
        <v>0</v>
      </c>
      <c r="J80" s="109" t="s">
        <v>306</v>
      </c>
      <c r="K80" s="341">
        <f>(C22*B94+C23*B99+C24*B104)*1/3+K15+K13+K9+G33+G35+G36+K12</f>
        <v>17338813.800000001</v>
      </c>
      <c r="L80" s="176"/>
    </row>
    <row r="81" spans="1:12" x14ac:dyDescent="0.2">
      <c r="A81" s="199">
        <v>24</v>
      </c>
      <c r="B81" s="200">
        <v>100</v>
      </c>
      <c r="C81" s="201">
        <f>1500*B81*(5/12)</f>
        <v>62500</v>
      </c>
      <c r="D81" s="200">
        <v>0</v>
      </c>
      <c r="E81" s="201">
        <v>0</v>
      </c>
      <c r="F81" s="201">
        <f t="shared" si="5"/>
        <v>62500</v>
      </c>
      <c r="G81" s="143">
        <v>0</v>
      </c>
      <c r="H81" s="202">
        <f t="shared" si="6"/>
        <v>0</v>
      </c>
      <c r="I81" s="337">
        <f>1500*G81*(5/12)</f>
        <v>0</v>
      </c>
      <c r="J81" s="109" t="s">
        <v>307</v>
      </c>
      <c r="K81" s="339">
        <f>K70</f>
        <v>21455427.399999999</v>
      </c>
    </row>
    <row r="82" spans="1:12" x14ac:dyDescent="0.2">
      <c r="A82" s="199">
        <v>27</v>
      </c>
      <c r="B82" s="200">
        <v>0</v>
      </c>
      <c r="C82" s="201">
        <f>1500*B82*(4/12)</f>
        <v>0</v>
      </c>
      <c r="D82" s="200">
        <v>0</v>
      </c>
      <c r="E82" s="201">
        <v>0</v>
      </c>
      <c r="F82" s="201">
        <f t="shared" si="5"/>
        <v>0</v>
      </c>
      <c r="G82" s="143">
        <v>0</v>
      </c>
      <c r="H82" s="202">
        <f t="shared" si="6"/>
        <v>0</v>
      </c>
      <c r="I82" s="337">
        <f>1500*G82*(4/12)</f>
        <v>0</v>
      </c>
      <c r="J82" s="348" t="s">
        <v>308</v>
      </c>
      <c r="K82" s="350">
        <f>-(K17+K11+K18)</f>
        <v>-15795000</v>
      </c>
      <c r="L82" s="176" t="s">
        <v>315</v>
      </c>
    </row>
    <row r="83" spans="1:12" x14ac:dyDescent="0.2">
      <c r="A83" s="199">
        <v>30</v>
      </c>
      <c r="B83" s="200">
        <v>0</v>
      </c>
      <c r="C83" s="201">
        <f>1500*B83*(3/12)</f>
        <v>0</v>
      </c>
      <c r="D83" s="200">
        <v>0</v>
      </c>
      <c r="E83" s="201">
        <v>0</v>
      </c>
      <c r="F83" s="201">
        <f t="shared" si="5"/>
        <v>0</v>
      </c>
      <c r="G83" s="143">
        <v>0</v>
      </c>
      <c r="H83" s="202">
        <f t="shared" si="6"/>
        <v>0</v>
      </c>
      <c r="I83" s="337">
        <f>1500*G83*(3/12)</f>
        <v>0</v>
      </c>
      <c r="J83" s="348" t="s">
        <v>299</v>
      </c>
      <c r="K83" s="349">
        <f>K73</f>
        <v>0</v>
      </c>
    </row>
    <row r="84" spans="1:12" ht="16" thickBot="1" x14ac:dyDescent="0.25">
      <c r="A84" s="199">
        <v>33</v>
      </c>
      <c r="B84" s="200">
        <v>0</v>
      </c>
      <c r="C84" s="201">
        <f>1500*B84*(2/12)</f>
        <v>0</v>
      </c>
      <c r="D84" s="200">
        <v>0</v>
      </c>
      <c r="E84" s="201">
        <v>0</v>
      </c>
      <c r="F84" s="201">
        <f t="shared" si="5"/>
        <v>0</v>
      </c>
      <c r="G84" s="143">
        <v>0</v>
      </c>
      <c r="H84" s="202">
        <f t="shared" si="6"/>
        <v>0</v>
      </c>
      <c r="I84" s="337">
        <f>1500*G84*(2/12)</f>
        <v>0</v>
      </c>
      <c r="J84" s="189" t="s">
        <v>417</v>
      </c>
      <c r="K84" s="347">
        <f>K77+K82</f>
        <v>80481307.653485835</v>
      </c>
    </row>
    <row r="85" spans="1:12" ht="16" thickBot="1" x14ac:dyDescent="0.25">
      <c r="A85" s="204">
        <v>36</v>
      </c>
      <c r="B85" s="205">
        <v>0</v>
      </c>
      <c r="C85" s="206">
        <f>1500*B85*(1/12)</f>
        <v>0</v>
      </c>
      <c r="D85" s="205">
        <v>0</v>
      </c>
      <c r="E85" s="206">
        <v>0</v>
      </c>
      <c r="F85" s="206">
        <f t="shared" si="5"/>
        <v>0</v>
      </c>
      <c r="G85" s="553" t="s">
        <v>188</v>
      </c>
      <c r="H85" s="553"/>
      <c r="I85" s="554"/>
    </row>
    <row r="86" spans="1:12" ht="16" thickBot="1" x14ac:dyDescent="0.25">
      <c r="A86" s="207" t="s">
        <v>172</v>
      </c>
      <c r="B86" s="208">
        <f>SUM(B74:B85)</f>
        <v>120</v>
      </c>
      <c r="C86" s="208">
        <f>SUM(C74:C85)</f>
        <v>82500</v>
      </c>
      <c r="D86" s="208">
        <f>SUM(D74:D85)</f>
        <v>100</v>
      </c>
      <c r="E86" s="208">
        <f>SUM(E74:E85)</f>
        <v>112500</v>
      </c>
      <c r="F86" s="209">
        <f>SUM(F74:F85)</f>
        <v>195000</v>
      </c>
      <c r="G86" s="210">
        <f>SUM(G74:G84)</f>
        <v>0</v>
      </c>
      <c r="H86" s="211">
        <f>SUM(H74:H84)</f>
        <v>0</v>
      </c>
      <c r="I86" s="212">
        <f>SUM(I74:I84)</f>
        <v>0</v>
      </c>
    </row>
    <row r="87" spans="1:12" ht="15" customHeight="1" x14ac:dyDescent="0.2">
      <c r="A87" s="544" t="s">
        <v>189</v>
      </c>
      <c r="B87" s="546">
        <v>0</v>
      </c>
      <c r="C87" s="544" t="s">
        <v>190</v>
      </c>
      <c r="D87" s="546">
        <v>0</v>
      </c>
      <c r="E87" s="548" t="s">
        <v>191</v>
      </c>
      <c r="F87" s="549"/>
      <c r="G87" s="119"/>
    </row>
    <row r="88" spans="1:12" ht="17" customHeight="1" thickBot="1" x14ac:dyDescent="0.25">
      <c r="A88" s="545"/>
      <c r="B88" s="547"/>
      <c r="C88" s="545"/>
      <c r="D88" s="547"/>
      <c r="E88" s="550"/>
      <c r="F88" s="551"/>
      <c r="G88" s="119"/>
    </row>
    <row r="89" spans="1:12" ht="17" customHeight="1" thickBot="1" x14ac:dyDescent="0.25">
      <c r="A89" s="213" t="s">
        <v>192</v>
      </c>
      <c r="B89" s="214">
        <f>(20000*B86)</f>
        <v>2400000</v>
      </c>
      <c r="C89" s="215" t="s">
        <v>251</v>
      </c>
      <c r="D89" s="216"/>
      <c r="E89" s="217"/>
    </row>
    <row r="90" spans="1:12" ht="17" customHeight="1" x14ac:dyDescent="0.2">
      <c r="A90" s="218"/>
      <c r="B90" s="219"/>
      <c r="C90" s="218"/>
      <c r="D90" s="216"/>
      <c r="E90" s="217"/>
    </row>
    <row r="91" spans="1:12" ht="16" thickBot="1" x14ac:dyDescent="0.25">
      <c r="A91" s="149" t="s">
        <v>193</v>
      </c>
      <c r="C91" s="220"/>
      <c r="D91" s="221"/>
      <c r="E91" s="217"/>
    </row>
    <row r="92" spans="1:12" x14ac:dyDescent="0.2">
      <c r="A92" s="144"/>
      <c r="B92" s="187" t="s">
        <v>194</v>
      </c>
      <c r="C92" s="188"/>
      <c r="E92" s="100" t="s">
        <v>195</v>
      </c>
      <c r="F92" s="100" t="s">
        <v>196</v>
      </c>
      <c r="G92" s="222"/>
    </row>
    <row r="93" spans="1:12" x14ac:dyDescent="0.2">
      <c r="A93" s="109"/>
      <c r="B93" s="100" t="s">
        <v>197</v>
      </c>
      <c r="C93" s="223" t="s">
        <v>198</v>
      </c>
    </row>
    <row r="94" spans="1:12" x14ac:dyDescent="0.2">
      <c r="A94" s="109" t="s">
        <v>199</v>
      </c>
      <c r="B94" s="119">
        <v>99</v>
      </c>
      <c r="C94" s="224">
        <v>99</v>
      </c>
      <c r="E94" s="119">
        <v>94.4</v>
      </c>
      <c r="F94" s="119">
        <f>E94+0</f>
        <v>94.4</v>
      </c>
    </row>
    <row r="95" spans="1:12" ht="16" thickBot="1" x14ac:dyDescent="0.25">
      <c r="A95" s="151" t="s">
        <v>200</v>
      </c>
      <c r="B95" s="225">
        <v>50</v>
      </c>
      <c r="C95" s="226">
        <v>50</v>
      </c>
      <c r="E95" s="119"/>
      <c r="F95" s="119"/>
    </row>
    <row r="96" spans="1:12" ht="16" thickBot="1" x14ac:dyDescent="0.25">
      <c r="E96" s="119"/>
      <c r="F96" s="119"/>
    </row>
    <row r="97" spans="1:6" x14ac:dyDescent="0.2">
      <c r="A97" s="144"/>
      <c r="B97" s="187" t="s">
        <v>201</v>
      </c>
      <c r="C97" s="188"/>
      <c r="E97" s="119"/>
      <c r="F97" s="119"/>
    </row>
    <row r="98" spans="1:6" x14ac:dyDescent="0.2">
      <c r="A98" s="109"/>
      <c r="B98" s="100" t="s">
        <v>197</v>
      </c>
      <c r="C98" s="223" t="s">
        <v>198</v>
      </c>
      <c r="E98" s="119"/>
      <c r="F98" s="119"/>
    </row>
    <row r="99" spans="1:6" x14ac:dyDescent="0.2">
      <c r="A99" s="109" t="s">
        <v>199</v>
      </c>
      <c r="B99" s="119">
        <v>33</v>
      </c>
      <c r="C99" s="224">
        <v>33</v>
      </c>
      <c r="E99" s="119">
        <v>27.3</v>
      </c>
      <c r="F99" s="119">
        <f>E99+0</f>
        <v>27.3</v>
      </c>
    </row>
    <row r="100" spans="1:6" ht="16" thickBot="1" x14ac:dyDescent="0.25">
      <c r="A100" s="151" t="s">
        <v>200</v>
      </c>
      <c r="B100" s="225">
        <v>20</v>
      </c>
      <c r="C100" s="226">
        <v>20</v>
      </c>
      <c r="E100" s="119"/>
      <c r="F100" s="119"/>
    </row>
    <row r="101" spans="1:6" ht="16" thickBot="1" x14ac:dyDescent="0.25">
      <c r="E101" s="119"/>
      <c r="F101" s="119"/>
    </row>
    <row r="102" spans="1:6" x14ac:dyDescent="0.2">
      <c r="A102" s="144"/>
      <c r="B102" s="187" t="s">
        <v>202</v>
      </c>
      <c r="C102" s="188"/>
      <c r="E102" s="119"/>
      <c r="F102" s="119"/>
    </row>
    <row r="103" spans="1:6" x14ac:dyDescent="0.2">
      <c r="A103" s="109"/>
      <c r="B103" s="100" t="s">
        <v>197</v>
      </c>
      <c r="C103" s="223" t="s">
        <v>198</v>
      </c>
      <c r="E103" s="119"/>
      <c r="F103" s="119"/>
    </row>
    <row r="104" spans="1:6" x14ac:dyDescent="0.2">
      <c r="A104" s="109" t="s">
        <v>199</v>
      </c>
      <c r="B104" s="119">
        <v>366</v>
      </c>
      <c r="C104" s="224">
        <v>366</v>
      </c>
      <c r="E104" s="119">
        <v>272.60000000000002</v>
      </c>
      <c r="F104" s="119">
        <f>E104+0</f>
        <v>272.60000000000002</v>
      </c>
    </row>
    <row r="105" spans="1:6" ht="16" thickBot="1" x14ac:dyDescent="0.25">
      <c r="A105" s="151" t="s">
        <v>200</v>
      </c>
      <c r="B105" s="225">
        <v>250</v>
      </c>
      <c r="C105" s="226">
        <v>250</v>
      </c>
    </row>
    <row r="108" spans="1:6" x14ac:dyDescent="0.2">
      <c r="A108" s="113" t="s">
        <v>203</v>
      </c>
      <c r="B108" s="149"/>
      <c r="C108" s="100" t="s">
        <v>17</v>
      </c>
    </row>
    <row r="109" spans="1:6" x14ac:dyDescent="0.2">
      <c r="A109" s="227">
        <v>74</v>
      </c>
      <c r="B109" s="126" t="s">
        <v>79</v>
      </c>
      <c r="C109" s="303" t="s">
        <v>257</v>
      </c>
    </row>
    <row r="110" spans="1:6" x14ac:dyDescent="0.2">
      <c r="A110" s="227">
        <v>17.100000000000001</v>
      </c>
      <c r="B110" s="126" t="s">
        <v>82</v>
      </c>
      <c r="C110" s="100" t="s">
        <v>258</v>
      </c>
    </row>
    <row r="111" spans="1:6" x14ac:dyDescent="0.2">
      <c r="A111" s="227">
        <v>204.9</v>
      </c>
      <c r="B111" s="126" t="s">
        <v>84</v>
      </c>
      <c r="C111" s="100" t="s">
        <v>259</v>
      </c>
    </row>
    <row r="113" spans="1:2" x14ac:dyDescent="0.2">
      <c r="A113" s="113" t="s">
        <v>204</v>
      </c>
    </row>
    <row r="114" spans="1:2" ht="16" x14ac:dyDescent="0.2">
      <c r="A114" s="103" t="s">
        <v>79</v>
      </c>
      <c r="B114" s="228">
        <v>0.89</v>
      </c>
    </row>
    <row r="115" spans="1:2" ht="16" x14ac:dyDescent="0.2">
      <c r="A115" s="103" t="s">
        <v>118</v>
      </c>
      <c r="B115" s="228">
        <v>0.12</v>
      </c>
    </row>
    <row r="116" spans="1:2" ht="16" x14ac:dyDescent="0.2">
      <c r="A116" s="103" t="s">
        <v>84</v>
      </c>
      <c r="B116" s="228">
        <v>2.38</v>
      </c>
    </row>
  </sheetData>
  <mergeCells count="23">
    <mergeCell ref="G85:I85"/>
    <mergeCell ref="B72:I72"/>
    <mergeCell ref="A9:B9"/>
    <mergeCell ref="C9:D9"/>
    <mergeCell ref="C10:D10"/>
    <mergeCell ref="C11:D11"/>
    <mergeCell ref="C12:D12"/>
    <mergeCell ref="D26:D28"/>
    <mergeCell ref="C30:C32"/>
    <mergeCell ref="G39:H40"/>
    <mergeCell ref="C40:D42"/>
    <mergeCell ref="C45:D47"/>
    <mergeCell ref="B54:C54"/>
    <mergeCell ref="E9:F9"/>
    <mergeCell ref="E10:F10"/>
    <mergeCell ref="E11:F11"/>
    <mergeCell ref="E12:F12"/>
    <mergeCell ref="A87:A88"/>
    <mergeCell ref="B87:B88"/>
    <mergeCell ref="C87:C88"/>
    <mergeCell ref="D87:D88"/>
    <mergeCell ref="E87:F88"/>
    <mergeCell ref="D22:D2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654A0-42CC-CF40-BDF5-E7BDBEB79101}">
  <dimension ref="A1:V116"/>
  <sheetViews>
    <sheetView zoomScale="139" zoomScaleNormal="80" workbookViewId="0">
      <selection activeCell="D22" sqref="D22:D24"/>
    </sheetView>
  </sheetViews>
  <sheetFormatPr baseColWidth="10" defaultColWidth="8.83203125" defaultRowHeight="15" x14ac:dyDescent="0.2"/>
  <cols>
    <col min="1" max="1" width="28.33203125" style="100" bestFit="1" customWidth="1"/>
    <col min="2" max="2" width="16.1640625" style="100" bestFit="1" customWidth="1"/>
    <col min="3" max="3" width="14.1640625" style="100" bestFit="1" customWidth="1"/>
    <col min="4" max="4" width="15.83203125" style="100" bestFit="1" customWidth="1"/>
    <col min="5" max="5" width="14.1640625" style="100" customWidth="1"/>
    <col min="6" max="6" width="19.6640625" style="100" bestFit="1" customWidth="1"/>
    <col min="7" max="7" width="14.5" style="100" bestFit="1" customWidth="1"/>
    <col min="8" max="8" width="11.83203125" style="100" customWidth="1"/>
    <col min="9" max="9" width="19.83203125" style="100" customWidth="1"/>
    <col min="10" max="10" width="35.1640625" style="100" bestFit="1" customWidth="1"/>
    <col min="11" max="11" width="25.6640625" style="100" customWidth="1"/>
    <col min="12" max="14" width="8.83203125" style="100"/>
    <col min="15" max="16" width="20.6640625" style="100" bestFit="1" customWidth="1"/>
    <col min="17" max="17" width="17.6640625" style="100" bestFit="1" customWidth="1"/>
    <col min="18" max="18" width="27.6640625" style="100" bestFit="1" customWidth="1"/>
    <col min="19" max="19" width="16.33203125" style="100" bestFit="1" customWidth="1"/>
    <col min="20" max="20" width="16.6640625" style="100" bestFit="1" customWidth="1"/>
    <col min="21" max="21" width="10.6640625" style="100" bestFit="1" customWidth="1"/>
    <col min="22" max="22" width="13" style="100" bestFit="1" customWidth="1"/>
    <col min="23" max="16384" width="8.83203125" style="100"/>
  </cols>
  <sheetData>
    <row r="1" spans="1:21" ht="16" x14ac:dyDescent="0.2">
      <c r="A1" s="96" t="s">
        <v>47</v>
      </c>
      <c r="B1" s="97"/>
      <c r="C1" s="98" t="s">
        <v>48</v>
      </c>
      <c r="D1" s="98" t="s">
        <v>49</v>
      </c>
      <c r="E1" s="99" t="s">
        <v>50</v>
      </c>
      <c r="F1" s="98" t="s">
        <v>51</v>
      </c>
      <c r="J1" s="101" t="s">
        <v>52</v>
      </c>
      <c r="K1" s="102">
        <f>SUM(F2:F8)</f>
        <v>94143927.599999994</v>
      </c>
    </row>
    <row r="2" spans="1:21" ht="16" x14ac:dyDescent="0.2">
      <c r="A2" s="103" t="s">
        <v>53</v>
      </c>
      <c r="B2" s="104">
        <v>110926</v>
      </c>
      <c r="C2" s="105">
        <f>B2*0.9</f>
        <v>99833.400000000009</v>
      </c>
      <c r="D2" s="106">
        <f>C2</f>
        <v>99833.400000000009</v>
      </c>
      <c r="E2" s="107">
        <v>331</v>
      </c>
      <c r="F2" s="108">
        <f t="shared" ref="F2:F8" si="0">D2*E2</f>
        <v>33044855.400000002</v>
      </c>
      <c r="J2" s="109" t="s">
        <v>54</v>
      </c>
      <c r="K2" s="110">
        <f>(C22*B94)+(C23*B99)+(C24*B104)+(C26*B95)+(C27*B100)+(C28*B105)</f>
        <v>28266000</v>
      </c>
    </row>
    <row r="3" spans="1:21" ht="26" x14ac:dyDescent="0.3">
      <c r="A3" s="103" t="s">
        <v>55</v>
      </c>
      <c r="B3" s="104">
        <v>453453</v>
      </c>
      <c r="C3" s="105">
        <f>B3*0.9</f>
        <v>408107.7</v>
      </c>
      <c r="D3" s="106">
        <f>C3</f>
        <v>408107.7</v>
      </c>
      <c r="E3" s="107">
        <v>118</v>
      </c>
      <c r="F3" s="108">
        <f t="shared" si="0"/>
        <v>48156708.600000001</v>
      </c>
      <c r="J3" s="109" t="s">
        <v>56</v>
      </c>
      <c r="K3" s="282">
        <f>(B40*F94+B41*F99+B42*F104)-((B14+B18)*E94+(B15+B19)*E99+(B16+B20)*E104)-(B50*C95+B51*C100+B52*C105)</f>
        <v>-1479660</v>
      </c>
      <c r="R3" s="112"/>
    </row>
    <row r="4" spans="1:21" ht="16" x14ac:dyDescent="0.2">
      <c r="A4" s="103" t="s">
        <v>57</v>
      </c>
      <c r="B4" s="104">
        <v>14964</v>
      </c>
      <c r="C4" s="105">
        <f>B4*0.9</f>
        <v>13467.6</v>
      </c>
      <c r="D4" s="106">
        <f t="shared" ref="D4" si="1">C4</f>
        <v>13467.6</v>
      </c>
      <c r="E4" s="107">
        <v>961</v>
      </c>
      <c r="F4" s="108">
        <f t="shared" si="0"/>
        <v>12942363.6</v>
      </c>
      <c r="J4" s="109" t="s">
        <v>58</v>
      </c>
      <c r="K4" s="110">
        <f>(C35*A109+C36*A110+C37*A111)*1.00039</f>
        <v>18318191.309499998</v>
      </c>
      <c r="P4" s="113" t="s">
        <v>59</v>
      </c>
    </row>
    <row r="5" spans="1:21" ht="16" x14ac:dyDescent="0.2">
      <c r="A5" s="114" t="s">
        <v>60</v>
      </c>
      <c r="B5" s="115"/>
      <c r="C5" s="116" t="s">
        <v>61</v>
      </c>
      <c r="D5" s="106"/>
      <c r="E5" s="107"/>
      <c r="F5" s="108"/>
      <c r="G5" s="113" t="s">
        <v>62</v>
      </c>
      <c r="J5" s="109" t="s">
        <v>63</v>
      </c>
      <c r="K5" s="117">
        <v>0</v>
      </c>
      <c r="P5" s="100" t="s">
        <v>64</v>
      </c>
      <c r="Q5" s="100" t="s">
        <v>65</v>
      </c>
      <c r="R5" s="100" t="s">
        <v>66</v>
      </c>
      <c r="S5" s="100" t="s">
        <v>67</v>
      </c>
      <c r="T5" s="100" t="s">
        <v>68</v>
      </c>
      <c r="U5" s="100" t="s">
        <v>69</v>
      </c>
    </row>
    <row r="6" spans="1:21" ht="16" x14ac:dyDescent="0.2">
      <c r="A6" s="103" t="s">
        <v>53</v>
      </c>
      <c r="B6" s="104">
        <v>0</v>
      </c>
      <c r="C6" s="115">
        <v>200000</v>
      </c>
      <c r="D6" s="118">
        <f>B6*1</f>
        <v>0</v>
      </c>
      <c r="E6" s="107">
        <f>G6</f>
        <v>240</v>
      </c>
      <c r="F6" s="108">
        <f t="shared" si="0"/>
        <v>0</v>
      </c>
      <c r="G6" s="119">
        <v>240</v>
      </c>
      <c r="J6" s="109" t="s">
        <v>70</v>
      </c>
      <c r="K6" s="111">
        <v>0</v>
      </c>
      <c r="N6" s="113" t="s">
        <v>71</v>
      </c>
      <c r="O6" s="120">
        <f>C2</f>
        <v>99833.400000000009</v>
      </c>
      <c r="P6" s="121">
        <f>F2</f>
        <v>33044855.400000002</v>
      </c>
      <c r="Q6" s="122">
        <f>A109*B35-Q12</f>
        <v>8436252.7999999989</v>
      </c>
      <c r="R6" s="123">
        <f>B94*O6</f>
        <v>9883506.6000000015</v>
      </c>
      <c r="S6" s="121">
        <f>$P$18*B114*(C35-B6)</f>
        <v>6885848.0258129379</v>
      </c>
      <c r="T6" s="121">
        <f>($P$20)*(B2-B10)*5</f>
        <v>367473.68545069837</v>
      </c>
      <c r="U6" s="121">
        <f>$P$22*P6</f>
        <v>5071124.1878493717</v>
      </c>
    </row>
    <row r="7" spans="1:21" ht="16" x14ac:dyDescent="0.2">
      <c r="A7" s="103" t="s">
        <v>55</v>
      </c>
      <c r="B7" s="104">
        <v>0</v>
      </c>
      <c r="C7" s="115">
        <v>200000</v>
      </c>
      <c r="D7" s="118">
        <f t="shared" ref="D7:D8" si="2">B7*1</f>
        <v>0</v>
      </c>
      <c r="E7" s="107">
        <f>G7</f>
        <v>70</v>
      </c>
      <c r="F7" s="108">
        <f t="shared" si="0"/>
        <v>0</v>
      </c>
      <c r="G7" s="119">
        <v>70</v>
      </c>
      <c r="J7" s="124" t="s">
        <v>72</v>
      </c>
      <c r="K7" s="125">
        <f>K2+K4+K5-K3-K6</f>
        <v>48063851.309499994</v>
      </c>
      <c r="N7" s="113" t="s">
        <v>73</v>
      </c>
      <c r="O7" s="120">
        <f>C3</f>
        <v>408107.7</v>
      </c>
      <c r="P7" s="121">
        <f>F3</f>
        <v>48156708.600000001</v>
      </c>
      <c r="Q7" s="122">
        <f>A110*B36-Q13</f>
        <v>7299648.0000000009</v>
      </c>
      <c r="R7" s="123">
        <f>B95*O7</f>
        <v>20405385</v>
      </c>
      <c r="S7" s="121">
        <f>$P$18*B115*(C36-B7)</f>
        <v>3544342.3907746444</v>
      </c>
      <c r="T7" s="121">
        <f>($P$20)*(B3-B11)*5</f>
        <v>1620143.6316287881</v>
      </c>
      <c r="U7" s="121">
        <f>$P$22*P7</f>
        <v>7390216.9288558559</v>
      </c>
    </row>
    <row r="8" spans="1:21" ht="17" thickBot="1" x14ac:dyDescent="0.25">
      <c r="A8" s="103" t="s">
        <v>57</v>
      </c>
      <c r="B8" s="104">
        <v>0</v>
      </c>
      <c r="C8" s="115">
        <v>60000</v>
      </c>
      <c r="D8" s="118">
        <f t="shared" si="2"/>
        <v>0</v>
      </c>
      <c r="E8" s="107">
        <f>G8</f>
        <v>635</v>
      </c>
      <c r="F8" s="108">
        <f t="shared" si="0"/>
        <v>0</v>
      </c>
      <c r="G8" s="119">
        <v>635</v>
      </c>
      <c r="J8" s="124" t="s">
        <v>74</v>
      </c>
      <c r="K8" s="125">
        <f>K1-K7</f>
        <v>46080076.2905</v>
      </c>
      <c r="N8" s="113" t="s">
        <v>75</v>
      </c>
      <c r="O8" s="120">
        <f>C4</f>
        <v>13467.6</v>
      </c>
      <c r="P8" s="121">
        <f>F4</f>
        <v>12942363.6</v>
      </c>
      <c r="Q8" s="122">
        <f>A111*B37-Q14</f>
        <v>2550381.2000000002</v>
      </c>
      <c r="R8" s="123">
        <f>O8*B104</f>
        <v>4929141.6000000006</v>
      </c>
      <c r="S8" s="121">
        <f>$P$18*B116*(C37-B8)</f>
        <v>2019809.583412417</v>
      </c>
      <c r="T8" s="121">
        <f>($P$20)*(B4-B12)*5</f>
        <v>47471.78725733902</v>
      </c>
      <c r="U8" s="121">
        <f>$P$22*P8</f>
        <v>1986158.8832947735</v>
      </c>
    </row>
    <row r="9" spans="1:21" ht="16" x14ac:dyDescent="0.2">
      <c r="A9" s="556" t="s">
        <v>76</v>
      </c>
      <c r="B9" s="557"/>
      <c r="C9" s="558" t="s">
        <v>77</v>
      </c>
      <c r="D9" s="559"/>
      <c r="E9" s="568" t="s">
        <v>232</v>
      </c>
      <c r="F9" s="569"/>
      <c r="J9" s="109" t="s">
        <v>78</v>
      </c>
      <c r="K9" s="110">
        <f>(15*B86+15*D86+250)*1000</f>
        <v>3550000</v>
      </c>
      <c r="N9" s="126"/>
      <c r="Q9" s="122"/>
      <c r="R9" s="123"/>
    </row>
    <row r="10" spans="1:21" ht="16" x14ac:dyDescent="0.2">
      <c r="A10" s="127" t="s">
        <v>79</v>
      </c>
      <c r="B10" s="115">
        <v>14103</v>
      </c>
      <c r="C10" s="560">
        <f>IF(C35+B10-D2-D6&gt;0,C35+B10-D2-D6,0)</f>
        <v>28969.599999999991</v>
      </c>
      <c r="D10" s="561"/>
      <c r="E10" s="570">
        <v>17800</v>
      </c>
      <c r="F10" s="571"/>
      <c r="J10" s="109" t="s">
        <v>80</v>
      </c>
      <c r="K10" s="110">
        <f>B89</f>
        <v>2400000</v>
      </c>
      <c r="N10" s="126"/>
      <c r="P10" s="113" t="s">
        <v>81</v>
      </c>
      <c r="Q10" s="122"/>
      <c r="R10" s="123"/>
    </row>
    <row r="11" spans="1:21" ht="16" x14ac:dyDescent="0.2">
      <c r="A11" s="127" t="s">
        <v>82</v>
      </c>
      <c r="B11" s="115">
        <v>26573</v>
      </c>
      <c r="C11" s="560">
        <f t="shared" ref="C11:C12" si="3">IF(C36+B11-D3-D7&gt;0,C36+B11-D3-D7,0)</f>
        <v>45365.299999999988</v>
      </c>
      <c r="D11" s="561"/>
      <c r="E11" s="570">
        <v>0</v>
      </c>
      <c r="F11" s="571"/>
      <c r="J11" s="109" t="s">
        <v>83</v>
      </c>
      <c r="K11" s="110">
        <f>40000*(D86)</f>
        <v>4000000</v>
      </c>
      <c r="N11" s="126"/>
      <c r="P11" s="100" t="s">
        <v>64</v>
      </c>
      <c r="Q11" s="122" t="s">
        <v>65</v>
      </c>
      <c r="R11" s="123" t="s">
        <v>66</v>
      </c>
      <c r="S11" s="100" t="s">
        <v>67</v>
      </c>
    </row>
    <row r="12" spans="1:21" ht="17" thickBot="1" x14ac:dyDescent="0.25">
      <c r="A12" s="128" t="s">
        <v>84</v>
      </c>
      <c r="B12" s="129">
        <v>2456</v>
      </c>
      <c r="C12" s="562">
        <f t="shared" si="3"/>
        <v>1588.3999999999996</v>
      </c>
      <c r="D12" s="563"/>
      <c r="E12" s="542">
        <v>0</v>
      </c>
      <c r="F12" s="543"/>
      <c r="J12" s="109" t="s">
        <v>85</v>
      </c>
      <c r="K12" s="117">
        <v>2500000</v>
      </c>
      <c r="N12" s="113" t="s">
        <v>71</v>
      </c>
      <c r="O12" s="100">
        <f>B6</f>
        <v>0</v>
      </c>
      <c r="P12" s="121">
        <f>F6</f>
        <v>0</v>
      </c>
      <c r="Q12" s="122">
        <f>A109*B6</f>
        <v>0</v>
      </c>
      <c r="R12" s="123">
        <f>O12*B94</f>
        <v>0</v>
      </c>
      <c r="S12" s="121">
        <f>$P$18*B114*O12</f>
        <v>0</v>
      </c>
    </row>
    <row r="13" spans="1:21" ht="16" x14ac:dyDescent="0.2">
      <c r="A13" s="114" t="s">
        <v>86</v>
      </c>
      <c r="B13" s="130"/>
      <c r="F13" s="342" t="s">
        <v>311</v>
      </c>
      <c r="G13" s="343">
        <v>3</v>
      </c>
      <c r="J13" s="109" t="s">
        <v>87</v>
      </c>
      <c r="K13" s="110">
        <f>B70*0.3+D70*0.75</f>
        <v>681675</v>
      </c>
      <c r="N13" s="113" t="s">
        <v>73</v>
      </c>
      <c r="O13" s="100">
        <f>B7</f>
        <v>0</v>
      </c>
      <c r="P13" s="121">
        <f>F7</f>
        <v>0</v>
      </c>
      <c r="Q13" s="122">
        <f>A110*B7</f>
        <v>0</v>
      </c>
      <c r="R13" s="123">
        <f>O13*B99</f>
        <v>0</v>
      </c>
      <c r="S13" s="121">
        <f>$P$18*B115*O13</f>
        <v>0</v>
      </c>
    </row>
    <row r="14" spans="1:21" ht="16" x14ac:dyDescent="0.2">
      <c r="A14" s="103" t="s">
        <v>79</v>
      </c>
      <c r="B14" s="130">
        <v>0</v>
      </c>
      <c r="J14" s="109" t="s">
        <v>88</v>
      </c>
      <c r="K14" s="110">
        <f>B68*80000/12</f>
        <v>173333.33333333334</v>
      </c>
      <c r="N14" s="113" t="s">
        <v>75</v>
      </c>
      <c r="O14" s="100">
        <f>B8</f>
        <v>0</v>
      </c>
      <c r="P14" s="121">
        <f>F8</f>
        <v>0</v>
      </c>
      <c r="Q14" s="122">
        <f>A111*B8</f>
        <v>0</v>
      </c>
      <c r="R14" s="123">
        <f>O14*B104</f>
        <v>0</v>
      </c>
      <c r="S14" s="121">
        <f>$P$18*B116*O14</f>
        <v>0</v>
      </c>
    </row>
    <row r="15" spans="1:21" ht="16" x14ac:dyDescent="0.2">
      <c r="A15" s="103" t="s">
        <v>82</v>
      </c>
      <c r="B15" s="130">
        <v>54200</v>
      </c>
      <c r="J15" s="109" t="s">
        <v>89</v>
      </c>
      <c r="K15" s="110">
        <f>300000 + 2*5*(C35 +B10-D2-D6)+2*(C36+B11-D3-D7)+2*10*(C37+B12-D4-D8)</f>
        <v>712194.59999999986</v>
      </c>
    </row>
    <row r="16" spans="1:21" ht="16" x14ac:dyDescent="0.2">
      <c r="A16" s="103" t="s">
        <v>84</v>
      </c>
      <c r="B16" s="130">
        <v>0</v>
      </c>
      <c r="J16" s="109" t="s">
        <v>90</v>
      </c>
      <c r="K16" s="110">
        <f>SUM(G32:G36)</f>
        <v>2900000</v>
      </c>
    </row>
    <row r="17" spans="1:22" ht="16" x14ac:dyDescent="0.2">
      <c r="A17" s="114" t="s">
        <v>91</v>
      </c>
      <c r="J17" s="109" t="s">
        <v>92</v>
      </c>
      <c r="K17" s="110">
        <f>((G26+IF(G25&gt;0,G25,0))*G27+(H26+IF(H25&gt;0,H25,0))*H27)/4</f>
        <v>2660000</v>
      </c>
      <c r="O17" s="100" t="s">
        <v>93</v>
      </c>
      <c r="P17" s="131">
        <f>C35*B114+C36*B115+C37*B116</f>
        <v>194941</v>
      </c>
    </row>
    <row r="18" spans="1:22" ht="16" x14ac:dyDescent="0.2">
      <c r="A18" s="103" t="s">
        <v>79</v>
      </c>
      <c r="B18" s="132">
        <v>0</v>
      </c>
      <c r="J18" s="109" t="s">
        <v>94</v>
      </c>
      <c r="K18" s="110">
        <f>((G30+IF(G29&gt;0,G29,0))*G31+(H30+IF(H29&gt;0,H29,0))*H31)/4</f>
        <v>8887500</v>
      </c>
      <c r="O18" s="126" t="s">
        <v>95</v>
      </c>
      <c r="P18" s="133">
        <f>SUM(K9:K12)/P17</f>
        <v>63.865477246961902</v>
      </c>
      <c r="Q18" s="100" t="s">
        <v>249</v>
      </c>
      <c r="R18" s="123"/>
      <c r="S18" s="123"/>
    </row>
    <row r="19" spans="1:22" ht="16" x14ac:dyDescent="0.2">
      <c r="A19" s="103" t="s">
        <v>82</v>
      </c>
      <c r="B19" s="132">
        <v>0</v>
      </c>
      <c r="J19" s="124" t="s">
        <v>96</v>
      </c>
      <c r="K19" s="125">
        <f>K8-SUM(K9:K18)</f>
        <v>17615373.357166667</v>
      </c>
      <c r="O19" s="100" t="s">
        <v>97</v>
      </c>
      <c r="P19" s="134">
        <f>SUM(B70:D70)</f>
        <v>1126400</v>
      </c>
      <c r="R19" s="135"/>
      <c r="S19" s="121"/>
      <c r="U19" s="121"/>
    </row>
    <row r="20" spans="1:22" ht="16" x14ac:dyDescent="0.2">
      <c r="A20" s="103" t="s">
        <v>84</v>
      </c>
      <c r="B20" s="132">
        <v>0</v>
      </c>
      <c r="J20" s="109" t="s">
        <v>98</v>
      </c>
      <c r="K20" s="110">
        <f>G37*(G38+H38)</f>
        <v>334450.42</v>
      </c>
      <c r="O20" s="126" t="s">
        <v>99</v>
      </c>
      <c r="P20" s="136">
        <f>SUM(K13:K14)/P19</f>
        <v>0.75906279592803039</v>
      </c>
      <c r="Q20" s="100" t="s">
        <v>248</v>
      </c>
      <c r="S20" s="121"/>
      <c r="U20" s="121"/>
    </row>
    <row r="21" spans="1:22" ht="16" x14ac:dyDescent="0.2">
      <c r="A21" s="114" t="s">
        <v>100</v>
      </c>
      <c r="B21" s="137" t="s">
        <v>101</v>
      </c>
      <c r="C21" s="113" t="s">
        <v>102</v>
      </c>
      <c r="D21" s="459" t="s">
        <v>424</v>
      </c>
      <c r="J21" s="109" t="s">
        <v>103</v>
      </c>
      <c r="K21" s="110">
        <f>H86</f>
        <v>0</v>
      </c>
      <c r="O21" s="100" t="s">
        <v>104</v>
      </c>
      <c r="P21" s="121">
        <f>SUM(P6:P8)</f>
        <v>94143927.599999994</v>
      </c>
    </row>
    <row r="22" spans="1:22" ht="33" thickBot="1" x14ac:dyDescent="0.4">
      <c r="A22" s="103" t="s">
        <v>79</v>
      </c>
      <c r="B22" s="138" t="s">
        <v>105</v>
      </c>
      <c r="C22" s="106">
        <f>IF(C35+B40-B50-B14&lt;0,0,C35+B40-B50-B14)</f>
        <v>114700</v>
      </c>
      <c r="D22" s="552">
        <f>SUM(C22:C24)</f>
        <v>500000</v>
      </c>
      <c r="J22" s="139" t="s">
        <v>106</v>
      </c>
      <c r="K22" s="140">
        <f>K19-K20-K21</f>
        <v>17280922.937166665</v>
      </c>
      <c r="O22" s="126" t="s">
        <v>107</v>
      </c>
      <c r="P22" s="165">
        <f>SUM(K16:K18)/P21</f>
        <v>0.15346183623637136</v>
      </c>
    </row>
    <row r="23" spans="1:22" ht="16" x14ac:dyDescent="0.2">
      <c r="A23" s="103" t="s">
        <v>82</v>
      </c>
      <c r="B23" s="141"/>
      <c r="C23" s="106">
        <f>IF(C36+B41-B51-B15&lt;0,0,C36+B41-B51-B15)</f>
        <v>372700</v>
      </c>
      <c r="D23" s="552"/>
    </row>
    <row r="24" spans="1:22" ht="17" thickBot="1" x14ac:dyDescent="0.25">
      <c r="A24" s="103" t="s">
        <v>84</v>
      </c>
      <c r="B24" s="141"/>
      <c r="C24" s="106">
        <f>IF(C37+B42-B52-B16&lt;0,0,C37+B42-B52-B16)</f>
        <v>12600</v>
      </c>
      <c r="D24" s="552"/>
      <c r="G24" s="113" t="s">
        <v>108</v>
      </c>
      <c r="H24" s="113" t="s">
        <v>109</v>
      </c>
    </row>
    <row r="25" spans="1:22" ht="16" x14ac:dyDescent="0.2">
      <c r="A25" s="114" t="s">
        <v>110</v>
      </c>
      <c r="C25" s="142"/>
      <c r="F25" s="113" t="s">
        <v>111</v>
      </c>
      <c r="G25" s="143">
        <v>0</v>
      </c>
      <c r="H25" s="143">
        <v>0</v>
      </c>
      <c r="I25" s="126"/>
      <c r="J25" s="144" t="s">
        <v>112</v>
      </c>
      <c r="K25" s="329">
        <f>F86</f>
        <v>195000</v>
      </c>
    </row>
    <row r="26" spans="1:22" ht="16" x14ac:dyDescent="0.2">
      <c r="A26" s="103" t="s">
        <v>79</v>
      </c>
      <c r="B26" s="145">
        <f>IF(B2+B6-B18-B14&lt;0,0,B2+B6-B18-B14)</f>
        <v>110926</v>
      </c>
      <c r="C26" s="146">
        <v>0</v>
      </c>
      <c r="D26" s="551" t="s">
        <v>113</v>
      </c>
      <c r="F26" s="113" t="s">
        <v>114</v>
      </c>
      <c r="G26" s="147">
        <v>16</v>
      </c>
      <c r="H26" s="147">
        <v>11</v>
      </c>
      <c r="J26" s="109" t="s">
        <v>115</v>
      </c>
      <c r="K26" s="148">
        <f>C35*B114+C36*B115+C37*B116</f>
        <v>194941</v>
      </c>
      <c r="P26" s="149" t="s">
        <v>116</v>
      </c>
      <c r="V26" s="149" t="s">
        <v>117</v>
      </c>
    </row>
    <row r="27" spans="1:22" ht="17" thickBot="1" x14ac:dyDescent="0.25">
      <c r="A27" s="103" t="s">
        <v>118</v>
      </c>
      <c r="B27" s="145">
        <f>IF(B3+B7-B19-B15&lt;0,0,B3+B7-B19-B15)</f>
        <v>399253</v>
      </c>
      <c r="C27" s="146">
        <v>0</v>
      </c>
      <c r="D27" s="551"/>
      <c r="F27" s="113" t="s">
        <v>119</v>
      </c>
      <c r="G27" s="150">
        <v>500000</v>
      </c>
      <c r="H27" s="150">
        <v>240000</v>
      </c>
      <c r="J27" s="151" t="s">
        <v>120</v>
      </c>
      <c r="K27" s="152">
        <f>K26/K25</f>
        <v>0.99969743589743587</v>
      </c>
      <c r="P27" s="100" t="s">
        <v>121</v>
      </c>
      <c r="Q27" s="100" t="s">
        <v>122</v>
      </c>
      <c r="R27" s="100" t="s">
        <v>123</v>
      </c>
      <c r="S27" s="100" t="s">
        <v>124</v>
      </c>
      <c r="T27" s="100" t="s">
        <v>125</v>
      </c>
      <c r="U27" s="100" t="s">
        <v>126</v>
      </c>
    </row>
    <row r="28" spans="1:22" ht="16" x14ac:dyDescent="0.2">
      <c r="A28" s="103" t="s">
        <v>84</v>
      </c>
      <c r="B28" s="145">
        <f>IF(B4+B8-B20-B16&lt;0,0,B4+B8-B20-B16)</f>
        <v>14964</v>
      </c>
      <c r="C28" s="146">
        <v>0</v>
      </c>
      <c r="D28" s="551"/>
      <c r="G28" s="113" t="s">
        <v>127</v>
      </c>
      <c r="H28" s="113" t="s">
        <v>128</v>
      </c>
      <c r="O28" s="149" t="s">
        <v>129</v>
      </c>
      <c r="P28" s="100">
        <f>E2</f>
        <v>331</v>
      </c>
      <c r="Q28" s="100">
        <f>A109</f>
        <v>73.599999999999994</v>
      </c>
      <c r="R28" s="100">
        <f>B94</f>
        <v>99</v>
      </c>
      <c r="S28" s="121">
        <f>S6/O6</f>
        <v>68.973389925745664</v>
      </c>
      <c r="T28" s="153">
        <f>P20*5</f>
        <v>3.7953139796401518</v>
      </c>
      <c r="U28" s="121">
        <f>U6/O6</f>
        <v>50.795867794238916</v>
      </c>
      <c r="V28" s="153">
        <f>P28-Q28-R28-S28-T28-U28</f>
        <v>34.835428300375241</v>
      </c>
    </row>
    <row r="29" spans="1:22" ht="17" thickBot="1" x14ac:dyDescent="0.25">
      <c r="A29" s="114" t="s">
        <v>130</v>
      </c>
      <c r="B29" s="141"/>
      <c r="C29" s="141"/>
      <c r="F29" s="113" t="s">
        <v>131</v>
      </c>
      <c r="G29" s="143">
        <v>0</v>
      </c>
      <c r="H29" s="143">
        <v>0</v>
      </c>
      <c r="O29" s="149" t="s">
        <v>132</v>
      </c>
      <c r="P29" s="100">
        <f>E3</f>
        <v>118</v>
      </c>
      <c r="Q29" s="100">
        <f>A110</f>
        <v>17.100000000000001</v>
      </c>
      <c r="R29" s="100">
        <f>B99</f>
        <v>33</v>
      </c>
      <c r="S29" s="121">
        <f>S7/O7</f>
        <v>8.6848211655272483</v>
      </c>
      <c r="T29" s="153">
        <f>P20</f>
        <v>0.75906279592803039</v>
      </c>
      <c r="U29" s="121">
        <f>U7/O7</f>
        <v>18.108496675891818</v>
      </c>
      <c r="V29" s="153">
        <f>P29-Q29-R29-S29-T29-U29</f>
        <v>40.347619362652907</v>
      </c>
    </row>
    <row r="30" spans="1:22" ht="16" x14ac:dyDescent="0.2">
      <c r="A30" s="103" t="s">
        <v>79</v>
      </c>
      <c r="B30" s="154">
        <v>0</v>
      </c>
      <c r="C30" s="551" t="s">
        <v>133</v>
      </c>
      <c r="F30" s="113" t="s">
        <v>134</v>
      </c>
      <c r="G30" s="147">
        <v>167</v>
      </c>
      <c r="H30" s="147">
        <v>680</v>
      </c>
      <c r="J30" s="155" t="s">
        <v>135</v>
      </c>
      <c r="K30" s="281">
        <f>'PROFIT&amp;LOSS (Q0)'!K84+G44</f>
        <v>53336637.653485835</v>
      </c>
      <c r="O30" s="149" t="s">
        <v>136</v>
      </c>
      <c r="P30" s="100">
        <f>E4</f>
        <v>961</v>
      </c>
      <c r="Q30" s="100">
        <f>A111</f>
        <v>203.9</v>
      </c>
      <c r="R30" s="100">
        <f>B104</f>
        <v>366</v>
      </c>
      <c r="S30" s="121">
        <f>S8/O8</f>
        <v>149.97546581517247</v>
      </c>
      <c r="T30" s="153">
        <f>P20*10</f>
        <v>7.5906279592803036</v>
      </c>
      <c r="U30" s="121">
        <f>U8/O8</f>
        <v>147.47682462315285</v>
      </c>
      <c r="V30" s="153">
        <f>P30-Q30-R30-S30-T30-U30</f>
        <v>86.057081602394391</v>
      </c>
    </row>
    <row r="31" spans="1:22" ht="16" x14ac:dyDescent="0.2">
      <c r="A31" s="103" t="s">
        <v>82</v>
      </c>
      <c r="B31" s="154">
        <v>0</v>
      </c>
      <c r="C31" s="551"/>
      <c r="F31" s="113" t="s">
        <v>137</v>
      </c>
      <c r="G31" s="156">
        <v>50000</v>
      </c>
      <c r="H31" s="150">
        <v>40000</v>
      </c>
      <c r="J31" s="157" t="s">
        <v>138</v>
      </c>
      <c r="K31" s="158">
        <f>(C22*B94+C23*B99+C24*B104)*2/3</f>
        <v>18844000</v>
      </c>
      <c r="P31" s="149" t="s">
        <v>139</v>
      </c>
    </row>
    <row r="32" spans="1:22" ht="16" x14ac:dyDescent="0.2">
      <c r="A32" s="103" t="s">
        <v>84</v>
      </c>
      <c r="B32" s="154">
        <v>0</v>
      </c>
      <c r="C32" s="551"/>
      <c r="F32" s="113" t="s">
        <v>140</v>
      </c>
      <c r="G32" s="159">
        <v>0</v>
      </c>
      <c r="J32" s="160" t="s">
        <v>141</v>
      </c>
      <c r="K32" s="158">
        <f>C26*B95+C27*B100+C28*B105</f>
        <v>0</v>
      </c>
      <c r="P32" s="100" t="s">
        <v>121</v>
      </c>
      <c r="Q32" s="100" t="s">
        <v>122</v>
      </c>
      <c r="R32" s="100" t="s">
        <v>123</v>
      </c>
      <c r="S32" s="100" t="s">
        <v>124</v>
      </c>
      <c r="V32" s="149" t="s">
        <v>117</v>
      </c>
    </row>
    <row r="33" spans="1:22" ht="16" x14ac:dyDescent="0.2">
      <c r="A33" s="103"/>
      <c r="F33" s="113" t="s">
        <v>142</v>
      </c>
      <c r="G33" s="159">
        <v>1000000</v>
      </c>
      <c r="J33" s="160" t="s">
        <v>143</v>
      </c>
      <c r="K33" s="158">
        <f>K4</f>
        <v>18318191.309499998</v>
      </c>
      <c r="O33" s="149" t="s">
        <v>129</v>
      </c>
      <c r="P33" s="100">
        <f>E6</f>
        <v>240</v>
      </c>
      <c r="Q33" s="100">
        <f>A109</f>
        <v>73.599999999999994</v>
      </c>
      <c r="R33" s="100">
        <f>B94</f>
        <v>99</v>
      </c>
      <c r="S33" s="121" t="e">
        <f>S12/O12</f>
        <v>#DIV/0!</v>
      </c>
      <c r="V33" s="121" t="e">
        <f>P33-Q33-R33-S33</f>
        <v>#DIV/0!</v>
      </c>
    </row>
    <row r="34" spans="1:22" ht="16" x14ac:dyDescent="0.2">
      <c r="A34" s="161" t="s">
        <v>144</v>
      </c>
      <c r="C34" s="113" t="s">
        <v>102</v>
      </c>
      <c r="F34" s="113" t="s">
        <v>145</v>
      </c>
      <c r="G34" s="159">
        <v>200000</v>
      </c>
      <c r="J34" s="160" t="s">
        <v>146</v>
      </c>
      <c r="K34" s="158">
        <f>IF(D87&gt;=0,40000*D87,0)</f>
        <v>0</v>
      </c>
      <c r="O34" s="149" t="s">
        <v>132</v>
      </c>
      <c r="P34" s="100">
        <f>E7</f>
        <v>70</v>
      </c>
      <c r="Q34" s="100">
        <f>A110</f>
        <v>17.100000000000001</v>
      </c>
      <c r="R34" s="100">
        <f>B99</f>
        <v>33</v>
      </c>
      <c r="S34" s="121" t="e">
        <f>S13/O13</f>
        <v>#DIV/0!</v>
      </c>
      <c r="V34" s="121" t="e">
        <f>P34-Q34-R34-S34</f>
        <v>#DIV/0!</v>
      </c>
    </row>
    <row r="35" spans="1:22" ht="16" x14ac:dyDescent="0.2">
      <c r="A35" s="103" t="s">
        <v>79</v>
      </c>
      <c r="B35" s="145">
        <f>IF(B2+B6+E10-B10-B30&lt;0,0,B2+B6+E10-B10-B30)</f>
        <v>114623</v>
      </c>
      <c r="C35" s="162">
        <f>_xlfn.CEILING.MATH(B35,100)</f>
        <v>114700</v>
      </c>
      <c r="F35" s="113" t="s">
        <v>147</v>
      </c>
      <c r="G35" s="159">
        <v>1200000</v>
      </c>
      <c r="J35" s="160" t="s">
        <v>148</v>
      </c>
      <c r="K35" s="158">
        <f>80000*B69</f>
        <v>0</v>
      </c>
      <c r="O35" s="149" t="s">
        <v>136</v>
      </c>
      <c r="P35" s="100">
        <f>E8</f>
        <v>635</v>
      </c>
      <c r="Q35" s="100">
        <f>A111</f>
        <v>203.9</v>
      </c>
      <c r="R35" s="100">
        <f>B104</f>
        <v>366</v>
      </c>
      <c r="S35" s="121" t="e">
        <f>S14/O14</f>
        <v>#DIV/0!</v>
      </c>
      <c r="V35" s="121" t="e">
        <f>P35-Q35-R35-S35</f>
        <v>#DIV/0!</v>
      </c>
    </row>
    <row r="36" spans="1:22" ht="16" x14ac:dyDescent="0.2">
      <c r="A36" s="103" t="s">
        <v>82</v>
      </c>
      <c r="B36" s="145">
        <f>IF(B3+B7+E11-B11-B31&lt;0,0,B3+B7+E11-B11-B31)</f>
        <v>426880</v>
      </c>
      <c r="C36" s="162">
        <f t="shared" ref="C36:C37" si="4">_xlfn.CEILING.MATH(B36,100)</f>
        <v>426900</v>
      </c>
      <c r="F36" s="113" t="s">
        <v>149</v>
      </c>
      <c r="G36" s="159">
        <v>500000</v>
      </c>
      <c r="J36" s="160" t="s">
        <v>150</v>
      </c>
      <c r="K36" s="158">
        <f>IF(G25&gt;=0,G25*G27/4,0)</f>
        <v>0</v>
      </c>
    </row>
    <row r="37" spans="1:22" ht="16" x14ac:dyDescent="0.2">
      <c r="A37" s="163" t="s">
        <v>84</v>
      </c>
      <c r="B37" s="145">
        <f>IF(B4+B8+E12-B12-B32&lt;0,0,B4+B8+E12-B12-B32)</f>
        <v>12508</v>
      </c>
      <c r="C37" s="162">
        <f t="shared" si="4"/>
        <v>12600</v>
      </c>
      <c r="F37" s="113" t="s">
        <v>151</v>
      </c>
      <c r="G37" s="159">
        <f>'PROFIT&amp;LOSS (Q0)'!G37+G44</f>
        <v>16722521</v>
      </c>
      <c r="J37" s="160" t="s">
        <v>152</v>
      </c>
      <c r="K37" s="158">
        <f>IF(H25&gt;=0,H25*H27/4,0)</f>
        <v>0</v>
      </c>
    </row>
    <row r="38" spans="1:22" x14ac:dyDescent="0.2">
      <c r="B38" s="141"/>
      <c r="C38" s="141"/>
      <c r="F38" s="113" t="s">
        <v>153</v>
      </c>
      <c r="G38" s="164">
        <v>0.01</v>
      </c>
      <c r="H38" s="165">
        <f>0.02-(G36/100000)*0.002</f>
        <v>0.01</v>
      </c>
      <c r="J38" s="160" t="s">
        <v>154</v>
      </c>
      <c r="K38" s="158">
        <f>IF(G29&gt;=0,G29*G31/4,0)</f>
        <v>0</v>
      </c>
    </row>
    <row r="39" spans="1:22" x14ac:dyDescent="0.2">
      <c r="A39" s="113" t="s">
        <v>155</v>
      </c>
      <c r="B39" s="166" t="s">
        <v>156</v>
      </c>
      <c r="C39" s="141"/>
      <c r="G39" s="564" t="s">
        <v>157</v>
      </c>
      <c r="H39" s="564"/>
      <c r="J39" s="160" t="s">
        <v>158</v>
      </c>
      <c r="K39" s="158">
        <f>IF(H29&gt;=0,H29*H31/4,0)</f>
        <v>0</v>
      </c>
    </row>
    <row r="40" spans="1:22" x14ac:dyDescent="0.2">
      <c r="A40" s="126" t="s">
        <v>79</v>
      </c>
      <c r="B40" s="167">
        <v>0</v>
      </c>
      <c r="C40" s="565" t="s">
        <v>159</v>
      </c>
      <c r="D40" s="565"/>
      <c r="G40" s="564"/>
      <c r="H40" s="564"/>
      <c r="J40" s="160" t="s">
        <v>160</v>
      </c>
      <c r="K40" s="158">
        <f>G32</f>
        <v>0</v>
      </c>
    </row>
    <row r="41" spans="1:22" ht="16" thickBot="1" x14ac:dyDescent="0.25">
      <c r="A41" s="126" t="s">
        <v>82</v>
      </c>
      <c r="B41" s="167">
        <v>0</v>
      </c>
      <c r="C41" s="565"/>
      <c r="D41" s="565"/>
      <c r="J41" s="168" t="s">
        <v>161</v>
      </c>
      <c r="K41" s="169">
        <f>SUM(K31:K40)</f>
        <v>37162191.309499994</v>
      </c>
    </row>
    <row r="42" spans="1:22" x14ac:dyDescent="0.2">
      <c r="A42" s="126" t="s">
        <v>84</v>
      </c>
      <c r="B42" s="167">
        <v>0</v>
      </c>
      <c r="C42" s="565"/>
      <c r="D42" s="565"/>
      <c r="E42" s="299" t="s">
        <v>252</v>
      </c>
      <c r="J42" s="170"/>
    </row>
    <row r="44" spans="1:22" ht="16" thickBot="1" x14ac:dyDescent="0.25">
      <c r="A44" s="113" t="s">
        <v>162</v>
      </c>
      <c r="F44" s="113" t="s">
        <v>275</v>
      </c>
      <c r="G44" s="159">
        <v>-27144670</v>
      </c>
    </row>
    <row r="45" spans="1:22" x14ac:dyDescent="0.2">
      <c r="A45" s="126" t="s">
        <v>79</v>
      </c>
      <c r="B45" s="171">
        <f>C26*1/3</f>
        <v>0</v>
      </c>
      <c r="C45" s="551" t="s">
        <v>163</v>
      </c>
      <c r="D45" s="551"/>
      <c r="F45" s="346" t="s">
        <v>317</v>
      </c>
      <c r="G45" s="100">
        <f>'PROFIT&amp;LOSS (Q0)'!G46</f>
        <v>38286368.983485818</v>
      </c>
      <c r="J45" s="144" t="s">
        <v>164</v>
      </c>
      <c r="K45" s="172">
        <f>(G26+G25)*40000+(H26+H25)*55000</f>
        <v>1245000</v>
      </c>
    </row>
    <row r="46" spans="1:22" ht="16" thickBot="1" x14ac:dyDescent="0.25">
      <c r="A46" s="126" t="s">
        <v>82</v>
      </c>
      <c r="B46" s="171">
        <f>C27*1/3</f>
        <v>0</v>
      </c>
      <c r="C46" s="551"/>
      <c r="D46" s="551"/>
      <c r="F46" s="345" t="s">
        <v>318</v>
      </c>
      <c r="G46" s="100">
        <f>G45+K22</f>
        <v>55567291.920652479</v>
      </c>
      <c r="J46" s="151" t="s">
        <v>165</v>
      </c>
      <c r="K46" s="173">
        <f>(D2+C10)*5+(D3+C11)*1+(D4+C12)*10</f>
        <v>1248048</v>
      </c>
    </row>
    <row r="47" spans="1:22" x14ac:dyDescent="0.2">
      <c r="A47" s="126" t="s">
        <v>84</v>
      </c>
      <c r="B47" s="171">
        <f>C28*1/3</f>
        <v>0</v>
      </c>
      <c r="C47" s="551"/>
      <c r="D47" s="551"/>
      <c r="K47" s="131"/>
    </row>
    <row r="48" spans="1:22" ht="16" thickBot="1" x14ac:dyDescent="0.25">
      <c r="B48" s="174"/>
      <c r="J48" s="100" t="s">
        <v>316</v>
      </c>
    </row>
    <row r="49" spans="1:12" x14ac:dyDescent="0.2">
      <c r="A49" s="113" t="s">
        <v>166</v>
      </c>
      <c r="B49" s="174"/>
      <c r="J49" s="144" t="s">
        <v>278</v>
      </c>
      <c r="K49" s="338">
        <f>2/3*SUM(F2:F4)</f>
        <v>62762618.399999991</v>
      </c>
    </row>
    <row r="50" spans="1:12" x14ac:dyDescent="0.2">
      <c r="A50" s="126" t="s">
        <v>79</v>
      </c>
      <c r="B50" s="175">
        <v>0</v>
      </c>
      <c r="J50" s="109" t="s">
        <v>279</v>
      </c>
      <c r="K50" s="339">
        <v>0</v>
      </c>
    </row>
    <row r="51" spans="1:12" x14ac:dyDescent="0.2">
      <c r="A51" s="126" t="s">
        <v>82</v>
      </c>
      <c r="B51" s="175">
        <v>0</v>
      </c>
      <c r="J51" s="109" t="s">
        <v>280</v>
      </c>
      <c r="K51" s="341">
        <f>'PROFIT&amp;LOSS (Q0)'!K78</f>
        <v>44647813.299999997</v>
      </c>
      <c r="L51" s="100" t="s">
        <v>312</v>
      </c>
    </row>
    <row r="52" spans="1:12" x14ac:dyDescent="0.2">
      <c r="A52" s="126" t="s">
        <v>84</v>
      </c>
      <c r="B52" s="175">
        <v>0</v>
      </c>
      <c r="J52" s="109" t="s">
        <v>281</v>
      </c>
      <c r="K52" s="339">
        <f>H86</f>
        <v>0</v>
      </c>
    </row>
    <row r="53" spans="1:12" ht="16" thickBot="1" x14ac:dyDescent="0.25">
      <c r="B53" s="176"/>
      <c r="J53" s="109" t="s">
        <v>310</v>
      </c>
      <c r="K53" s="341">
        <f>(1-G13/3)*SUM(F6:F8)</f>
        <v>0</v>
      </c>
      <c r="L53" s="176"/>
    </row>
    <row r="54" spans="1:12" ht="16" customHeight="1" x14ac:dyDescent="0.2">
      <c r="A54" s="177" t="s">
        <v>167</v>
      </c>
      <c r="B54" s="566" t="s">
        <v>168</v>
      </c>
      <c r="C54" s="567"/>
      <c r="J54" s="109" t="s">
        <v>282</v>
      </c>
      <c r="K54" s="339">
        <f>IF(G44&gt;0,G44,0)</f>
        <v>0</v>
      </c>
    </row>
    <row r="55" spans="1:12" x14ac:dyDescent="0.2">
      <c r="A55" s="124" t="s">
        <v>169</v>
      </c>
      <c r="B55" s="147" t="s">
        <v>170</v>
      </c>
      <c r="C55" s="178" t="s">
        <v>171</v>
      </c>
      <c r="J55" s="348" t="s">
        <v>313</v>
      </c>
      <c r="K55" s="349">
        <f>SUM(K49:K54)</f>
        <v>107410431.69999999</v>
      </c>
    </row>
    <row r="56" spans="1:12" x14ac:dyDescent="0.2">
      <c r="A56" s="179">
        <v>3</v>
      </c>
      <c r="B56" s="147">
        <v>0</v>
      </c>
      <c r="C56" s="180">
        <f>30000*B56</f>
        <v>0</v>
      </c>
      <c r="J56" s="109" t="s">
        <v>283</v>
      </c>
      <c r="K56" s="339">
        <f>C22*B94*2/3</f>
        <v>7570200</v>
      </c>
    </row>
    <row r="57" spans="1:12" x14ac:dyDescent="0.2">
      <c r="A57" s="179">
        <v>6</v>
      </c>
      <c r="B57" s="147">
        <v>0</v>
      </c>
      <c r="C57" s="180">
        <f>30000*B57*(11/12)</f>
        <v>0</v>
      </c>
      <c r="J57" s="109" t="s">
        <v>284</v>
      </c>
      <c r="K57" s="339">
        <f>C23*B99*2/3</f>
        <v>8199400</v>
      </c>
    </row>
    <row r="58" spans="1:12" x14ac:dyDescent="0.2">
      <c r="A58" s="179">
        <v>9</v>
      </c>
      <c r="B58" s="147">
        <v>0</v>
      </c>
      <c r="C58" s="180">
        <f>30000*B58*(10/12)</f>
        <v>0</v>
      </c>
      <c r="J58" s="109" t="s">
        <v>285</v>
      </c>
      <c r="K58" s="339">
        <f>C24*B104*2/3</f>
        <v>3074400</v>
      </c>
    </row>
    <row r="59" spans="1:12" x14ac:dyDescent="0.2">
      <c r="A59" s="179">
        <v>12</v>
      </c>
      <c r="B59" s="147">
        <v>0</v>
      </c>
      <c r="C59" s="180">
        <f>30000*B59*(9/12)</f>
        <v>0</v>
      </c>
      <c r="J59" s="109" t="s">
        <v>286</v>
      </c>
      <c r="K59" s="339">
        <v>0</v>
      </c>
    </row>
    <row r="60" spans="1:12" x14ac:dyDescent="0.2">
      <c r="A60" s="179">
        <v>15</v>
      </c>
      <c r="B60" s="147">
        <v>12</v>
      </c>
      <c r="C60" s="180">
        <f>30000*B60*(8/12)</f>
        <v>240000</v>
      </c>
      <c r="J60" s="109" t="s">
        <v>287</v>
      </c>
      <c r="K60" s="339">
        <v>0</v>
      </c>
    </row>
    <row r="61" spans="1:12" x14ac:dyDescent="0.2">
      <c r="A61" s="179">
        <v>18</v>
      </c>
      <c r="B61" s="147">
        <v>0</v>
      </c>
      <c r="C61" s="180">
        <f>30000*B61*(7/12)</f>
        <v>0</v>
      </c>
      <c r="J61" s="109" t="s">
        <v>288</v>
      </c>
      <c r="K61" s="339">
        <v>0</v>
      </c>
    </row>
    <row r="62" spans="1:12" x14ac:dyDescent="0.2">
      <c r="A62" s="179">
        <v>21</v>
      </c>
      <c r="B62" s="147">
        <v>0</v>
      </c>
      <c r="C62" s="180">
        <f>30000*B62*(6/12)</f>
        <v>0</v>
      </c>
      <c r="J62" s="109" t="s">
        <v>289</v>
      </c>
      <c r="K62" s="339">
        <f>K17</f>
        <v>2660000</v>
      </c>
    </row>
    <row r="63" spans="1:12" x14ac:dyDescent="0.2">
      <c r="A63" s="179">
        <v>24</v>
      </c>
      <c r="B63" s="147">
        <v>0</v>
      </c>
      <c r="C63" s="180">
        <f>30000*B63*(5/12)</f>
        <v>0</v>
      </c>
      <c r="J63" s="109" t="s">
        <v>290</v>
      </c>
      <c r="K63" s="339">
        <f>K18</f>
        <v>8887500</v>
      </c>
    </row>
    <row r="64" spans="1:12" x14ac:dyDescent="0.2">
      <c r="A64" s="179">
        <v>27</v>
      </c>
      <c r="B64" s="147">
        <v>7</v>
      </c>
      <c r="C64" s="180">
        <f>30000*B64*(4/12)</f>
        <v>70000</v>
      </c>
      <c r="J64" s="109" t="s">
        <v>291</v>
      </c>
      <c r="K64" s="339">
        <f>K11</f>
        <v>4000000</v>
      </c>
    </row>
    <row r="65" spans="1:12" x14ac:dyDescent="0.2">
      <c r="A65" s="179">
        <v>30</v>
      </c>
      <c r="B65" s="147">
        <v>7</v>
      </c>
      <c r="C65" s="180">
        <f>30000*B65*(3/12)</f>
        <v>52500</v>
      </c>
      <c r="J65" s="109" t="s">
        <v>292</v>
      </c>
      <c r="K65" s="339">
        <f>K4</f>
        <v>18318191.309499998</v>
      </c>
    </row>
    <row r="66" spans="1:12" x14ac:dyDescent="0.2">
      <c r="A66" s="179">
        <v>33</v>
      </c>
      <c r="B66" s="147">
        <v>0</v>
      </c>
      <c r="C66" s="180">
        <f>30000*B66*(2/12)</f>
        <v>0</v>
      </c>
      <c r="J66" s="109" t="s">
        <v>293</v>
      </c>
      <c r="K66" s="339">
        <f>G34</f>
        <v>200000</v>
      </c>
    </row>
    <row r="67" spans="1:12" ht="16" thickBot="1" x14ac:dyDescent="0.25">
      <c r="A67" s="181">
        <v>36</v>
      </c>
      <c r="B67" s="182">
        <v>0</v>
      </c>
      <c r="C67" s="183">
        <f>30000*B67*(1/12)</f>
        <v>0</v>
      </c>
      <c r="J67" s="109" t="s">
        <v>294</v>
      </c>
      <c r="K67" s="339">
        <f>G32</f>
        <v>0</v>
      </c>
    </row>
    <row r="68" spans="1:12" ht="16" thickBot="1" x14ac:dyDescent="0.25">
      <c r="A68" s="101" t="s">
        <v>172</v>
      </c>
      <c r="B68" s="184">
        <f>SUM(B56:B67)</f>
        <v>26</v>
      </c>
      <c r="C68" s="172">
        <f>SUM(C56:C67)</f>
        <v>362500</v>
      </c>
      <c r="D68" s="283"/>
      <c r="J68" s="109" t="s">
        <v>295</v>
      </c>
      <c r="K68" s="339">
        <f>B87*240000</f>
        <v>0</v>
      </c>
    </row>
    <row r="69" spans="1:12" x14ac:dyDescent="0.2">
      <c r="A69" s="177" t="s">
        <v>173</v>
      </c>
      <c r="B69" s="185">
        <v>0</v>
      </c>
      <c r="C69" s="186" t="s">
        <v>174</v>
      </c>
      <c r="D69" s="187"/>
      <c r="E69" s="187"/>
      <c r="F69" s="187"/>
      <c r="G69" s="188"/>
      <c r="J69" s="109" t="s">
        <v>148</v>
      </c>
      <c r="K69" s="339">
        <f>K35</f>
        <v>0</v>
      </c>
    </row>
    <row r="70" spans="1:12" ht="16" thickBot="1" x14ac:dyDescent="0.25">
      <c r="A70" s="189" t="s">
        <v>175</v>
      </c>
      <c r="B70" s="190">
        <f>C68</f>
        <v>362500</v>
      </c>
      <c r="C70" s="191" t="s">
        <v>176</v>
      </c>
      <c r="D70" s="192">
        <f>IF(F70&lt;B70,0,F70-B70)</f>
        <v>763900</v>
      </c>
      <c r="E70" s="191" t="s">
        <v>177</v>
      </c>
      <c r="F70" s="192">
        <f>(C35-B6)*5+(C36-B7)*1+(C37-B8)*10</f>
        <v>1126400</v>
      </c>
      <c r="G70" s="193" t="s">
        <v>178</v>
      </c>
      <c r="J70" s="109" t="s">
        <v>296</v>
      </c>
      <c r="K70" s="341">
        <f>'PROFIT&amp;LOSS (Q0)'!K80</f>
        <v>17338813.800000001</v>
      </c>
      <c r="L70" s="100" t="s">
        <v>312</v>
      </c>
    </row>
    <row r="71" spans="1:12" ht="16" thickBot="1" x14ac:dyDescent="0.25">
      <c r="A71" s="126"/>
      <c r="B71" s="194"/>
      <c r="C71" s="126"/>
      <c r="D71" s="195"/>
      <c r="E71" s="126"/>
      <c r="F71" s="195"/>
      <c r="J71" s="109" t="s">
        <v>297</v>
      </c>
      <c r="K71" s="339">
        <f>IF(G44&lt;=0,-G44,0)</f>
        <v>27144670</v>
      </c>
    </row>
    <row r="72" spans="1:12" ht="16" customHeight="1" x14ac:dyDescent="0.2">
      <c r="A72" s="177" t="s">
        <v>179</v>
      </c>
      <c r="B72" s="555" t="s">
        <v>180</v>
      </c>
      <c r="C72" s="555"/>
      <c r="D72" s="555"/>
      <c r="E72" s="555"/>
      <c r="F72" s="555"/>
      <c r="G72" s="555"/>
      <c r="H72" s="555"/>
      <c r="I72" s="572"/>
      <c r="J72" s="109" t="s">
        <v>298</v>
      </c>
      <c r="K72" s="339">
        <f>K20</f>
        <v>334450.42</v>
      </c>
    </row>
    <row r="73" spans="1:12" x14ac:dyDescent="0.2">
      <c r="A73" s="196" t="s">
        <v>169</v>
      </c>
      <c r="B73" s="119" t="s">
        <v>181</v>
      </c>
      <c r="C73" s="197" t="s">
        <v>171</v>
      </c>
      <c r="D73" s="119" t="s">
        <v>182</v>
      </c>
      <c r="E73" s="197" t="s">
        <v>183</v>
      </c>
      <c r="F73" s="197" t="s">
        <v>184</v>
      </c>
      <c r="G73" s="198" t="s">
        <v>185</v>
      </c>
      <c r="H73" s="197" t="s">
        <v>186</v>
      </c>
      <c r="I73" s="178" t="s">
        <v>187</v>
      </c>
      <c r="J73" s="109" t="s">
        <v>299</v>
      </c>
      <c r="K73" s="339">
        <v>0</v>
      </c>
    </row>
    <row r="74" spans="1:12" x14ac:dyDescent="0.2">
      <c r="A74" s="199">
        <v>3</v>
      </c>
      <c r="B74" s="200">
        <v>0</v>
      </c>
      <c r="C74" s="201">
        <f>1500*B74</f>
        <v>0</v>
      </c>
      <c r="D74" s="200">
        <v>0</v>
      </c>
      <c r="E74" s="201">
        <f>1500*D74</f>
        <v>0</v>
      </c>
      <c r="F74" s="201">
        <f>C74+E74</f>
        <v>0</v>
      </c>
      <c r="G74" s="143">
        <v>0</v>
      </c>
      <c r="H74" s="202">
        <f>G74*240000*(1-A74/36)*0.5</f>
        <v>0</v>
      </c>
      <c r="I74" s="203">
        <f>1500*G74</f>
        <v>0</v>
      </c>
      <c r="J74" s="348" t="s">
        <v>300</v>
      </c>
      <c r="K74" s="349">
        <f>SUM(K56:K73)</f>
        <v>97727625.529499993</v>
      </c>
    </row>
    <row r="75" spans="1:12" x14ac:dyDescent="0.2">
      <c r="A75" s="199">
        <v>6</v>
      </c>
      <c r="B75" s="200">
        <v>0</v>
      </c>
      <c r="C75" s="201">
        <f>1500*B75*(11/12)</f>
        <v>0</v>
      </c>
      <c r="D75" s="200">
        <v>0</v>
      </c>
      <c r="E75" s="201">
        <f>1500*D75*(11/12)</f>
        <v>0</v>
      </c>
      <c r="F75" s="201">
        <f t="shared" ref="F75:F85" si="5">C75+E75</f>
        <v>0</v>
      </c>
      <c r="G75" s="143">
        <v>0</v>
      </c>
      <c r="H75" s="202">
        <f t="shared" ref="H75:H84" si="6">G75*240000*(1-A75/36)*0.5</f>
        <v>0</v>
      </c>
      <c r="I75" s="203">
        <f>1500*G75*(11/12)</f>
        <v>0</v>
      </c>
      <c r="J75" s="109" t="s">
        <v>301</v>
      </c>
      <c r="K75" s="339">
        <f>K55-K74</f>
        <v>9682806.1704999954</v>
      </c>
    </row>
    <row r="76" spans="1:12" x14ac:dyDescent="0.2">
      <c r="A76" s="199">
        <v>9</v>
      </c>
      <c r="B76" s="200">
        <v>0</v>
      </c>
      <c r="C76" s="201">
        <f>1500*B76*(10/12)</f>
        <v>0</v>
      </c>
      <c r="D76" s="200">
        <v>0</v>
      </c>
      <c r="E76" s="201">
        <f>1500*D76*(10/12)</f>
        <v>0</v>
      </c>
      <c r="F76" s="201">
        <f t="shared" si="5"/>
        <v>0</v>
      </c>
      <c r="G76" s="143">
        <v>0</v>
      </c>
      <c r="H76" s="202">
        <f t="shared" si="6"/>
        <v>0</v>
      </c>
      <c r="I76" s="203">
        <f>1500*G76*(10/12)</f>
        <v>0</v>
      </c>
      <c r="J76" s="109" t="s">
        <v>302</v>
      </c>
      <c r="K76" s="339">
        <v>45046550.200000003</v>
      </c>
    </row>
    <row r="77" spans="1:12" x14ac:dyDescent="0.2">
      <c r="A77" s="199">
        <v>12</v>
      </c>
      <c r="B77" s="200">
        <v>0</v>
      </c>
      <c r="C77" s="201">
        <f>1500*B77*(9/12)</f>
        <v>0</v>
      </c>
      <c r="D77" s="200">
        <v>100</v>
      </c>
      <c r="E77" s="201">
        <f>1500*D77*(9/12)</f>
        <v>112500</v>
      </c>
      <c r="F77" s="201">
        <f t="shared" si="5"/>
        <v>112500</v>
      </c>
      <c r="G77" s="143">
        <v>0</v>
      </c>
      <c r="H77" s="202">
        <f>G77*240000*(1-A77/36)*0.5</f>
        <v>0</v>
      </c>
      <c r="I77" s="203">
        <f>1500*G77*(9/12)</f>
        <v>0</v>
      </c>
      <c r="J77" s="348" t="s">
        <v>303</v>
      </c>
      <c r="K77" s="349">
        <f>K76+K75</f>
        <v>54729356.370499998</v>
      </c>
    </row>
    <row r="78" spans="1:12" x14ac:dyDescent="0.2">
      <c r="A78" s="199">
        <v>15</v>
      </c>
      <c r="B78" s="200">
        <v>20</v>
      </c>
      <c r="C78" s="201">
        <f>1500*B78*(8/12)</f>
        <v>20000</v>
      </c>
      <c r="D78" s="200">
        <v>0</v>
      </c>
      <c r="E78" s="201">
        <v>0</v>
      </c>
      <c r="F78" s="201">
        <f t="shared" si="5"/>
        <v>20000</v>
      </c>
      <c r="G78" s="143">
        <v>0</v>
      </c>
      <c r="H78" s="202">
        <f t="shared" si="6"/>
        <v>0</v>
      </c>
      <c r="I78" s="203">
        <f>1500*G78*(8/12)</f>
        <v>0</v>
      </c>
      <c r="J78" s="109" t="s">
        <v>305</v>
      </c>
      <c r="K78" s="341">
        <f>1/3*SUM(F2:F4)+(G13/3)*SUM(F6:F8)</f>
        <v>31381309.199999996</v>
      </c>
    </row>
    <row r="79" spans="1:12" x14ac:dyDescent="0.2">
      <c r="A79" s="199">
        <v>18</v>
      </c>
      <c r="B79" s="200">
        <v>0</v>
      </c>
      <c r="C79" s="201">
        <f>1500*B79*(7/12)</f>
        <v>0</v>
      </c>
      <c r="D79" s="200">
        <v>0</v>
      </c>
      <c r="E79" s="201">
        <v>0</v>
      </c>
      <c r="F79" s="201">
        <f t="shared" si="5"/>
        <v>0</v>
      </c>
      <c r="G79" s="143">
        <v>0</v>
      </c>
      <c r="H79" s="202">
        <f t="shared" si="6"/>
        <v>0</v>
      </c>
      <c r="I79" s="203">
        <f>1500*G79*(7/12)</f>
        <v>0</v>
      </c>
      <c r="J79" s="109" t="s">
        <v>304</v>
      </c>
      <c r="K79" s="339">
        <f>K51</f>
        <v>44647813.299999997</v>
      </c>
    </row>
    <row r="80" spans="1:12" x14ac:dyDescent="0.2">
      <c r="A80" s="199">
        <v>21</v>
      </c>
      <c r="B80" s="200">
        <v>0</v>
      </c>
      <c r="C80" s="201">
        <f>1500*B80*(6/12)</f>
        <v>0</v>
      </c>
      <c r="D80" s="200">
        <v>0</v>
      </c>
      <c r="E80" s="201">
        <v>0</v>
      </c>
      <c r="F80" s="201">
        <f t="shared" si="5"/>
        <v>0</v>
      </c>
      <c r="G80" s="143">
        <v>0</v>
      </c>
      <c r="H80" s="202">
        <f t="shared" si="6"/>
        <v>0</v>
      </c>
      <c r="I80" s="203">
        <f>1500*G80*(6/12)</f>
        <v>0</v>
      </c>
      <c r="J80" s="109" t="s">
        <v>306</v>
      </c>
      <c r="K80" s="341">
        <f>(C22*B94+C23*B99+C24*B104)*1/3+K15+K13+K9+G33+G35+G36+K12</f>
        <v>19565869.600000001</v>
      </c>
      <c r="L80" s="176"/>
    </row>
    <row r="81" spans="1:12" x14ac:dyDescent="0.2">
      <c r="A81" s="199">
        <v>24</v>
      </c>
      <c r="B81" s="200">
        <v>100</v>
      </c>
      <c r="C81" s="201">
        <f>1500*B81*(5/12)</f>
        <v>62500</v>
      </c>
      <c r="D81" s="200">
        <v>0</v>
      </c>
      <c r="E81" s="201">
        <v>0</v>
      </c>
      <c r="F81" s="201">
        <f t="shared" si="5"/>
        <v>62500</v>
      </c>
      <c r="G81" s="143">
        <v>0</v>
      </c>
      <c r="H81" s="202">
        <f t="shared" si="6"/>
        <v>0</v>
      </c>
      <c r="I81" s="203">
        <f>1500*G81*(5/12)</f>
        <v>0</v>
      </c>
      <c r="J81" s="109" t="s">
        <v>307</v>
      </c>
      <c r="K81" s="339">
        <f>K70</f>
        <v>17338813.800000001</v>
      </c>
    </row>
    <row r="82" spans="1:12" x14ac:dyDescent="0.2">
      <c r="A82" s="199">
        <v>27</v>
      </c>
      <c r="B82" s="200">
        <v>0</v>
      </c>
      <c r="C82" s="201">
        <f>1500*B82*(4/12)</f>
        <v>0</v>
      </c>
      <c r="D82" s="200">
        <v>0</v>
      </c>
      <c r="E82" s="201">
        <v>0</v>
      </c>
      <c r="F82" s="201">
        <f t="shared" si="5"/>
        <v>0</v>
      </c>
      <c r="G82" s="143">
        <v>0</v>
      </c>
      <c r="H82" s="202">
        <f t="shared" si="6"/>
        <v>0</v>
      </c>
      <c r="I82" s="203">
        <f>1500*G82*(4/12)</f>
        <v>0</v>
      </c>
      <c r="J82" s="348" t="s">
        <v>308</v>
      </c>
      <c r="K82" s="350">
        <f>-(K17+K11+K18)</f>
        <v>-15547500</v>
      </c>
      <c r="L82" s="176" t="s">
        <v>315</v>
      </c>
    </row>
    <row r="83" spans="1:12" x14ac:dyDescent="0.2">
      <c r="A83" s="199">
        <v>30</v>
      </c>
      <c r="B83" s="200">
        <v>0</v>
      </c>
      <c r="C83" s="201">
        <f>1500*B83*(3/12)</f>
        <v>0</v>
      </c>
      <c r="D83" s="200">
        <v>0</v>
      </c>
      <c r="E83" s="201">
        <v>0</v>
      </c>
      <c r="F83" s="201">
        <f t="shared" si="5"/>
        <v>0</v>
      </c>
      <c r="G83" s="143">
        <v>0</v>
      </c>
      <c r="H83" s="202">
        <f t="shared" si="6"/>
        <v>0</v>
      </c>
      <c r="I83" s="203">
        <f>1500*G83*(3/12)</f>
        <v>0</v>
      </c>
      <c r="J83" s="348" t="s">
        <v>299</v>
      </c>
      <c r="K83" s="349">
        <v>0</v>
      </c>
    </row>
    <row r="84" spans="1:12" ht="16" thickBot="1" x14ac:dyDescent="0.25">
      <c r="A84" s="199">
        <v>33</v>
      </c>
      <c r="B84" s="200">
        <v>0</v>
      </c>
      <c r="C84" s="201">
        <f>1500*B84*(2/12)</f>
        <v>0</v>
      </c>
      <c r="D84" s="200">
        <v>0</v>
      </c>
      <c r="E84" s="201">
        <v>0</v>
      </c>
      <c r="F84" s="201">
        <f t="shared" si="5"/>
        <v>0</v>
      </c>
      <c r="G84" s="143">
        <v>0</v>
      </c>
      <c r="H84" s="202">
        <f t="shared" si="6"/>
        <v>0</v>
      </c>
      <c r="I84" s="203">
        <f>1500*G84*(2/12)</f>
        <v>0</v>
      </c>
      <c r="J84" s="189" t="s">
        <v>309</v>
      </c>
      <c r="K84" s="347">
        <f>K77+K82-K83</f>
        <v>39181856.370499998</v>
      </c>
    </row>
    <row r="85" spans="1:12" ht="16" thickBot="1" x14ac:dyDescent="0.25">
      <c r="A85" s="204">
        <v>36</v>
      </c>
      <c r="B85" s="205">
        <v>0</v>
      </c>
      <c r="C85" s="206">
        <f>1500*B85*(1/12)</f>
        <v>0</v>
      </c>
      <c r="D85" s="205">
        <v>0</v>
      </c>
      <c r="E85" s="206">
        <v>0</v>
      </c>
      <c r="F85" s="206">
        <f t="shared" si="5"/>
        <v>0</v>
      </c>
      <c r="G85" s="553" t="s">
        <v>188</v>
      </c>
      <c r="H85" s="553"/>
      <c r="I85" s="554"/>
    </row>
    <row r="86" spans="1:12" ht="16" thickBot="1" x14ac:dyDescent="0.25">
      <c r="A86" s="207" t="s">
        <v>172</v>
      </c>
      <c r="B86" s="208">
        <f>SUM(B74:B85)</f>
        <v>120</v>
      </c>
      <c r="C86" s="208">
        <f>SUM(C74:C85)</f>
        <v>82500</v>
      </c>
      <c r="D86" s="208">
        <f>SUM(D74:D85)</f>
        <v>100</v>
      </c>
      <c r="E86" s="208">
        <f>SUM(E74:E85)</f>
        <v>112500</v>
      </c>
      <c r="F86" s="209">
        <f>SUM(F74:F85)</f>
        <v>195000</v>
      </c>
      <c r="G86" s="210">
        <f>SUM(G74:G84)</f>
        <v>0</v>
      </c>
      <c r="H86" s="211">
        <f>SUM(H74:H84)</f>
        <v>0</v>
      </c>
      <c r="I86" s="212">
        <f>SUM(I74:I84)</f>
        <v>0</v>
      </c>
    </row>
    <row r="87" spans="1:12" ht="15" customHeight="1" x14ac:dyDescent="0.2">
      <c r="A87" s="544" t="s">
        <v>189</v>
      </c>
      <c r="B87" s="546">
        <v>0</v>
      </c>
      <c r="C87" s="544" t="s">
        <v>190</v>
      </c>
      <c r="D87" s="546">
        <v>0</v>
      </c>
      <c r="E87" s="548" t="s">
        <v>191</v>
      </c>
      <c r="F87" s="549"/>
      <c r="G87" s="119" t="s">
        <v>274</v>
      </c>
    </row>
    <row r="88" spans="1:12" ht="17" customHeight="1" thickBot="1" x14ac:dyDescent="0.25">
      <c r="A88" s="545"/>
      <c r="B88" s="547"/>
      <c r="C88" s="545"/>
      <c r="D88" s="547"/>
      <c r="E88" s="550"/>
      <c r="F88" s="551"/>
      <c r="G88" s="119" t="s">
        <v>231</v>
      </c>
    </row>
    <row r="89" spans="1:12" ht="17" customHeight="1" thickBot="1" x14ac:dyDescent="0.25">
      <c r="A89" s="213" t="s">
        <v>192</v>
      </c>
      <c r="B89" s="214">
        <f>(20000*B86)</f>
        <v>2400000</v>
      </c>
      <c r="C89" s="215" t="s">
        <v>251</v>
      </c>
      <c r="D89" s="216"/>
      <c r="E89" s="217"/>
    </row>
    <row r="90" spans="1:12" ht="17" customHeight="1" x14ac:dyDescent="0.2">
      <c r="A90" s="218"/>
      <c r="B90" s="219"/>
      <c r="C90" s="218"/>
      <c r="D90" s="216"/>
      <c r="E90" s="217"/>
    </row>
    <row r="91" spans="1:12" ht="16" thickBot="1" x14ac:dyDescent="0.25">
      <c r="A91" s="149" t="s">
        <v>193</v>
      </c>
      <c r="C91" s="220"/>
      <c r="D91" s="221"/>
      <c r="E91" s="217"/>
    </row>
    <row r="92" spans="1:12" x14ac:dyDescent="0.2">
      <c r="A92" s="144"/>
      <c r="B92" s="187" t="s">
        <v>194</v>
      </c>
      <c r="C92" s="188"/>
      <c r="E92" s="100" t="s">
        <v>195</v>
      </c>
      <c r="F92" s="100" t="s">
        <v>196</v>
      </c>
      <c r="G92" s="222"/>
    </row>
    <row r="93" spans="1:12" x14ac:dyDescent="0.2">
      <c r="A93" s="109"/>
      <c r="B93" s="100" t="s">
        <v>197</v>
      </c>
      <c r="C93" s="223" t="s">
        <v>198</v>
      </c>
    </row>
    <row r="94" spans="1:12" x14ac:dyDescent="0.2">
      <c r="A94" s="109" t="s">
        <v>199</v>
      </c>
      <c r="B94" s="119">
        <v>99</v>
      </c>
      <c r="C94" s="224">
        <v>99</v>
      </c>
      <c r="E94" s="119">
        <v>91.8</v>
      </c>
      <c r="F94" s="119">
        <f>E94+2.6</f>
        <v>94.399999999999991</v>
      </c>
    </row>
    <row r="95" spans="1:12" ht="16" thickBot="1" x14ac:dyDescent="0.25">
      <c r="A95" s="151" t="s">
        <v>200</v>
      </c>
      <c r="B95" s="225">
        <v>50</v>
      </c>
      <c r="C95" s="226">
        <v>50</v>
      </c>
      <c r="E95" s="119"/>
      <c r="F95" s="119"/>
    </row>
    <row r="96" spans="1:12" ht="16" thickBot="1" x14ac:dyDescent="0.25">
      <c r="E96" s="119"/>
      <c r="F96" s="119"/>
    </row>
    <row r="97" spans="1:6" x14ac:dyDescent="0.2">
      <c r="A97" s="144"/>
      <c r="B97" s="187" t="s">
        <v>201</v>
      </c>
      <c r="C97" s="188"/>
      <c r="E97" s="119"/>
      <c r="F97" s="119"/>
    </row>
    <row r="98" spans="1:6" x14ac:dyDescent="0.2">
      <c r="A98" s="109"/>
      <c r="B98" s="100" t="s">
        <v>197</v>
      </c>
      <c r="C98" s="223" t="s">
        <v>198</v>
      </c>
      <c r="E98" s="119"/>
      <c r="F98" s="119"/>
    </row>
    <row r="99" spans="1:6" x14ac:dyDescent="0.2">
      <c r="A99" s="109" t="s">
        <v>199</v>
      </c>
      <c r="B99" s="119">
        <v>33</v>
      </c>
      <c r="C99" s="224">
        <v>33</v>
      </c>
      <c r="E99" s="119">
        <v>27.3</v>
      </c>
      <c r="F99" s="119">
        <f>E99+0</f>
        <v>27.3</v>
      </c>
    </row>
    <row r="100" spans="1:6" ht="16" thickBot="1" x14ac:dyDescent="0.25">
      <c r="A100" s="151" t="s">
        <v>200</v>
      </c>
      <c r="B100" s="225">
        <v>20</v>
      </c>
      <c r="C100" s="226">
        <v>20</v>
      </c>
      <c r="E100" s="119"/>
      <c r="F100" s="119"/>
    </row>
    <row r="101" spans="1:6" ht="16" thickBot="1" x14ac:dyDescent="0.25">
      <c r="E101" s="119"/>
      <c r="F101" s="119"/>
    </row>
    <row r="102" spans="1:6" x14ac:dyDescent="0.2">
      <c r="A102" s="144"/>
      <c r="B102" s="187" t="s">
        <v>202</v>
      </c>
      <c r="C102" s="188"/>
      <c r="E102" s="119"/>
      <c r="F102" s="119"/>
    </row>
    <row r="103" spans="1:6" x14ac:dyDescent="0.2">
      <c r="A103" s="109"/>
      <c r="B103" s="100" t="s">
        <v>197</v>
      </c>
      <c r="C103" s="223" t="s">
        <v>198</v>
      </c>
      <c r="E103" s="119"/>
      <c r="F103" s="119"/>
    </row>
    <row r="104" spans="1:6" x14ac:dyDescent="0.2">
      <c r="A104" s="109" t="s">
        <v>199</v>
      </c>
      <c r="B104" s="119">
        <v>366</v>
      </c>
      <c r="C104" s="224">
        <v>366</v>
      </c>
      <c r="E104" s="119">
        <v>272.60000000000002</v>
      </c>
      <c r="F104" s="119">
        <f>E104+0</f>
        <v>272.60000000000002</v>
      </c>
    </row>
    <row r="105" spans="1:6" ht="16" thickBot="1" x14ac:dyDescent="0.25">
      <c r="A105" s="151" t="s">
        <v>200</v>
      </c>
      <c r="B105" s="225">
        <v>250</v>
      </c>
      <c r="C105" s="226">
        <v>250</v>
      </c>
    </row>
    <row r="108" spans="1:6" x14ac:dyDescent="0.2">
      <c r="A108" s="113" t="s">
        <v>203</v>
      </c>
      <c r="B108" s="149"/>
      <c r="C108" s="100" t="s">
        <v>17</v>
      </c>
    </row>
    <row r="109" spans="1:6" x14ac:dyDescent="0.2">
      <c r="A109" s="227">
        <v>73.599999999999994</v>
      </c>
      <c r="B109" s="126" t="s">
        <v>79</v>
      </c>
      <c r="C109" s="303" t="s">
        <v>257</v>
      </c>
    </row>
    <row r="110" spans="1:6" x14ac:dyDescent="0.2">
      <c r="A110" s="227">
        <v>17.100000000000001</v>
      </c>
      <c r="B110" s="126" t="s">
        <v>82</v>
      </c>
      <c r="C110" s="100" t="s">
        <v>258</v>
      </c>
    </row>
    <row r="111" spans="1:6" x14ac:dyDescent="0.2">
      <c r="A111" s="227">
        <v>203.9</v>
      </c>
      <c r="B111" s="126" t="s">
        <v>84</v>
      </c>
      <c r="C111" s="100" t="s">
        <v>259</v>
      </c>
    </row>
    <row r="113" spans="1:2" x14ac:dyDescent="0.2">
      <c r="A113" s="113" t="s">
        <v>204</v>
      </c>
    </row>
    <row r="114" spans="1:2" ht="16" x14ac:dyDescent="0.2">
      <c r="A114" s="103" t="s">
        <v>79</v>
      </c>
      <c r="B114" s="228">
        <v>0.94</v>
      </c>
    </row>
    <row r="115" spans="1:2" ht="16" x14ac:dyDescent="0.2">
      <c r="A115" s="103" t="s">
        <v>118</v>
      </c>
      <c r="B115" s="228">
        <v>0.13</v>
      </c>
    </row>
    <row r="116" spans="1:2" ht="16" x14ac:dyDescent="0.2">
      <c r="A116" s="103" t="s">
        <v>84</v>
      </c>
      <c r="B116" s="228">
        <v>2.5099999999999998</v>
      </c>
    </row>
  </sheetData>
  <mergeCells count="23">
    <mergeCell ref="C45:D47"/>
    <mergeCell ref="B54:C54"/>
    <mergeCell ref="B72:I72"/>
    <mergeCell ref="G85:I85"/>
    <mergeCell ref="A87:A88"/>
    <mergeCell ref="B87:B88"/>
    <mergeCell ref="C87:C88"/>
    <mergeCell ref="D87:D88"/>
    <mergeCell ref="E87:F88"/>
    <mergeCell ref="C12:D12"/>
    <mergeCell ref="E12:F12"/>
    <mergeCell ref="D26:D28"/>
    <mergeCell ref="C30:C32"/>
    <mergeCell ref="G39:H40"/>
    <mergeCell ref="C40:D42"/>
    <mergeCell ref="D22:D24"/>
    <mergeCell ref="C11:D11"/>
    <mergeCell ref="E11:F11"/>
    <mergeCell ref="A9:B9"/>
    <mergeCell ref="C9:D9"/>
    <mergeCell ref="E9:F9"/>
    <mergeCell ref="C10:D10"/>
    <mergeCell ref="E10:F1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34690-44C0-0D41-B7C5-E93C9C0488F0}">
  <dimension ref="A1:BB99"/>
  <sheetViews>
    <sheetView workbookViewId="0">
      <selection activeCell="C69" sqref="C69"/>
    </sheetView>
  </sheetViews>
  <sheetFormatPr baseColWidth="10" defaultRowHeight="16" x14ac:dyDescent="0.2"/>
  <cols>
    <col min="1" max="1" width="34.1640625" style="353" bestFit="1" customWidth="1"/>
    <col min="2" max="2" width="20.33203125" style="353" customWidth="1"/>
    <col min="3" max="3" width="10.83203125" style="353"/>
    <col min="4" max="4" width="34.1640625" style="353" bestFit="1" customWidth="1"/>
    <col min="5" max="5" width="20.33203125" style="353" customWidth="1"/>
    <col min="6" max="6" width="10.83203125" style="353"/>
    <col min="7" max="7" width="34.1640625" style="353" customWidth="1"/>
    <col min="8" max="8" width="20.33203125" style="353" customWidth="1"/>
    <col min="9" max="9" width="10.83203125" style="353"/>
    <col min="10" max="10" width="34.1640625" style="353" customWidth="1"/>
    <col min="11" max="11" width="20.33203125" style="353" customWidth="1"/>
    <col min="12" max="12" width="10.83203125" style="353"/>
    <col min="13" max="13" width="34.1640625" style="353" customWidth="1"/>
    <col min="14" max="14" width="20.33203125" style="353" bestFit="1" customWidth="1"/>
    <col min="15" max="15" width="10.83203125" style="353"/>
    <col min="16" max="16" width="34.1640625" style="353" customWidth="1"/>
    <col min="17" max="17" width="20.33203125" style="353" customWidth="1"/>
    <col min="18" max="18" width="10.83203125" style="354"/>
    <col min="19" max="19" width="13.1640625" style="353" bestFit="1" customWidth="1"/>
    <col min="20" max="23" width="10.83203125" style="353"/>
    <col min="24" max="24" width="11.6640625" style="353" bestFit="1" customWidth="1"/>
    <col min="25" max="25" width="13.33203125" style="353" bestFit="1" customWidth="1"/>
    <col min="26" max="37" width="10.83203125" style="353"/>
    <col min="38" max="38" width="11.6640625" style="353" bestFit="1" customWidth="1"/>
    <col min="39" max="39" width="13.33203125" style="353" bestFit="1" customWidth="1"/>
    <col min="40" max="40" width="10.83203125" style="353"/>
    <col min="41" max="41" width="10.83203125" style="353" hidden="1" customWidth="1"/>
    <col min="42" max="42" width="13.33203125" style="353" bestFit="1" customWidth="1"/>
    <col min="43" max="43" width="11.1640625" style="353" bestFit="1" customWidth="1"/>
    <col min="44" max="44" width="10.83203125" style="353"/>
    <col min="45" max="45" width="0" style="353" hidden="1" customWidth="1"/>
    <col min="46" max="46" width="13.33203125" style="353" bestFit="1" customWidth="1"/>
    <col min="47" max="16384" width="10.83203125" style="353"/>
  </cols>
  <sheetData>
    <row r="1" spans="1:54" ht="24" x14ac:dyDescent="0.3">
      <c r="A1" s="351" t="s">
        <v>319</v>
      </c>
      <c r="B1" s="352" t="s">
        <v>320</v>
      </c>
      <c r="D1" s="351" t="s">
        <v>319</v>
      </c>
      <c r="E1" s="352" t="s">
        <v>321</v>
      </c>
      <c r="G1" s="351" t="s">
        <v>319</v>
      </c>
      <c r="H1" s="352" t="s">
        <v>322</v>
      </c>
      <c r="J1" s="351" t="s">
        <v>319</v>
      </c>
      <c r="K1" s="352" t="s">
        <v>323</v>
      </c>
      <c r="M1" s="351" t="s">
        <v>319</v>
      </c>
      <c r="N1" s="352" t="s">
        <v>324</v>
      </c>
      <c r="P1" s="351" t="s">
        <v>319</v>
      </c>
      <c r="Q1" s="352" t="s">
        <v>325</v>
      </c>
      <c r="S1" s="573"/>
      <c r="T1" s="573"/>
      <c r="U1" s="425"/>
      <c r="V1" s="426"/>
      <c r="W1" s="427"/>
      <c r="AL1" s="355" t="s">
        <v>326</v>
      </c>
      <c r="AM1" s="356" t="s">
        <v>320</v>
      </c>
    </row>
    <row r="2" spans="1:54" ht="26" x14ac:dyDescent="0.3">
      <c r="A2" s="357" t="s">
        <v>327</v>
      </c>
      <c r="B2" s="358">
        <v>2020</v>
      </c>
      <c r="D2" s="357" t="s">
        <v>327</v>
      </c>
      <c r="E2" s="358">
        <v>2020</v>
      </c>
      <c r="G2" s="357" t="s">
        <v>327</v>
      </c>
      <c r="H2" s="358">
        <v>2020</v>
      </c>
      <c r="J2" s="357" t="s">
        <v>327</v>
      </c>
      <c r="K2" s="358">
        <v>2020</v>
      </c>
      <c r="M2" s="357" t="s">
        <v>327</v>
      </c>
      <c r="N2" s="358">
        <v>2020</v>
      </c>
      <c r="P2" s="357" t="s">
        <v>327</v>
      </c>
      <c r="Q2" s="358">
        <v>2020</v>
      </c>
      <c r="S2" s="573"/>
      <c r="T2" s="573"/>
      <c r="U2" s="427"/>
      <c r="V2" s="426"/>
      <c r="W2" s="427"/>
      <c r="AL2" s="574" t="s">
        <v>328</v>
      </c>
      <c r="AM2" s="359" t="s">
        <v>321</v>
      </c>
    </row>
    <row r="3" spans="1:54" ht="27" thickBot="1" x14ac:dyDescent="0.35">
      <c r="A3" s="357" t="s">
        <v>329</v>
      </c>
      <c r="B3" s="358">
        <v>6</v>
      </c>
      <c r="D3" s="357" t="s">
        <v>329</v>
      </c>
      <c r="E3" s="358">
        <v>1</v>
      </c>
      <c r="G3" s="357" t="s">
        <v>329</v>
      </c>
      <c r="H3" s="358">
        <v>2</v>
      </c>
      <c r="J3" s="357" t="s">
        <v>329</v>
      </c>
      <c r="K3" s="358">
        <v>3</v>
      </c>
      <c r="M3" s="357" t="s">
        <v>329</v>
      </c>
      <c r="N3" s="358">
        <v>4</v>
      </c>
      <c r="P3" s="357" t="s">
        <v>329</v>
      </c>
      <c r="Q3" s="358">
        <v>5</v>
      </c>
      <c r="AL3" s="574"/>
      <c r="AM3" s="359" t="s">
        <v>322</v>
      </c>
    </row>
    <row r="4" spans="1:54" ht="22" thickBot="1" x14ac:dyDescent="0.3">
      <c r="A4" s="578" t="s">
        <v>330</v>
      </c>
      <c r="B4" s="579"/>
      <c r="D4" s="576" t="s">
        <v>330</v>
      </c>
      <c r="E4" s="577"/>
      <c r="G4" s="576" t="s">
        <v>330</v>
      </c>
      <c r="H4" s="577"/>
      <c r="J4" s="576" t="s">
        <v>330</v>
      </c>
      <c r="K4" s="577"/>
      <c r="M4" s="576" t="s">
        <v>330</v>
      </c>
      <c r="N4" s="577"/>
      <c r="P4" s="576" t="s">
        <v>330</v>
      </c>
      <c r="Q4" s="577"/>
      <c r="S4" s="360" t="s">
        <v>320</v>
      </c>
      <c r="T4" s="361">
        <v>2018</v>
      </c>
      <c r="U4" s="361">
        <v>2019</v>
      </c>
      <c r="V4" s="362">
        <v>2020</v>
      </c>
      <c r="AL4" s="574"/>
      <c r="AM4" s="359" t="s">
        <v>323</v>
      </c>
    </row>
    <row r="5" spans="1:54" x14ac:dyDescent="0.2">
      <c r="A5" s="405" t="s">
        <v>331</v>
      </c>
      <c r="B5" s="478">
        <v>292122900</v>
      </c>
      <c r="D5" s="405" t="s">
        <v>331</v>
      </c>
      <c r="E5" s="406">
        <v>267592300</v>
      </c>
      <c r="G5" s="405" t="s">
        <v>331</v>
      </c>
      <c r="H5" s="406">
        <v>180643300</v>
      </c>
      <c r="J5" s="405" t="s">
        <v>331</v>
      </c>
      <c r="K5" s="406">
        <v>214337300</v>
      </c>
      <c r="M5" s="405" t="s">
        <v>331</v>
      </c>
      <c r="N5" s="406">
        <v>247836100</v>
      </c>
      <c r="P5" s="405" t="s">
        <v>331</v>
      </c>
      <c r="Q5" s="406">
        <v>210577300</v>
      </c>
      <c r="S5" s="363" t="s">
        <v>332</v>
      </c>
      <c r="T5" s="364">
        <v>8.6153426934718932E-2</v>
      </c>
      <c r="U5" s="364">
        <v>0.17476147109348927</v>
      </c>
      <c r="V5" s="365">
        <f>B69</f>
        <v>6.1259137905590351E-2</v>
      </c>
      <c r="AL5" s="574"/>
      <c r="AM5" s="359" t="s">
        <v>324</v>
      </c>
      <c r="AP5" s="580" t="s">
        <v>331</v>
      </c>
      <c r="AQ5" s="581"/>
      <c r="AT5" s="475" t="s">
        <v>431</v>
      </c>
      <c r="AU5" s="473" t="s">
        <v>332</v>
      </c>
      <c r="AV5" s="473" t="s">
        <v>334</v>
      </c>
      <c r="AW5" s="473" t="s">
        <v>336</v>
      </c>
      <c r="AX5" s="473" t="s">
        <v>338</v>
      </c>
      <c r="AY5" s="473" t="s">
        <v>340</v>
      </c>
      <c r="AZ5" s="473" t="s">
        <v>342</v>
      </c>
      <c r="BA5" s="473" t="s">
        <v>344</v>
      </c>
      <c r="BB5" s="474" t="s">
        <v>346</v>
      </c>
    </row>
    <row r="6" spans="1:54" ht="17" thickBot="1" x14ac:dyDescent="0.25">
      <c r="A6" s="405" t="s">
        <v>333</v>
      </c>
      <c r="B6" s="478">
        <v>0</v>
      </c>
      <c r="D6" s="405" t="s">
        <v>333</v>
      </c>
      <c r="E6" s="407">
        <v>0</v>
      </c>
      <c r="G6" s="405" t="s">
        <v>333</v>
      </c>
      <c r="H6" s="407">
        <v>23238</v>
      </c>
      <c r="J6" s="405" t="s">
        <v>333</v>
      </c>
      <c r="K6" s="407">
        <v>0</v>
      </c>
      <c r="M6" s="405" t="s">
        <v>333</v>
      </c>
      <c r="N6" s="407">
        <v>0</v>
      </c>
      <c r="P6" s="405" t="s">
        <v>333</v>
      </c>
      <c r="Q6" s="407">
        <v>0</v>
      </c>
      <c r="S6" s="363" t="s">
        <v>334</v>
      </c>
      <c r="T6" s="364">
        <v>0.11290221962088166</v>
      </c>
      <c r="U6" s="364">
        <v>0.2187125648643497</v>
      </c>
      <c r="V6" s="365">
        <f t="shared" ref="V6:V12" si="0">B70</f>
        <v>4.4272816273251386E-2</v>
      </c>
      <c r="AL6" s="575"/>
      <c r="AM6" s="366" t="s">
        <v>325</v>
      </c>
      <c r="AO6" s="466">
        <v>0</v>
      </c>
      <c r="AP6" s="462" t="s">
        <v>321</v>
      </c>
      <c r="AQ6" s="463">
        <f ca="1">OFFSET($E$5,0,AO6)</f>
        <v>267592300</v>
      </c>
      <c r="AS6" s="466">
        <v>0</v>
      </c>
      <c r="AT6" s="471" t="s">
        <v>321</v>
      </c>
      <c r="AU6" s="467">
        <f ca="1">OFFSET($E$69,0,AS6)</f>
        <v>8.4723256247453527E-2</v>
      </c>
      <c r="AV6" s="467">
        <f ca="1">OFFSET($E$70,0,AS6)</f>
        <v>6.003380510801818E-2</v>
      </c>
      <c r="AW6" s="467">
        <f ca="1">OFFSET($E$71,0,AS6)</f>
        <v>2.6905882568369868E-2</v>
      </c>
      <c r="AX6" s="467">
        <f ca="1">OFFSET($E$72,0,AS6)</f>
        <v>2.2312520303122474</v>
      </c>
      <c r="AY6" s="467">
        <f ca="1">OFFSET($E$73,0,AS6)</f>
        <v>1.8696862667050354E-2</v>
      </c>
      <c r="AZ6" s="467">
        <f ca="1">OFFSET($E$74,0,AS6)</f>
        <v>0.74999995791792007</v>
      </c>
      <c r="BA6" s="467">
        <f ca="1">OFFSET($E$75,0,AS6)</f>
        <v>1.28046584406208</v>
      </c>
      <c r="BB6" s="469">
        <f ca="1">OFFSET($E$76,0,AS6)</f>
        <v>2.6433472588876992</v>
      </c>
    </row>
    <row r="7" spans="1:54" x14ac:dyDescent="0.2">
      <c r="A7" s="405" t="s">
        <v>335</v>
      </c>
      <c r="B7" s="478">
        <v>2058482</v>
      </c>
      <c r="D7" s="405" t="s">
        <v>335</v>
      </c>
      <c r="E7" s="406">
        <v>4069167</v>
      </c>
      <c r="G7" s="405" t="s">
        <v>335</v>
      </c>
      <c r="H7" s="406">
        <v>-8017477</v>
      </c>
      <c r="J7" s="405" t="s">
        <v>335</v>
      </c>
      <c r="K7" s="406">
        <v>-5300495</v>
      </c>
      <c r="M7" s="405" t="s">
        <v>335</v>
      </c>
      <c r="N7" s="406">
        <v>-5836159</v>
      </c>
      <c r="P7" s="405" t="s">
        <v>335</v>
      </c>
      <c r="Q7" s="406">
        <v>8319195</v>
      </c>
      <c r="S7" s="363" t="s">
        <v>336</v>
      </c>
      <c r="T7" s="364">
        <v>4.8434029503102133E-2</v>
      </c>
      <c r="U7" s="364">
        <v>9.7080313523839515E-2</v>
      </c>
      <c r="V7" s="365">
        <f t="shared" si="0"/>
        <v>2.2165201701064861E-2</v>
      </c>
      <c r="AO7" s="466">
        <v>3</v>
      </c>
      <c r="AP7" s="462" t="s">
        <v>322</v>
      </c>
      <c r="AQ7" s="463">
        <f ca="1">OFFSET($E$5,0,AO7)</f>
        <v>180643300</v>
      </c>
      <c r="AS7" s="466">
        <v>3</v>
      </c>
      <c r="AT7" s="471" t="s">
        <v>322</v>
      </c>
      <c r="AU7" s="467">
        <f t="shared" ref="AU7:AU11" ca="1" si="1">OFFSET($E$69,0,AS7)</f>
        <v>-7.2370419540737361</v>
      </c>
      <c r="AV7" s="467">
        <f t="shared" ref="AV7:AV11" ca="1" si="2">OFFSET($E$70,0,AS7)</f>
        <v>-0.52207785632489256</v>
      </c>
      <c r="AW7" s="467">
        <f t="shared" ref="AW7:AW11" ca="1" si="3">OFFSET($E$71,0,AS7)</f>
        <v>-0.21702963243031986</v>
      </c>
      <c r="AX7" s="467">
        <f t="shared" ref="AX7:AX11" ca="1" si="4">OFFSET($E$72,0,AS7)</f>
        <v>2.4055602475966609</v>
      </c>
      <c r="AY7" s="467">
        <f t="shared" ref="AY7:AY11" ca="1" si="5">OFFSET($E$73,0,AS7)</f>
        <v>4.4557580993206135E-2</v>
      </c>
      <c r="AZ7" s="467">
        <f t="shared" ref="AZ7:AZ11" ca="1" si="6">OFFSET($E$74,0,AS7)</f>
        <v>1</v>
      </c>
      <c r="BA7" s="467">
        <f t="shared" ref="BA7:BA11" ca="1" si="7">OFFSET($E$75,0,AS7)</f>
        <v>11.850589736376101</v>
      </c>
      <c r="BB7" s="469">
        <f t="shared" ref="BB7:BB11" ca="1" si="8">OFFSET($E$76,0,AS7)</f>
        <v>2.5537630456236777</v>
      </c>
    </row>
    <row r="8" spans="1:54" x14ac:dyDescent="0.2">
      <c r="A8" s="405" t="s">
        <v>337</v>
      </c>
      <c r="B8" s="478">
        <v>-2275766</v>
      </c>
      <c r="D8" s="405" t="s">
        <v>337</v>
      </c>
      <c r="E8" s="406">
        <v>12010318</v>
      </c>
      <c r="G8" s="405" t="s">
        <v>337</v>
      </c>
      <c r="H8" s="406">
        <v>8020234</v>
      </c>
      <c r="J8" s="405" t="s">
        <v>337</v>
      </c>
      <c r="K8" s="406">
        <v>-2254596</v>
      </c>
      <c r="M8" s="405" t="s">
        <v>337</v>
      </c>
      <c r="N8" s="406">
        <v>601233</v>
      </c>
      <c r="P8" s="405" t="s">
        <v>337</v>
      </c>
      <c r="Q8" s="406">
        <v>594968</v>
      </c>
      <c r="S8" s="363" t="s">
        <v>338</v>
      </c>
      <c r="T8" s="364">
        <v>2.3310515515470467</v>
      </c>
      <c r="U8" s="364">
        <v>2.2529033634676257</v>
      </c>
      <c r="V8" s="365">
        <f t="shared" si="0"/>
        <v>1.9974019127073603</v>
      </c>
      <c r="AO8" s="466">
        <v>6</v>
      </c>
      <c r="AP8" s="462" t="s">
        <v>323</v>
      </c>
      <c r="AQ8" s="463">
        <f t="shared" ref="AQ8:AQ11" ca="1" si="9">OFFSET($E$5,0,AO8)</f>
        <v>214337300</v>
      </c>
      <c r="AS8" s="466">
        <v>6</v>
      </c>
      <c r="AT8" s="471" t="s">
        <v>323</v>
      </c>
      <c r="AU8" s="467">
        <f t="shared" ca="1" si="1"/>
        <v>-0.32643426454673258</v>
      </c>
      <c r="AV8" s="467">
        <f t="shared" ca="1" si="2"/>
        <v>-9.7642878359461213E-2</v>
      </c>
      <c r="AW8" s="467">
        <f t="shared" ca="1" si="3"/>
        <v>-4.9180987163690126E-2</v>
      </c>
      <c r="AX8" s="467">
        <f t="shared" ca="1" si="4"/>
        <v>1.9853785779954831</v>
      </c>
      <c r="AY8" s="467">
        <f t="shared" ca="1" si="5"/>
        <v>1.8201123979211514E-2</v>
      </c>
      <c r="AZ8" s="467">
        <f t="shared" ca="1" si="6"/>
        <v>1</v>
      </c>
      <c r="BA8" s="467">
        <f t="shared" ca="1" si="7"/>
        <v>1.9749955247436484</v>
      </c>
      <c r="BB8" s="469">
        <f t="shared" ca="1" si="8"/>
        <v>2.262923014226589</v>
      </c>
    </row>
    <row r="9" spans="1:54" x14ac:dyDescent="0.2">
      <c r="A9" s="408" t="s">
        <v>339</v>
      </c>
      <c r="B9" s="479">
        <v>291905600</v>
      </c>
      <c r="D9" s="408" t="s">
        <v>339</v>
      </c>
      <c r="E9" s="410">
        <v>283671800</v>
      </c>
      <c r="G9" s="408" t="s">
        <v>339</v>
      </c>
      <c r="H9" s="410">
        <v>180622800</v>
      </c>
      <c r="J9" s="408" t="s">
        <v>339</v>
      </c>
      <c r="K9" s="410">
        <v>206782200</v>
      </c>
      <c r="M9" s="408" t="s">
        <v>339</v>
      </c>
      <c r="N9" s="410">
        <v>242601200</v>
      </c>
      <c r="P9" s="408" t="s">
        <v>339</v>
      </c>
      <c r="Q9" s="410">
        <v>219491500</v>
      </c>
      <c r="S9" s="363" t="s">
        <v>340</v>
      </c>
      <c r="T9" s="364">
        <v>7.1295174217996318E-2</v>
      </c>
      <c r="U9" s="364">
        <v>0.1054453557317639</v>
      </c>
      <c r="V9" s="365">
        <f t="shared" si="0"/>
        <v>2.4078213826907363E-2</v>
      </c>
      <c r="AO9" s="466">
        <v>9</v>
      </c>
      <c r="AP9" s="462" t="s">
        <v>324</v>
      </c>
      <c r="AQ9" s="463">
        <f t="shared" ca="1" si="9"/>
        <v>247836100</v>
      </c>
      <c r="AS9" s="466">
        <v>9</v>
      </c>
      <c r="AT9" s="471" t="s">
        <v>324</v>
      </c>
      <c r="AU9" s="467">
        <f t="shared" ca="1" si="1"/>
        <v>6.3542474216888023E-2</v>
      </c>
      <c r="AV9" s="467">
        <f t="shared" ca="1" si="2"/>
        <v>4.9972311592125784E-2</v>
      </c>
      <c r="AW9" s="467">
        <f t="shared" ca="1" si="3"/>
        <v>2.5076867332886534E-2</v>
      </c>
      <c r="AX9" s="467">
        <f t="shared" ca="1" si="4"/>
        <v>1.9927653214718191</v>
      </c>
      <c r="AY9" s="467">
        <f t="shared" ca="1" si="5"/>
        <v>2.5492801128675996E-2</v>
      </c>
      <c r="AZ9" s="467">
        <f t="shared" ca="1" si="6"/>
        <v>0.75</v>
      </c>
      <c r="BA9" s="467">
        <f t="shared" ca="1" si="7"/>
        <v>1.4195948654942017</v>
      </c>
      <c r="BB9" s="469">
        <f t="shared" ca="1" si="8"/>
        <v>2.4042502143094895</v>
      </c>
    </row>
    <row r="10" spans="1:54" x14ac:dyDescent="0.2">
      <c r="A10" s="405" t="s">
        <v>341</v>
      </c>
      <c r="B10" s="478">
        <v>63938806</v>
      </c>
      <c r="D10" s="405" t="s">
        <v>341</v>
      </c>
      <c r="E10" s="406">
        <v>46710056</v>
      </c>
      <c r="G10" s="405" t="s">
        <v>341</v>
      </c>
      <c r="H10" s="406">
        <v>27366050</v>
      </c>
      <c r="J10" s="405" t="s">
        <v>341</v>
      </c>
      <c r="K10" s="406">
        <v>37920344</v>
      </c>
      <c r="M10" s="405" t="s">
        <v>341</v>
      </c>
      <c r="N10" s="406">
        <v>38405684</v>
      </c>
      <c r="P10" s="405" t="s">
        <v>341</v>
      </c>
      <c r="Q10" s="406">
        <v>37990380</v>
      </c>
      <c r="S10" s="363" t="s">
        <v>342</v>
      </c>
      <c r="T10" s="364">
        <v>0.5</v>
      </c>
      <c r="U10" s="364">
        <v>0.50000002971943247</v>
      </c>
      <c r="V10" s="365">
        <f t="shared" si="0"/>
        <v>0.74999994030716022</v>
      </c>
      <c r="AO10" s="466">
        <v>12</v>
      </c>
      <c r="AP10" s="462" t="s">
        <v>325</v>
      </c>
      <c r="AQ10" s="463">
        <f t="shared" ca="1" si="9"/>
        <v>210577300</v>
      </c>
      <c r="AS10" s="466">
        <v>12</v>
      </c>
      <c r="AT10" s="471" t="s">
        <v>325</v>
      </c>
      <c r="AU10" s="467">
        <f t="shared" ca="1" si="1"/>
        <v>-0.1218444241526882</v>
      </c>
      <c r="AV10" s="467">
        <f t="shared" ca="1" si="2"/>
        <v>-3.375667110955672E-2</v>
      </c>
      <c r="AW10" s="467">
        <f t="shared" ca="1" si="3"/>
        <v>-1.783608204683031E-2</v>
      </c>
      <c r="AX10" s="467">
        <f t="shared" ca="1" si="4"/>
        <v>1.8926057315124143</v>
      </c>
      <c r="AY10" s="467">
        <f t="shared" ca="1" si="5"/>
        <v>2.1534359760579956E-2</v>
      </c>
      <c r="AZ10" s="467">
        <f t="shared" ca="1" si="6"/>
        <v>1</v>
      </c>
      <c r="BA10" s="467">
        <f t="shared" ca="1" si="7"/>
        <v>1.5931653227812885</v>
      </c>
      <c r="BB10" s="469">
        <f t="shared" ca="1" si="8"/>
        <v>1.9997773899828564</v>
      </c>
    </row>
    <row r="11" spans="1:54" ht="17" thickBot="1" x14ac:dyDescent="0.25">
      <c r="A11" s="405" t="s">
        <v>343</v>
      </c>
      <c r="B11" s="478">
        <v>99066600</v>
      </c>
      <c r="D11" s="405" t="s">
        <v>343</v>
      </c>
      <c r="E11" s="406">
        <v>85812600</v>
      </c>
      <c r="G11" s="405" t="s">
        <v>343</v>
      </c>
      <c r="H11" s="406">
        <v>49342800</v>
      </c>
      <c r="J11" s="405" t="s">
        <v>343</v>
      </c>
      <c r="K11" s="406">
        <v>43810700</v>
      </c>
      <c r="M11" s="405" t="s">
        <v>343</v>
      </c>
      <c r="N11" s="406">
        <v>57724000</v>
      </c>
      <c r="P11" s="405" t="s">
        <v>343</v>
      </c>
      <c r="Q11" s="406">
        <v>56480900</v>
      </c>
      <c r="S11" s="363" t="s">
        <v>344</v>
      </c>
      <c r="T11" s="364">
        <v>1.4277542102145189</v>
      </c>
      <c r="U11" s="364">
        <v>1.1548828434031781</v>
      </c>
      <c r="V11" s="365">
        <f t="shared" si="0"/>
        <v>1.8522791358621109</v>
      </c>
      <c r="AO11" s="466">
        <v>-3</v>
      </c>
      <c r="AP11" s="464" t="s">
        <v>320</v>
      </c>
      <c r="AQ11" s="465">
        <f t="shared" ca="1" si="9"/>
        <v>292122900</v>
      </c>
      <c r="AS11" s="466">
        <v>-3</v>
      </c>
      <c r="AT11" s="472" t="s">
        <v>320</v>
      </c>
      <c r="AU11" s="468">
        <f t="shared" ca="1" si="1"/>
        <v>6.1259137905590351E-2</v>
      </c>
      <c r="AV11" s="468">
        <f t="shared" ca="1" si="2"/>
        <v>4.4272816273251386E-2</v>
      </c>
      <c r="AW11" s="468">
        <f t="shared" ca="1" si="3"/>
        <v>2.2165201701064861E-2</v>
      </c>
      <c r="AX11" s="468">
        <f t="shared" ca="1" si="4"/>
        <v>1.9974019127073603</v>
      </c>
      <c r="AY11" s="468">
        <f t="shared" ca="1" si="5"/>
        <v>2.4078213826907363E-2</v>
      </c>
      <c r="AZ11" s="468">
        <f t="shared" ca="1" si="6"/>
        <v>0.74999994030716022</v>
      </c>
      <c r="BA11" s="468">
        <f t="shared" ca="1" si="7"/>
        <v>1.8522791358621109</v>
      </c>
      <c r="BB11" s="470">
        <f t="shared" ca="1" si="8"/>
        <v>5.1018852205002272</v>
      </c>
    </row>
    <row r="12" spans="1:54" ht="17" thickBot="1" x14ac:dyDescent="0.25">
      <c r="A12" s="405" t="s">
        <v>345</v>
      </c>
      <c r="B12" s="478">
        <v>0</v>
      </c>
      <c r="D12" s="405" t="s">
        <v>345</v>
      </c>
      <c r="E12" s="440">
        <v>28096342</v>
      </c>
      <c r="G12" s="405" t="s">
        <v>345</v>
      </c>
      <c r="H12" s="406">
        <v>16737640</v>
      </c>
      <c r="J12" s="405" t="s">
        <v>345</v>
      </c>
      <c r="K12" s="406">
        <v>30336454</v>
      </c>
      <c r="M12" s="405" t="s">
        <v>345</v>
      </c>
      <c r="N12" s="406">
        <v>50365925</v>
      </c>
      <c r="P12" s="405" t="s">
        <v>345</v>
      </c>
      <c r="Q12" s="406">
        <v>32369560</v>
      </c>
      <c r="S12" s="367" t="s">
        <v>346</v>
      </c>
      <c r="T12" s="368">
        <v>2.1711560552504254</v>
      </c>
      <c r="U12" s="368">
        <v>2.7055252544350239</v>
      </c>
      <c r="V12" s="369">
        <f t="shared" si="0"/>
        <v>5.1018852205002272</v>
      </c>
    </row>
    <row r="13" spans="1:54" x14ac:dyDescent="0.2">
      <c r="A13" s="409" t="s">
        <v>347</v>
      </c>
      <c r="B13" s="411">
        <f>B9-B10-B11-B12</f>
        <v>128900194</v>
      </c>
      <c r="D13" s="409" t="s">
        <v>347</v>
      </c>
      <c r="E13" s="411">
        <f>E9-E10-E11-E12</f>
        <v>123052802</v>
      </c>
      <c r="G13" s="409" t="s">
        <v>347</v>
      </c>
      <c r="H13" s="411">
        <f>H9-H10-H11-H12</f>
        <v>87176310</v>
      </c>
      <c r="J13" s="409" t="s">
        <v>347</v>
      </c>
      <c r="K13" s="411">
        <f>K9-K10-K11-K12</f>
        <v>94714702</v>
      </c>
      <c r="M13" s="409" t="s">
        <v>347</v>
      </c>
      <c r="N13" s="411">
        <f>N9-N10-N11-N12</f>
        <v>96105591</v>
      </c>
      <c r="P13" s="409" t="s">
        <v>347</v>
      </c>
      <c r="Q13" s="411">
        <f>Q9-Q10-Q11-Q12</f>
        <v>92650660</v>
      </c>
      <c r="AP13" s="580" t="s">
        <v>339</v>
      </c>
      <c r="AQ13" s="581"/>
    </row>
    <row r="14" spans="1:54" ht="17" thickBot="1" x14ac:dyDescent="0.25">
      <c r="A14" s="405" t="s">
        <v>348</v>
      </c>
      <c r="B14" s="478">
        <v>15550000</v>
      </c>
      <c r="D14" s="405" t="s">
        <v>348</v>
      </c>
      <c r="E14" s="406">
        <v>14650000</v>
      </c>
      <c r="G14" s="405" t="s">
        <v>348</v>
      </c>
      <c r="H14" s="406">
        <v>11230000</v>
      </c>
      <c r="J14" s="405" t="s">
        <v>348</v>
      </c>
      <c r="K14" s="406">
        <v>12550000</v>
      </c>
      <c r="M14" s="405" t="s">
        <v>348</v>
      </c>
      <c r="N14" s="406">
        <v>12475000</v>
      </c>
      <c r="P14" s="405" t="s">
        <v>348</v>
      </c>
      <c r="Q14" s="406">
        <v>13000000</v>
      </c>
      <c r="AO14" s="466">
        <v>0</v>
      </c>
      <c r="AP14" s="462" t="s">
        <v>321</v>
      </c>
      <c r="AQ14" s="463">
        <f ca="1">OFFSET($E$9,0,AO14)</f>
        <v>283671800</v>
      </c>
    </row>
    <row r="15" spans="1:54" ht="17" thickBot="1" x14ac:dyDescent="0.25">
      <c r="A15" s="405" t="s">
        <v>349</v>
      </c>
      <c r="B15" s="478">
        <v>15600000</v>
      </c>
      <c r="D15" s="405" t="s">
        <v>349</v>
      </c>
      <c r="E15" s="406">
        <v>17200000</v>
      </c>
      <c r="G15" s="405" t="s">
        <v>349</v>
      </c>
      <c r="H15" s="406">
        <v>14400000</v>
      </c>
      <c r="J15" s="405" t="s">
        <v>349</v>
      </c>
      <c r="K15" s="406">
        <v>14400000</v>
      </c>
      <c r="M15" s="405" t="s">
        <v>349</v>
      </c>
      <c r="N15" s="406">
        <v>15100000</v>
      </c>
      <c r="P15" s="405" t="s">
        <v>349</v>
      </c>
      <c r="Q15" s="406">
        <v>15000000</v>
      </c>
      <c r="S15" s="360" t="s">
        <v>321</v>
      </c>
      <c r="T15" s="361">
        <v>2018</v>
      </c>
      <c r="U15" s="361">
        <v>2019</v>
      </c>
      <c r="V15" s="362">
        <v>2020</v>
      </c>
      <c r="AO15" s="466">
        <v>3</v>
      </c>
      <c r="AP15" s="462" t="s">
        <v>322</v>
      </c>
      <c r="AQ15" s="463">
        <f t="shared" ref="AQ15:AQ19" ca="1" si="10">OFFSET($E$9,0,AO15)</f>
        <v>180622800</v>
      </c>
    </row>
    <row r="16" spans="1:54" x14ac:dyDescent="0.2">
      <c r="A16" s="405" t="s">
        <v>291</v>
      </c>
      <c r="B16" s="478">
        <v>10800000</v>
      </c>
      <c r="D16" s="405" t="s">
        <v>291</v>
      </c>
      <c r="E16" s="406">
        <v>2000000</v>
      </c>
      <c r="G16" s="405" t="s">
        <v>291</v>
      </c>
      <c r="H16" s="406">
        <v>2080000</v>
      </c>
      <c r="J16" s="405" t="s">
        <v>291</v>
      </c>
      <c r="K16" s="406">
        <v>2000000</v>
      </c>
      <c r="M16" s="405" t="s">
        <v>291</v>
      </c>
      <c r="N16" s="406">
        <v>400000</v>
      </c>
      <c r="P16" s="405" t="s">
        <v>291</v>
      </c>
      <c r="Q16" s="406">
        <v>2000000</v>
      </c>
      <c r="S16" s="370" t="s">
        <v>332</v>
      </c>
      <c r="T16" s="371">
        <v>8.6153426934718932E-2</v>
      </c>
      <c r="U16" s="371">
        <v>0.17476147109348927</v>
      </c>
      <c r="V16" s="372">
        <f>E69</f>
        <v>8.4723256247453527E-2</v>
      </c>
      <c r="AO16" s="466">
        <v>6</v>
      </c>
      <c r="AP16" s="462" t="s">
        <v>323</v>
      </c>
      <c r="AQ16" s="463">
        <f t="shared" ca="1" si="10"/>
        <v>206782200</v>
      </c>
    </row>
    <row r="17" spans="1:43" x14ac:dyDescent="0.2">
      <c r="A17" s="405" t="s">
        <v>350</v>
      </c>
      <c r="B17" s="478">
        <v>746667</v>
      </c>
      <c r="D17" s="405" t="s">
        <v>350</v>
      </c>
      <c r="E17" s="406">
        <v>906667</v>
      </c>
      <c r="G17" s="405" t="s">
        <v>350</v>
      </c>
      <c r="H17" s="406">
        <v>986667</v>
      </c>
      <c r="J17" s="405" t="s">
        <v>350</v>
      </c>
      <c r="K17" s="406">
        <v>586667</v>
      </c>
      <c r="M17" s="405" t="s">
        <v>350</v>
      </c>
      <c r="N17" s="406">
        <v>606667</v>
      </c>
      <c r="P17" s="405" t="s">
        <v>350</v>
      </c>
      <c r="Q17" s="406">
        <v>506667</v>
      </c>
      <c r="S17" s="363" t="s">
        <v>334</v>
      </c>
      <c r="T17" s="364">
        <v>0.11290221962088166</v>
      </c>
      <c r="U17" s="364">
        <v>0.2187125648643497</v>
      </c>
      <c r="V17" s="365">
        <f t="shared" ref="V17:V23" si="11">E70</f>
        <v>6.003380510801818E-2</v>
      </c>
      <c r="AO17" s="466">
        <v>9</v>
      </c>
      <c r="AP17" s="462" t="s">
        <v>324</v>
      </c>
      <c r="AQ17" s="463">
        <f t="shared" ca="1" si="10"/>
        <v>242601200</v>
      </c>
    </row>
    <row r="18" spans="1:43" x14ac:dyDescent="0.2">
      <c r="A18" s="405" t="s">
        <v>351</v>
      </c>
      <c r="B18" s="478">
        <v>1196757</v>
      </c>
      <c r="D18" s="405" t="s">
        <v>351</v>
      </c>
      <c r="E18" s="406">
        <v>849125</v>
      </c>
      <c r="G18" s="405" t="s">
        <v>351</v>
      </c>
      <c r="H18" s="406">
        <v>643200</v>
      </c>
      <c r="J18" s="405" t="s">
        <v>351</v>
      </c>
      <c r="K18" s="406">
        <v>754563</v>
      </c>
      <c r="M18" s="405" t="s">
        <v>351</v>
      </c>
      <c r="N18" s="406">
        <v>453275</v>
      </c>
      <c r="P18" s="405" t="s">
        <v>351</v>
      </c>
      <c r="Q18" s="406">
        <v>681568</v>
      </c>
      <c r="S18" s="363" t="s">
        <v>336</v>
      </c>
      <c r="T18" s="364">
        <v>4.8434029503102133E-2</v>
      </c>
      <c r="U18" s="364">
        <v>9.7080313523839515E-2</v>
      </c>
      <c r="V18" s="365">
        <f t="shared" si="11"/>
        <v>2.6905882568369868E-2</v>
      </c>
      <c r="AO18" s="466">
        <v>12</v>
      </c>
      <c r="AP18" s="462" t="s">
        <v>325</v>
      </c>
      <c r="AQ18" s="463">
        <f t="shared" ca="1" si="10"/>
        <v>219491500</v>
      </c>
    </row>
    <row r="19" spans="1:43" ht="17" thickBot="1" x14ac:dyDescent="0.25">
      <c r="A19" s="405" t="s">
        <v>352</v>
      </c>
      <c r="B19" s="478">
        <v>3213307</v>
      </c>
      <c r="D19" s="405" t="s">
        <v>352</v>
      </c>
      <c r="E19" s="406">
        <v>2825203</v>
      </c>
      <c r="G19" s="405" t="s">
        <v>352</v>
      </c>
      <c r="H19" s="406">
        <v>2654892</v>
      </c>
      <c r="J19" s="405" t="s">
        <v>352</v>
      </c>
      <c r="K19" s="406">
        <v>3168792</v>
      </c>
      <c r="M19" s="405" t="s">
        <v>352</v>
      </c>
      <c r="N19" s="406">
        <v>2737196</v>
      </c>
      <c r="P19" s="405" t="s">
        <v>352</v>
      </c>
      <c r="Q19" s="406">
        <v>3729426</v>
      </c>
      <c r="S19" s="363" t="s">
        <v>338</v>
      </c>
      <c r="T19" s="364">
        <v>2.3310515515470467</v>
      </c>
      <c r="U19" s="364">
        <v>2.2529033634676257</v>
      </c>
      <c r="V19" s="365">
        <f t="shared" si="11"/>
        <v>2.2312520303122474</v>
      </c>
      <c r="AO19" s="466">
        <v>-3</v>
      </c>
      <c r="AP19" s="464" t="s">
        <v>320</v>
      </c>
      <c r="AQ19" s="465">
        <f t="shared" ca="1" si="10"/>
        <v>291905600</v>
      </c>
    </row>
    <row r="20" spans="1:43" ht="17" thickBot="1" x14ac:dyDescent="0.25">
      <c r="A20" s="373" t="s">
        <v>353</v>
      </c>
      <c r="B20" s="478">
        <v>37850000</v>
      </c>
      <c r="D20" s="373" t="s">
        <v>353</v>
      </c>
      <c r="E20" s="406">
        <v>36400000</v>
      </c>
      <c r="G20" s="373" t="s">
        <v>353</v>
      </c>
      <c r="H20" s="406">
        <v>60700000</v>
      </c>
      <c r="J20" s="373" t="s">
        <v>353</v>
      </c>
      <c r="K20" s="406">
        <v>38200000</v>
      </c>
      <c r="M20" s="373" t="s">
        <v>353</v>
      </c>
      <c r="N20" s="406">
        <v>23190000</v>
      </c>
      <c r="P20" s="373" t="s">
        <v>353</v>
      </c>
      <c r="Q20" s="406">
        <v>27277873</v>
      </c>
      <c r="S20" s="363" t="s">
        <v>340</v>
      </c>
      <c r="T20" s="364">
        <v>7.1295174217996318E-2</v>
      </c>
      <c r="U20" s="364">
        <v>0.1054453557317639</v>
      </c>
      <c r="V20" s="365">
        <f t="shared" si="11"/>
        <v>1.8696862667050354E-2</v>
      </c>
    </row>
    <row r="21" spans="1:43" x14ac:dyDescent="0.2">
      <c r="A21" s="373" t="s">
        <v>289</v>
      </c>
      <c r="B21" s="478">
        <v>9505000</v>
      </c>
      <c r="D21" s="373" t="s">
        <v>289</v>
      </c>
      <c r="E21" s="406">
        <v>9490000</v>
      </c>
      <c r="G21" s="373" t="s">
        <v>289</v>
      </c>
      <c r="H21" s="406">
        <v>8525000</v>
      </c>
      <c r="J21" s="373" t="s">
        <v>289</v>
      </c>
      <c r="K21" s="406">
        <v>7240000</v>
      </c>
      <c r="M21" s="373" t="s">
        <v>289</v>
      </c>
      <c r="N21" s="406">
        <v>7615000</v>
      </c>
      <c r="P21" s="373" t="s">
        <v>289</v>
      </c>
      <c r="Q21" s="406">
        <v>7570000</v>
      </c>
      <c r="S21" s="363" t="s">
        <v>342</v>
      </c>
      <c r="T21" s="364">
        <v>0.5</v>
      </c>
      <c r="U21" s="364">
        <v>0.50000002971943247</v>
      </c>
      <c r="V21" s="365">
        <f t="shared" si="11"/>
        <v>0.74999995791792007</v>
      </c>
      <c r="AP21" s="580" t="s">
        <v>426</v>
      </c>
      <c r="AQ21" s="581"/>
    </row>
    <row r="22" spans="1:43" x14ac:dyDescent="0.2">
      <c r="A22" s="373" t="s">
        <v>290</v>
      </c>
      <c r="B22" s="478">
        <v>27963500</v>
      </c>
      <c r="D22" s="373" t="s">
        <v>290</v>
      </c>
      <c r="E22" s="406">
        <v>31532000</v>
      </c>
      <c r="G22" s="373" t="s">
        <v>290</v>
      </c>
      <c r="H22" s="406">
        <v>25161500</v>
      </c>
      <c r="J22" s="373" t="s">
        <v>290</v>
      </c>
      <c r="K22" s="406">
        <v>26356000</v>
      </c>
      <c r="M22" s="373" t="s">
        <v>290</v>
      </c>
      <c r="N22" s="406">
        <v>27313500</v>
      </c>
      <c r="P22" s="373" t="s">
        <v>290</v>
      </c>
      <c r="Q22" s="406">
        <v>26641000</v>
      </c>
      <c r="S22" s="363" t="s">
        <v>344</v>
      </c>
      <c r="T22" s="364">
        <v>1.4277542102145189</v>
      </c>
      <c r="U22" s="364">
        <v>1.1548828434031781</v>
      </c>
      <c r="V22" s="365">
        <f t="shared" si="11"/>
        <v>1.28046584406208</v>
      </c>
      <c r="AO22" s="466">
        <v>0</v>
      </c>
      <c r="AP22" s="462" t="s">
        <v>321</v>
      </c>
      <c r="AQ22" s="463">
        <f ca="1">OFFSET($E$13,0,AO22)</f>
        <v>123052802</v>
      </c>
    </row>
    <row r="23" spans="1:43" ht="17" thickBot="1" x14ac:dyDescent="0.25">
      <c r="A23" s="412" t="s">
        <v>96</v>
      </c>
      <c r="B23" s="411">
        <f>B13-SUM(B14:B22)</f>
        <v>6474963</v>
      </c>
      <c r="D23" s="412" t="s">
        <v>96</v>
      </c>
      <c r="E23" s="411">
        <f>E13-SUM(E14:E22)</f>
        <v>7199807</v>
      </c>
      <c r="G23" s="412" t="s">
        <v>96</v>
      </c>
      <c r="H23" s="411">
        <f>H13-SUM(H14:H22)</f>
        <v>-39204949</v>
      </c>
      <c r="J23" s="412" t="s">
        <v>96</v>
      </c>
      <c r="K23" s="411">
        <f>K13-SUM(K14:K22)</f>
        <v>-10541320</v>
      </c>
      <c r="M23" s="412" t="s">
        <v>96</v>
      </c>
      <c r="N23" s="411">
        <f>N13-SUM(N14:N22)</f>
        <v>6214953</v>
      </c>
      <c r="P23" s="412" t="s">
        <v>96</v>
      </c>
      <c r="Q23" s="411">
        <f>Q13-SUM(Q14:Q22)</f>
        <v>-3755874</v>
      </c>
      <c r="S23" s="367" t="s">
        <v>346</v>
      </c>
      <c r="T23" s="368">
        <v>2.1711560552504254</v>
      </c>
      <c r="U23" s="368">
        <v>2.7055252544350239</v>
      </c>
      <c r="V23" s="369">
        <f t="shared" si="11"/>
        <v>2.6433472588876992</v>
      </c>
      <c r="AO23" s="466">
        <v>3</v>
      </c>
      <c r="AP23" s="462" t="s">
        <v>322</v>
      </c>
      <c r="AQ23" s="463">
        <f t="shared" ref="AQ23:AQ27" ca="1" si="12">OFFSET($E$13,0,AO23)</f>
        <v>87176310</v>
      </c>
    </row>
    <row r="24" spans="1:43" x14ac:dyDescent="0.2">
      <c r="A24" s="373" t="s">
        <v>354</v>
      </c>
      <c r="B24" s="478">
        <v>1486872</v>
      </c>
      <c r="D24" s="373" t="s">
        <v>354</v>
      </c>
      <c r="E24" s="406">
        <v>1259038</v>
      </c>
      <c r="G24" s="373" t="s">
        <v>354</v>
      </c>
      <c r="H24" s="406">
        <v>1685654</v>
      </c>
      <c r="J24" s="373" t="s">
        <v>354</v>
      </c>
      <c r="K24" s="406">
        <v>1304484</v>
      </c>
      <c r="M24" s="373" t="s">
        <v>354</v>
      </c>
      <c r="N24" s="406">
        <v>1860172</v>
      </c>
      <c r="P24" s="373" t="s">
        <v>354</v>
      </c>
      <c r="Q24" s="406">
        <v>1472033</v>
      </c>
      <c r="AO24" s="466">
        <v>6</v>
      </c>
      <c r="AP24" s="462" t="s">
        <v>323</v>
      </c>
      <c r="AQ24" s="463">
        <f t="shared" ca="1" si="12"/>
        <v>94714702</v>
      </c>
    </row>
    <row r="25" spans="1:43" x14ac:dyDescent="0.2">
      <c r="A25" s="373" t="s">
        <v>355</v>
      </c>
      <c r="B25" s="478">
        <v>800000</v>
      </c>
      <c r="D25" s="373" t="s">
        <v>355</v>
      </c>
      <c r="E25" s="406">
        <v>0</v>
      </c>
      <c r="G25" s="373" t="s">
        <v>355</v>
      </c>
      <c r="H25" s="406">
        <v>1400000</v>
      </c>
      <c r="J25" s="373" t="s">
        <v>355</v>
      </c>
      <c r="K25" s="406">
        <v>0</v>
      </c>
      <c r="M25" s="373" t="s">
        <v>355</v>
      </c>
      <c r="N25" s="406">
        <v>0</v>
      </c>
      <c r="P25" s="373" t="s">
        <v>355</v>
      </c>
      <c r="Q25" s="406">
        <v>0</v>
      </c>
      <c r="AO25" s="466">
        <v>9</v>
      </c>
      <c r="AP25" s="462" t="s">
        <v>324</v>
      </c>
      <c r="AQ25" s="463">
        <f t="shared" ca="1" si="12"/>
        <v>96105591</v>
      </c>
    </row>
    <row r="26" spans="1:43" ht="17" thickBot="1" x14ac:dyDescent="0.25">
      <c r="A26" s="413" t="s">
        <v>356</v>
      </c>
      <c r="B26" s="480">
        <v>287717500</v>
      </c>
      <c r="D26" s="413" t="s">
        <v>356</v>
      </c>
      <c r="E26" s="417">
        <v>277731000</v>
      </c>
      <c r="G26" s="413" t="s">
        <v>356</v>
      </c>
      <c r="H26" s="417">
        <v>222913400</v>
      </c>
      <c r="J26" s="413" t="s">
        <v>356</v>
      </c>
      <c r="K26" s="417">
        <v>218628000</v>
      </c>
      <c r="M26" s="413" t="s">
        <v>356</v>
      </c>
      <c r="N26" s="417">
        <v>238246400</v>
      </c>
      <c r="P26" s="413" t="s">
        <v>356</v>
      </c>
      <c r="Q26" s="417">
        <v>224719400</v>
      </c>
      <c r="AO26" s="466">
        <v>12</v>
      </c>
      <c r="AP26" s="462" t="s">
        <v>325</v>
      </c>
      <c r="AQ26" s="463">
        <f t="shared" ca="1" si="12"/>
        <v>92650660</v>
      </c>
    </row>
    <row r="27" spans="1:43" ht="17" thickBot="1" x14ac:dyDescent="0.25">
      <c r="A27" s="414" t="s">
        <v>276</v>
      </c>
      <c r="B27" s="481">
        <v>4188107</v>
      </c>
      <c r="D27" s="414" t="s">
        <v>276</v>
      </c>
      <c r="E27" s="418">
        <v>5940771</v>
      </c>
      <c r="G27" s="414" t="s">
        <v>276</v>
      </c>
      <c r="H27" s="418">
        <v>-42290581</v>
      </c>
      <c r="J27" s="414" t="s">
        <v>276</v>
      </c>
      <c r="K27" s="418">
        <v>-11845785</v>
      </c>
      <c r="M27" s="414" t="s">
        <v>276</v>
      </c>
      <c r="N27" s="418">
        <v>4354804</v>
      </c>
      <c r="P27" s="414" t="s">
        <v>276</v>
      </c>
      <c r="Q27" s="418">
        <v>-5227895</v>
      </c>
      <c r="S27" s="360" t="s">
        <v>322</v>
      </c>
      <c r="T27" s="361">
        <v>2018</v>
      </c>
      <c r="U27" s="361">
        <v>2019</v>
      </c>
      <c r="V27" s="362">
        <v>2020</v>
      </c>
      <c r="AO27" s="466">
        <v>-3</v>
      </c>
      <c r="AP27" s="464" t="s">
        <v>320</v>
      </c>
      <c r="AQ27" s="465">
        <f t="shared" ca="1" si="12"/>
        <v>128900194</v>
      </c>
    </row>
    <row r="28" spans="1:43" ht="17" thickBot="1" x14ac:dyDescent="0.25">
      <c r="A28" s="414" t="s">
        <v>244</v>
      </c>
      <c r="B28" s="481">
        <v>5674978.9800000004</v>
      </c>
      <c r="D28" s="414" t="s">
        <v>244</v>
      </c>
      <c r="E28" s="418">
        <v>7199808.9199999999</v>
      </c>
      <c r="G28" s="414" t="s">
        <v>244</v>
      </c>
      <c r="H28" s="418">
        <v>-40604927.359999999</v>
      </c>
      <c r="J28" s="414" t="s">
        <v>244</v>
      </c>
      <c r="K28" s="418">
        <v>-7054633.54</v>
      </c>
      <c r="M28" s="414" t="s">
        <v>244</v>
      </c>
      <c r="N28" s="418">
        <v>7373308.5599999996</v>
      </c>
      <c r="P28" s="414" t="s">
        <v>244</v>
      </c>
      <c r="Q28" s="418">
        <v>-854195.47</v>
      </c>
      <c r="S28" s="370" t="s">
        <v>332</v>
      </c>
      <c r="T28" s="371">
        <v>8.6153426934718932E-2</v>
      </c>
      <c r="U28" s="371">
        <v>0.17476147109348927</v>
      </c>
      <c r="V28" s="372">
        <f>H69</f>
        <v>-7.2370419540737361</v>
      </c>
    </row>
    <row r="29" spans="1:43" ht="17" thickBot="1" x14ac:dyDescent="0.25">
      <c r="A29" s="415" t="s">
        <v>357</v>
      </c>
      <c r="B29" s="482">
        <f>B27-B49</f>
        <v>3141080</v>
      </c>
      <c r="D29" s="415" t="s">
        <v>357</v>
      </c>
      <c r="E29" s="416">
        <f>E27-E49</f>
        <v>4455578</v>
      </c>
      <c r="G29" s="415" t="s">
        <v>357</v>
      </c>
      <c r="H29" s="416">
        <f>H27-H49</f>
        <v>-42290581</v>
      </c>
      <c r="J29" s="415" t="s">
        <v>357</v>
      </c>
      <c r="K29" s="416">
        <f>K27-K49</f>
        <v>-11845785</v>
      </c>
      <c r="M29" s="415" t="s">
        <v>357</v>
      </c>
      <c r="N29" s="416">
        <f>N27-N49</f>
        <v>3266103</v>
      </c>
      <c r="P29" s="415" t="s">
        <v>357</v>
      </c>
      <c r="Q29" s="416">
        <f>Q27-Q49</f>
        <v>-5227895</v>
      </c>
      <c r="S29" s="363" t="s">
        <v>334</v>
      </c>
      <c r="T29" s="364">
        <v>0.11290221962088166</v>
      </c>
      <c r="U29" s="364">
        <v>0.2187125648643497</v>
      </c>
      <c r="V29" s="365">
        <f t="shared" ref="V29:V35" si="13">H70</f>
        <v>-0.52207785632489256</v>
      </c>
      <c r="AP29" s="580" t="s">
        <v>427</v>
      </c>
      <c r="AQ29" s="581"/>
    </row>
    <row r="30" spans="1:43" x14ac:dyDescent="0.2">
      <c r="A30" s="374"/>
      <c r="B30" s="375"/>
      <c r="D30" s="374"/>
      <c r="E30" s="375"/>
      <c r="G30" s="374"/>
      <c r="H30" s="375"/>
      <c r="J30" s="374"/>
      <c r="K30" s="375"/>
      <c r="M30" s="374"/>
      <c r="N30" s="375"/>
      <c r="P30" s="374"/>
      <c r="Q30" s="375"/>
      <c r="S30" s="363" t="s">
        <v>336</v>
      </c>
      <c r="T30" s="364">
        <v>4.8434029503102133E-2</v>
      </c>
      <c r="U30" s="364">
        <v>9.7080313523839515E-2</v>
      </c>
      <c r="V30" s="365">
        <f t="shared" si="13"/>
        <v>-0.21702963243031986</v>
      </c>
      <c r="AO30" s="466">
        <v>0</v>
      </c>
      <c r="AP30" s="462" t="s">
        <v>321</v>
      </c>
      <c r="AQ30" s="463">
        <f ca="1">OFFSET($E$23,0,AO30)</f>
        <v>7199807</v>
      </c>
    </row>
    <row r="31" spans="1:43" ht="17" thickBot="1" x14ac:dyDescent="0.25">
      <c r="B31" s="376"/>
      <c r="E31" s="376"/>
      <c r="H31" s="376"/>
      <c r="K31" s="376"/>
      <c r="N31" s="376"/>
      <c r="Q31" s="376"/>
      <c r="S31" s="363" t="s">
        <v>338</v>
      </c>
      <c r="T31" s="364">
        <v>2.3310515515470467</v>
      </c>
      <c r="U31" s="364">
        <v>2.2529033634676257</v>
      </c>
      <c r="V31" s="365">
        <f t="shared" si="13"/>
        <v>2.4055602475966609</v>
      </c>
      <c r="AO31" s="466">
        <v>3</v>
      </c>
      <c r="AP31" s="462" t="s">
        <v>322</v>
      </c>
      <c r="AQ31" s="463">
        <f t="shared" ref="AQ31:AQ35" ca="1" si="14">OFFSET($E$23,0,AO31)</f>
        <v>-39204949</v>
      </c>
    </row>
    <row r="32" spans="1:43" ht="21" x14ac:dyDescent="0.25">
      <c r="A32" s="377" t="s">
        <v>358</v>
      </c>
      <c r="B32" s="378"/>
      <c r="D32" s="377" t="s">
        <v>358</v>
      </c>
      <c r="E32" s="378"/>
      <c r="G32" s="377" t="s">
        <v>358</v>
      </c>
      <c r="H32" s="378"/>
      <c r="J32" s="377" t="s">
        <v>358</v>
      </c>
      <c r="K32" s="378"/>
      <c r="M32" s="377" t="s">
        <v>358</v>
      </c>
      <c r="N32" s="378"/>
      <c r="P32" s="377" t="s">
        <v>358</v>
      </c>
      <c r="Q32" s="378"/>
      <c r="S32" s="363" t="s">
        <v>340</v>
      </c>
      <c r="T32" s="364">
        <v>7.1295174217996318E-2</v>
      </c>
      <c r="U32" s="364">
        <v>0.1054453557317639</v>
      </c>
      <c r="V32" s="365">
        <f t="shared" si="13"/>
        <v>4.4557580993206135E-2</v>
      </c>
      <c r="AO32" s="466">
        <v>6</v>
      </c>
      <c r="AP32" s="462" t="s">
        <v>323</v>
      </c>
      <c r="AQ32" s="463">
        <f t="shared" ca="1" si="14"/>
        <v>-10541320</v>
      </c>
    </row>
    <row r="33" spans="1:43" x14ac:dyDescent="0.2">
      <c r="A33" s="405" t="s">
        <v>359</v>
      </c>
      <c r="B33" s="478">
        <v>15600000</v>
      </c>
      <c r="D33" s="405" t="s">
        <v>359</v>
      </c>
      <c r="E33" s="406">
        <v>25200000</v>
      </c>
      <c r="G33" s="405" t="s">
        <v>359</v>
      </c>
      <c r="H33" s="406">
        <v>10800000</v>
      </c>
      <c r="J33" s="405" t="s">
        <v>359</v>
      </c>
      <c r="K33" s="406">
        <v>13600000</v>
      </c>
      <c r="M33" s="405" t="s">
        <v>359</v>
      </c>
      <c r="N33" s="406">
        <v>18900000</v>
      </c>
      <c r="P33" s="405" t="s">
        <v>359</v>
      </c>
      <c r="Q33" s="406">
        <v>20200000</v>
      </c>
      <c r="S33" s="363" t="s">
        <v>342</v>
      </c>
      <c r="T33" s="364">
        <v>0.5</v>
      </c>
      <c r="U33" s="364">
        <v>0.50000002971943247</v>
      </c>
      <c r="V33" s="365">
        <f t="shared" si="13"/>
        <v>1</v>
      </c>
      <c r="AO33" s="466">
        <v>9</v>
      </c>
      <c r="AP33" s="462" t="s">
        <v>324</v>
      </c>
      <c r="AQ33" s="463">
        <f t="shared" ca="1" si="14"/>
        <v>6214953</v>
      </c>
    </row>
    <row r="34" spans="1:43" x14ac:dyDescent="0.2">
      <c r="A34" s="405" t="s">
        <v>360</v>
      </c>
      <c r="B34" s="478">
        <v>1140000</v>
      </c>
      <c r="D34" s="405" t="s">
        <v>360</v>
      </c>
      <c r="E34" s="406">
        <v>1620000</v>
      </c>
      <c r="G34" s="405" t="s">
        <v>360</v>
      </c>
      <c r="H34" s="406">
        <v>2340000</v>
      </c>
      <c r="J34" s="405" t="s">
        <v>360</v>
      </c>
      <c r="K34" s="406">
        <v>820000</v>
      </c>
      <c r="M34" s="405" t="s">
        <v>360</v>
      </c>
      <c r="N34" s="406">
        <v>1040000</v>
      </c>
      <c r="P34" s="405" t="s">
        <v>360</v>
      </c>
      <c r="Q34" s="406">
        <v>420000</v>
      </c>
      <c r="S34" s="363" t="s">
        <v>344</v>
      </c>
      <c r="T34" s="364">
        <v>1.4277542102145189</v>
      </c>
      <c r="U34" s="364">
        <v>1.1548828434031781</v>
      </c>
      <c r="V34" s="365">
        <f t="shared" si="13"/>
        <v>11.850589736376101</v>
      </c>
      <c r="AO34" s="466">
        <v>12</v>
      </c>
      <c r="AP34" s="462" t="s">
        <v>325</v>
      </c>
      <c r="AQ34" s="463">
        <f t="shared" ca="1" si="14"/>
        <v>-3755874</v>
      </c>
    </row>
    <row r="35" spans="1:43" ht="17" thickBot="1" x14ac:dyDescent="0.25">
      <c r="A35" s="419" t="s">
        <v>361</v>
      </c>
      <c r="B35" s="411">
        <f>SUM(B33:B34)</f>
        <v>16740000</v>
      </c>
      <c r="D35" s="419" t="s">
        <v>361</v>
      </c>
      <c r="E35" s="411">
        <f>SUM(E33:E34)</f>
        <v>26820000</v>
      </c>
      <c r="G35" s="419" t="s">
        <v>361</v>
      </c>
      <c r="H35" s="411">
        <f>SUM(H33:H34)</f>
        <v>13140000</v>
      </c>
      <c r="J35" s="419" t="s">
        <v>361</v>
      </c>
      <c r="K35" s="411">
        <f>SUM(K33:K34)</f>
        <v>14420000</v>
      </c>
      <c r="M35" s="419" t="s">
        <v>361</v>
      </c>
      <c r="N35" s="411">
        <f>SUM(N33:N34)</f>
        <v>19940000</v>
      </c>
      <c r="P35" s="419" t="s">
        <v>361</v>
      </c>
      <c r="Q35" s="411">
        <f>SUM(Q33:Q34)</f>
        <v>20620000</v>
      </c>
      <c r="S35" s="367" t="s">
        <v>346</v>
      </c>
      <c r="T35" s="368">
        <v>2.1711560552504254</v>
      </c>
      <c r="U35" s="368">
        <v>2.7055252544350239</v>
      </c>
      <c r="V35" s="369">
        <f t="shared" si="13"/>
        <v>2.5537630456236777</v>
      </c>
      <c r="AO35" s="466">
        <v>-3</v>
      </c>
      <c r="AP35" s="464" t="s">
        <v>320</v>
      </c>
      <c r="AQ35" s="465">
        <f t="shared" ca="1" si="14"/>
        <v>6474963</v>
      </c>
    </row>
    <row r="36" spans="1:43" ht="17" thickBot="1" x14ac:dyDescent="0.25">
      <c r="A36" s="405" t="s">
        <v>362</v>
      </c>
      <c r="B36" s="478">
        <v>12474889</v>
      </c>
      <c r="D36" s="405" t="s">
        <v>362</v>
      </c>
      <c r="E36" s="406">
        <v>14485574</v>
      </c>
      <c r="G36" s="405" t="s">
        <v>362</v>
      </c>
      <c r="H36" s="406">
        <v>2398929</v>
      </c>
      <c r="J36" s="405" t="s">
        <v>362</v>
      </c>
      <c r="K36" s="406">
        <v>5115912</v>
      </c>
      <c r="M36" s="405" t="s">
        <v>362</v>
      </c>
      <c r="N36" s="406">
        <v>4580248</v>
      </c>
      <c r="P36" s="405" t="s">
        <v>362</v>
      </c>
      <c r="Q36" s="406">
        <v>18735601</v>
      </c>
    </row>
    <row r="37" spans="1:43" ht="17" thickBot="1" x14ac:dyDescent="0.25">
      <c r="A37" s="405" t="s">
        <v>363</v>
      </c>
      <c r="B37" s="478">
        <v>0</v>
      </c>
      <c r="D37" s="405" t="s">
        <v>363</v>
      </c>
      <c r="E37" s="406">
        <v>14286084</v>
      </c>
      <c r="G37" s="405" t="s">
        <v>363</v>
      </c>
      <c r="H37" s="406">
        <v>10296000</v>
      </c>
      <c r="J37" s="405" t="s">
        <v>363</v>
      </c>
      <c r="K37" s="406">
        <v>21170</v>
      </c>
      <c r="M37" s="405" t="s">
        <v>363</v>
      </c>
      <c r="N37" s="406">
        <v>2876999</v>
      </c>
      <c r="P37" s="405" t="s">
        <v>363</v>
      </c>
      <c r="Q37" s="406">
        <v>2870735</v>
      </c>
      <c r="AP37" s="580" t="s">
        <v>428</v>
      </c>
      <c r="AQ37" s="581"/>
    </row>
    <row r="38" spans="1:43" ht="17" thickBot="1" x14ac:dyDescent="0.25">
      <c r="A38" s="405" t="s">
        <v>364</v>
      </c>
      <c r="B38" s="478">
        <v>41458474</v>
      </c>
      <c r="D38" s="405" t="s">
        <v>364</v>
      </c>
      <c r="E38" s="406">
        <v>23091272</v>
      </c>
      <c r="G38" s="405" t="s">
        <v>364</v>
      </c>
      <c r="H38" s="406">
        <v>9956182</v>
      </c>
      <c r="J38" s="405" t="s">
        <v>364</v>
      </c>
      <c r="K38" s="406">
        <v>37809634</v>
      </c>
      <c r="M38" s="405" t="s">
        <v>364</v>
      </c>
      <c r="N38" s="406">
        <v>40061564</v>
      </c>
      <c r="P38" s="405" t="s">
        <v>364</v>
      </c>
      <c r="Q38" s="406">
        <v>27828337</v>
      </c>
      <c r="S38" s="360" t="s">
        <v>323</v>
      </c>
      <c r="T38" s="361">
        <v>2018</v>
      </c>
      <c r="U38" s="361">
        <v>2019</v>
      </c>
      <c r="V38" s="362">
        <v>2020</v>
      </c>
      <c r="AO38" s="466">
        <v>0</v>
      </c>
      <c r="AP38" s="462" t="s">
        <v>321</v>
      </c>
      <c r="AQ38" s="463">
        <f ca="1">OFFSET($E$51,0,AO38)</f>
        <v>43000000</v>
      </c>
    </row>
    <row r="39" spans="1:43" x14ac:dyDescent="0.2">
      <c r="A39" s="405" t="s">
        <v>365</v>
      </c>
      <c r="B39" s="478">
        <v>75578074</v>
      </c>
      <c r="D39" s="405" t="s">
        <v>365</v>
      </c>
      <c r="E39" s="406">
        <v>41246283</v>
      </c>
      <c r="G39" s="405" t="s">
        <v>365</v>
      </c>
      <c r="H39" s="406">
        <v>39302955</v>
      </c>
      <c r="J39" s="405" t="s">
        <v>365</v>
      </c>
      <c r="K39" s="406">
        <v>50591182</v>
      </c>
      <c r="M39" s="405" t="s">
        <v>365</v>
      </c>
      <c r="N39" s="406">
        <v>56909120</v>
      </c>
      <c r="P39" s="405" t="s">
        <v>365</v>
      </c>
      <c r="Q39" s="406">
        <v>41208490</v>
      </c>
      <c r="S39" s="370" t="s">
        <v>332</v>
      </c>
      <c r="T39" s="371">
        <v>8.6153426934718932E-2</v>
      </c>
      <c r="U39" s="371">
        <v>0.17476147109348927</v>
      </c>
      <c r="V39" s="372">
        <f>K69</f>
        <v>-0.32643426454673258</v>
      </c>
      <c r="AO39" s="466">
        <v>3</v>
      </c>
      <c r="AP39" s="462" t="s">
        <v>322</v>
      </c>
      <c r="AQ39" s="463">
        <f t="shared" ref="AQ39:AQ43" ca="1" si="15">OFFSET($E$51,0,AO39)</f>
        <v>49961594</v>
      </c>
    </row>
    <row r="40" spans="1:43" x14ac:dyDescent="0.2">
      <c r="A40" s="413" t="s">
        <v>366</v>
      </c>
      <c r="B40" s="420">
        <f>SUM(B36:B39)</f>
        <v>129511437</v>
      </c>
      <c r="D40" s="413" t="s">
        <v>366</v>
      </c>
      <c r="E40" s="420">
        <f>SUM(E36:E39)</f>
        <v>93109213</v>
      </c>
      <c r="G40" s="413" t="s">
        <v>366</v>
      </c>
      <c r="H40" s="420">
        <f>SUM(H36:H39)</f>
        <v>61954066</v>
      </c>
      <c r="J40" s="413" t="s">
        <v>366</v>
      </c>
      <c r="K40" s="420">
        <f>SUM(K36:K39)</f>
        <v>93537898</v>
      </c>
      <c r="M40" s="413" t="s">
        <v>366</v>
      </c>
      <c r="N40" s="420">
        <f>SUM(N36:N39)</f>
        <v>104427931</v>
      </c>
      <c r="P40" s="413" t="s">
        <v>366</v>
      </c>
      <c r="Q40" s="420">
        <f>SUM(Q36:Q39)</f>
        <v>90643163</v>
      </c>
      <c r="S40" s="363" t="s">
        <v>334</v>
      </c>
      <c r="T40" s="364">
        <v>0.11290221962088166</v>
      </c>
      <c r="U40" s="364">
        <v>0.2187125648643497</v>
      </c>
      <c r="V40" s="365">
        <f t="shared" ref="V40:V46" si="16">K70</f>
        <v>-9.7642878359461213E-2</v>
      </c>
      <c r="AO40" s="466">
        <v>6</v>
      </c>
      <c r="AP40" s="462" t="s">
        <v>323</v>
      </c>
      <c r="AQ40" s="463">
        <f t="shared" ca="1" si="15"/>
        <v>32604594</v>
      </c>
    </row>
    <row r="41" spans="1:43" ht="17" thickBot="1" x14ac:dyDescent="0.25">
      <c r="A41" s="415" t="s">
        <v>367</v>
      </c>
      <c r="B41" s="482">
        <v>146251437</v>
      </c>
      <c r="D41" s="415" t="s">
        <v>367</v>
      </c>
      <c r="E41" s="421">
        <v>119929213</v>
      </c>
      <c r="G41" s="415" t="s">
        <v>367</v>
      </c>
      <c r="H41" s="421">
        <v>75094066</v>
      </c>
      <c r="J41" s="415" t="s">
        <v>367</v>
      </c>
      <c r="K41" s="421">
        <v>107957899</v>
      </c>
      <c r="M41" s="415" t="s">
        <v>367</v>
      </c>
      <c r="N41" s="421">
        <v>124367931</v>
      </c>
      <c r="P41" s="415" t="s">
        <v>367</v>
      </c>
      <c r="Q41" s="421">
        <v>111263163</v>
      </c>
      <c r="S41" s="363" t="s">
        <v>336</v>
      </c>
      <c r="T41" s="364">
        <v>4.8434029503102133E-2</v>
      </c>
      <c r="U41" s="364">
        <v>9.7080313523839515E-2</v>
      </c>
      <c r="V41" s="365">
        <f t="shared" si="16"/>
        <v>-4.9180987163690126E-2</v>
      </c>
      <c r="AO41" s="466">
        <v>9</v>
      </c>
      <c r="AP41" s="462" t="s">
        <v>324</v>
      </c>
      <c r="AQ41" s="463">
        <f t="shared" ca="1" si="15"/>
        <v>32634594</v>
      </c>
    </row>
    <row r="42" spans="1:43" x14ac:dyDescent="0.2">
      <c r="A42" s="374"/>
      <c r="B42" s="379"/>
      <c r="D42" s="374"/>
      <c r="E42" s="379"/>
      <c r="G42" s="374"/>
      <c r="H42" s="379"/>
      <c r="J42" s="374"/>
      <c r="K42" s="379"/>
      <c r="M42" s="374"/>
      <c r="N42" s="379"/>
      <c r="P42" s="374"/>
      <c r="Q42" s="379"/>
      <c r="S42" s="363" t="s">
        <v>338</v>
      </c>
      <c r="T42" s="364">
        <v>2.3310515515470467</v>
      </c>
      <c r="U42" s="364">
        <v>2.2529033634676257</v>
      </c>
      <c r="V42" s="365">
        <f t="shared" si="16"/>
        <v>1.9853785779954831</v>
      </c>
      <c r="AO42" s="466">
        <v>12</v>
      </c>
      <c r="AP42" s="462" t="s">
        <v>325</v>
      </c>
      <c r="AQ42" s="463">
        <f t="shared" ca="1" si="15"/>
        <v>33834594</v>
      </c>
    </row>
    <row r="43" spans="1:43" ht="17" thickBot="1" x14ac:dyDescent="0.25">
      <c r="B43" s="376"/>
      <c r="E43" s="376"/>
      <c r="H43" s="376"/>
      <c r="K43" s="376"/>
      <c r="N43" s="376"/>
      <c r="Q43" s="376"/>
      <c r="S43" s="363" t="s">
        <v>340</v>
      </c>
      <c r="T43" s="364">
        <v>7.1295174217996318E-2</v>
      </c>
      <c r="U43" s="364">
        <v>0.1054453557317639</v>
      </c>
      <c r="V43" s="365">
        <f t="shared" si="16"/>
        <v>1.8201123979211514E-2</v>
      </c>
      <c r="AO43" s="466">
        <v>-3</v>
      </c>
      <c r="AP43" s="464" t="s">
        <v>320</v>
      </c>
      <c r="AQ43" s="465">
        <f t="shared" ca="1" si="15"/>
        <v>72036284</v>
      </c>
    </row>
    <row r="44" spans="1:43" ht="22" thickBot="1" x14ac:dyDescent="0.3">
      <c r="A44" s="377" t="s">
        <v>368</v>
      </c>
      <c r="B44" s="378"/>
      <c r="D44" s="377" t="s">
        <v>368</v>
      </c>
      <c r="E44" s="378"/>
      <c r="G44" s="377" t="s">
        <v>368</v>
      </c>
      <c r="H44" s="378"/>
      <c r="J44" s="377" t="s">
        <v>368</v>
      </c>
      <c r="K44" s="378"/>
      <c r="M44" s="377" t="s">
        <v>368</v>
      </c>
      <c r="N44" s="378"/>
      <c r="P44" s="377" t="s">
        <v>368</v>
      </c>
      <c r="Q44" s="378"/>
      <c r="S44" s="363" t="s">
        <v>342</v>
      </c>
      <c r="T44" s="364">
        <v>0.5</v>
      </c>
      <c r="U44" s="364">
        <v>0.50000002971943247</v>
      </c>
      <c r="V44" s="365">
        <f t="shared" si="16"/>
        <v>1</v>
      </c>
    </row>
    <row r="45" spans="1:43" x14ac:dyDescent="0.2">
      <c r="A45" s="373" t="s">
        <v>369</v>
      </c>
      <c r="B45" s="478">
        <v>19400000</v>
      </c>
      <c r="D45" s="373" t="s">
        <v>369</v>
      </c>
      <c r="E45" s="406">
        <v>19400000</v>
      </c>
      <c r="G45" s="373" t="s">
        <v>369</v>
      </c>
      <c r="H45" s="406">
        <v>19400000</v>
      </c>
      <c r="J45" s="373" t="s">
        <v>369</v>
      </c>
      <c r="K45" s="406">
        <v>19400000</v>
      </c>
      <c r="M45" s="373" t="s">
        <v>369</v>
      </c>
      <c r="N45" s="406">
        <v>19400000</v>
      </c>
      <c r="P45" s="373" t="s">
        <v>369</v>
      </c>
      <c r="Q45" s="406">
        <v>19400000</v>
      </c>
      <c r="S45" s="363" t="s">
        <v>344</v>
      </c>
      <c r="T45" s="364">
        <v>1.4277542102145189</v>
      </c>
      <c r="U45" s="364">
        <v>1.1548828434031781</v>
      </c>
      <c r="V45" s="365">
        <f t="shared" si="16"/>
        <v>1.9749955247436484</v>
      </c>
      <c r="AP45" s="580" t="s">
        <v>429</v>
      </c>
      <c r="AQ45" s="581"/>
    </row>
    <row r="46" spans="1:43" ht="17" thickBot="1" x14ac:dyDescent="0.25">
      <c r="A46" s="373" t="s">
        <v>370</v>
      </c>
      <c r="B46" s="478">
        <v>31875289</v>
      </c>
      <c r="D46" s="373" t="s">
        <v>370</v>
      </c>
      <c r="E46" s="406">
        <v>33189787</v>
      </c>
      <c r="G46" s="373" t="s">
        <v>370</v>
      </c>
      <c r="H46" s="406">
        <v>-13556372</v>
      </c>
      <c r="J46" s="373" t="s">
        <v>370</v>
      </c>
      <c r="K46" s="406">
        <v>16888424</v>
      </c>
      <c r="M46" s="373" t="s">
        <v>370</v>
      </c>
      <c r="N46" s="406">
        <v>32000312</v>
      </c>
      <c r="P46" s="373" t="s">
        <v>370</v>
      </c>
      <c r="Q46" s="406">
        <v>23506313</v>
      </c>
      <c r="S46" s="367" t="s">
        <v>346</v>
      </c>
      <c r="T46" s="368">
        <v>2.1711560552504254</v>
      </c>
      <c r="U46" s="368">
        <v>2.7055252544350239</v>
      </c>
      <c r="V46" s="369">
        <f t="shared" si="16"/>
        <v>2.262923014226589</v>
      </c>
      <c r="AO46" s="466">
        <v>0</v>
      </c>
      <c r="AP46" s="462" t="s">
        <v>321</v>
      </c>
      <c r="AQ46" s="463">
        <f ca="1">OFFSET($E$61,0,AO46)</f>
        <v>23250921</v>
      </c>
    </row>
    <row r="47" spans="1:43" x14ac:dyDescent="0.2">
      <c r="A47" s="419" t="s">
        <v>371</v>
      </c>
      <c r="B47" s="411">
        <f>B45+B46</f>
        <v>51275289</v>
      </c>
      <c r="D47" s="419" t="s">
        <v>371</v>
      </c>
      <c r="E47" s="411">
        <f>E45+E46</f>
        <v>52589787</v>
      </c>
      <c r="G47" s="419" t="s">
        <v>371</v>
      </c>
      <c r="H47" s="411">
        <f>H45+H46</f>
        <v>5843628</v>
      </c>
      <c r="J47" s="419" t="s">
        <v>371</v>
      </c>
      <c r="K47" s="411">
        <f>K45+K46</f>
        <v>36288424</v>
      </c>
      <c r="M47" s="419" t="s">
        <v>371</v>
      </c>
      <c r="N47" s="411">
        <f>N45+N46</f>
        <v>51400312</v>
      </c>
      <c r="P47" s="419" t="s">
        <v>371</v>
      </c>
      <c r="Q47" s="411">
        <f>Q45+Q46</f>
        <v>42906313</v>
      </c>
      <c r="AO47" s="466">
        <v>3</v>
      </c>
      <c r="AP47" s="462" t="s">
        <v>322</v>
      </c>
      <c r="AQ47" s="463">
        <f t="shared" ref="AQ47:AQ51" ca="1" si="17">OFFSET($E$61,0,AO47)</f>
        <v>20049539</v>
      </c>
    </row>
    <row r="48" spans="1:43" ht="17" thickBot="1" x14ac:dyDescent="0.25">
      <c r="A48" s="405" t="s">
        <v>372</v>
      </c>
      <c r="B48" s="478">
        <v>21892836</v>
      </c>
      <c r="D48" s="405" t="s">
        <v>372</v>
      </c>
      <c r="E48" s="406">
        <v>22854233</v>
      </c>
      <c r="G48" s="405" t="s">
        <v>372</v>
      </c>
      <c r="H48" s="406">
        <v>19288844</v>
      </c>
      <c r="J48" s="405" t="s">
        <v>372</v>
      </c>
      <c r="K48" s="406">
        <v>39064880</v>
      </c>
      <c r="M48" s="405" t="s">
        <v>372</v>
      </c>
      <c r="N48" s="406">
        <v>39244324</v>
      </c>
      <c r="P48" s="405" t="s">
        <v>372</v>
      </c>
      <c r="Q48" s="406">
        <v>34522256</v>
      </c>
      <c r="AO48" s="466">
        <v>6</v>
      </c>
      <c r="AP48" s="462" t="s">
        <v>323</v>
      </c>
      <c r="AQ48" s="463">
        <f t="shared" ca="1" si="17"/>
        <v>69009210</v>
      </c>
    </row>
    <row r="49" spans="1:43" ht="17" thickBot="1" x14ac:dyDescent="0.25">
      <c r="A49" s="405" t="s">
        <v>299</v>
      </c>
      <c r="B49" s="478">
        <v>1047027</v>
      </c>
      <c r="D49" s="405" t="s">
        <v>299</v>
      </c>
      <c r="E49" s="406">
        <v>1485193</v>
      </c>
      <c r="G49" s="405" t="s">
        <v>299</v>
      </c>
      <c r="H49" s="406">
        <v>0</v>
      </c>
      <c r="J49" s="405" t="s">
        <v>299</v>
      </c>
      <c r="K49" s="406">
        <v>0</v>
      </c>
      <c r="M49" s="405" t="s">
        <v>299</v>
      </c>
      <c r="N49" s="406">
        <v>1088701</v>
      </c>
      <c r="P49" s="405" t="s">
        <v>299</v>
      </c>
      <c r="Q49" s="406">
        <v>0</v>
      </c>
      <c r="S49" s="360" t="s">
        <v>324</v>
      </c>
      <c r="T49" s="361">
        <v>2018</v>
      </c>
      <c r="U49" s="361">
        <v>2019</v>
      </c>
      <c r="V49" s="362">
        <v>2020</v>
      </c>
      <c r="AO49" s="466">
        <v>9</v>
      </c>
      <c r="AP49" s="462" t="s">
        <v>324</v>
      </c>
      <c r="AQ49" s="463">
        <f t="shared" ca="1" si="17"/>
        <v>72504503</v>
      </c>
    </row>
    <row r="50" spans="1:43" x14ac:dyDescent="0.2">
      <c r="A50" s="419" t="s">
        <v>373</v>
      </c>
      <c r="B50" s="411">
        <f>B48+B49</f>
        <v>22939863</v>
      </c>
      <c r="D50" s="419" t="s">
        <v>373</v>
      </c>
      <c r="E50" s="411">
        <f>E48+E49</f>
        <v>24339426</v>
      </c>
      <c r="G50" s="419" t="s">
        <v>373</v>
      </c>
      <c r="H50" s="411">
        <f>H48+H49</f>
        <v>19288844</v>
      </c>
      <c r="J50" s="419" t="s">
        <v>373</v>
      </c>
      <c r="K50" s="411">
        <f>K48+K49</f>
        <v>39064880</v>
      </c>
      <c r="M50" s="419" t="s">
        <v>373</v>
      </c>
      <c r="N50" s="411">
        <f>N48+N49</f>
        <v>40333025</v>
      </c>
      <c r="P50" s="419" t="s">
        <v>373</v>
      </c>
      <c r="Q50" s="411">
        <f>Q48+Q49</f>
        <v>34522256</v>
      </c>
      <c r="S50" s="370" t="s">
        <v>332</v>
      </c>
      <c r="T50" s="371">
        <v>8.6153426934718932E-2</v>
      </c>
      <c r="U50" s="371">
        <v>0.17476147109348927</v>
      </c>
      <c r="V50" s="372">
        <f>N69</f>
        <v>6.3542474216888023E-2</v>
      </c>
      <c r="AO50" s="466">
        <v>12</v>
      </c>
      <c r="AP50" s="462" t="s">
        <v>325</v>
      </c>
      <c r="AQ50" s="463">
        <f t="shared" ca="1" si="17"/>
        <v>60161094</v>
      </c>
    </row>
    <row r="51" spans="1:43" ht="17" thickBot="1" x14ac:dyDescent="0.25">
      <c r="A51" s="373" t="s">
        <v>374</v>
      </c>
      <c r="B51" s="478">
        <v>72036284</v>
      </c>
      <c r="D51" s="373" t="s">
        <v>374</v>
      </c>
      <c r="E51" s="406">
        <v>43000000</v>
      </c>
      <c r="G51" s="373" t="s">
        <v>374</v>
      </c>
      <c r="H51" s="406">
        <v>49961594</v>
      </c>
      <c r="J51" s="373" t="s">
        <v>374</v>
      </c>
      <c r="K51" s="406">
        <v>32604594</v>
      </c>
      <c r="M51" s="373" t="s">
        <v>374</v>
      </c>
      <c r="N51" s="406">
        <v>32634594</v>
      </c>
      <c r="P51" s="373" t="s">
        <v>374</v>
      </c>
      <c r="Q51" s="406">
        <v>33834594</v>
      </c>
      <c r="S51" s="363" t="s">
        <v>334</v>
      </c>
      <c r="T51" s="364">
        <v>0.11290221962088166</v>
      </c>
      <c r="U51" s="364">
        <v>0.2187125648643497</v>
      </c>
      <c r="V51" s="365">
        <f t="shared" ref="V51:V57" si="18">N70</f>
        <v>4.9972311592125784E-2</v>
      </c>
      <c r="AO51" s="466">
        <v>-3</v>
      </c>
      <c r="AP51" s="464" t="s">
        <v>320</v>
      </c>
      <c r="AQ51" s="465">
        <f t="shared" ca="1" si="17"/>
        <v>46592693</v>
      </c>
    </row>
    <row r="52" spans="1:43" ht="17" thickBot="1" x14ac:dyDescent="0.25">
      <c r="A52" s="380" t="s">
        <v>375</v>
      </c>
      <c r="B52" s="483">
        <v>146251437</v>
      </c>
      <c r="D52" s="380" t="s">
        <v>375</v>
      </c>
      <c r="E52" s="422">
        <v>119929213</v>
      </c>
      <c r="G52" s="380" t="s">
        <v>375</v>
      </c>
      <c r="H52" s="422">
        <v>75094066</v>
      </c>
      <c r="J52" s="380" t="s">
        <v>375</v>
      </c>
      <c r="K52" s="422">
        <v>107957899</v>
      </c>
      <c r="M52" s="380" t="s">
        <v>375</v>
      </c>
      <c r="N52" s="422">
        <v>124367931</v>
      </c>
      <c r="P52" s="380" t="s">
        <v>375</v>
      </c>
      <c r="Q52" s="422">
        <v>111263163</v>
      </c>
      <c r="S52" s="363" t="s">
        <v>336</v>
      </c>
      <c r="T52" s="364">
        <v>4.8434029503102133E-2</v>
      </c>
      <c r="U52" s="364">
        <v>9.7080313523839515E-2</v>
      </c>
      <c r="V52" s="365">
        <f t="shared" si="18"/>
        <v>2.5076867332886534E-2</v>
      </c>
    </row>
    <row r="53" spans="1:43" x14ac:dyDescent="0.2">
      <c r="A53" s="374"/>
      <c r="B53" s="379"/>
      <c r="D53" s="374"/>
      <c r="E53" s="379"/>
      <c r="G53" s="374"/>
      <c r="H53" s="379"/>
      <c r="J53" s="374"/>
      <c r="K53" s="379"/>
      <c r="M53" s="374"/>
      <c r="N53" s="379"/>
      <c r="P53" s="374"/>
      <c r="Q53" s="379"/>
      <c r="S53" s="363" t="s">
        <v>338</v>
      </c>
      <c r="T53" s="364">
        <v>2.3310515515470467</v>
      </c>
      <c r="U53" s="364">
        <v>2.2529033634676257</v>
      </c>
      <c r="V53" s="365">
        <f t="shared" si="18"/>
        <v>1.9927653214718191</v>
      </c>
      <c r="AP53" s="580" t="s">
        <v>430</v>
      </c>
      <c r="AQ53" s="581"/>
    </row>
    <row r="54" spans="1:43" ht="17" thickBot="1" x14ac:dyDescent="0.25">
      <c r="B54" s="376"/>
      <c r="E54" s="376"/>
      <c r="H54" s="376"/>
      <c r="K54" s="376"/>
      <c r="N54" s="376"/>
      <c r="Q54" s="376"/>
      <c r="S54" s="363" t="s">
        <v>340</v>
      </c>
      <c r="T54" s="364">
        <v>7.1295174217996318E-2</v>
      </c>
      <c r="U54" s="364">
        <v>0.1054453557317639</v>
      </c>
      <c r="V54" s="365">
        <f t="shared" si="18"/>
        <v>2.5492801128675996E-2</v>
      </c>
      <c r="AP54" s="462" t="s">
        <v>321</v>
      </c>
      <c r="AQ54" s="463">
        <f ca="1">AQ46-AQ38</f>
        <v>-19749079</v>
      </c>
    </row>
    <row r="55" spans="1:43" ht="21" x14ac:dyDescent="0.25">
      <c r="A55" s="377" t="s">
        <v>376</v>
      </c>
      <c r="B55" s="381"/>
      <c r="D55" s="377" t="s">
        <v>376</v>
      </c>
      <c r="E55" s="381"/>
      <c r="G55" s="377" t="s">
        <v>376</v>
      </c>
      <c r="H55" s="381"/>
      <c r="J55" s="377" t="s">
        <v>376</v>
      </c>
      <c r="K55" s="381"/>
      <c r="M55" s="377" t="s">
        <v>376</v>
      </c>
      <c r="N55" s="381"/>
      <c r="P55" s="377" t="s">
        <v>376</v>
      </c>
      <c r="Q55" s="381"/>
      <c r="S55" s="363" t="s">
        <v>342</v>
      </c>
      <c r="T55" s="364">
        <v>0.5</v>
      </c>
      <c r="U55" s="364">
        <v>0.50000002971943247</v>
      </c>
      <c r="V55" s="365">
        <f t="shared" si="18"/>
        <v>0.75</v>
      </c>
      <c r="AP55" s="462" t="s">
        <v>322</v>
      </c>
      <c r="AQ55" s="463">
        <f t="shared" ref="AQ55:AQ59" ca="1" si="19">AQ47-AQ39</f>
        <v>-29912055</v>
      </c>
    </row>
    <row r="56" spans="1:43" x14ac:dyDescent="0.2">
      <c r="A56" s="405" t="s">
        <v>377</v>
      </c>
      <c r="B56" s="407">
        <v>11.9</v>
      </c>
      <c r="D56" s="405" t="s">
        <v>377</v>
      </c>
      <c r="E56" s="407">
        <v>6.8</v>
      </c>
      <c r="G56" s="405" t="s">
        <v>377</v>
      </c>
      <c r="H56" s="407">
        <v>-50.2</v>
      </c>
      <c r="J56" s="405" t="s">
        <v>377</v>
      </c>
      <c r="K56" s="407">
        <v>6.4</v>
      </c>
      <c r="M56" s="405" t="s">
        <v>377</v>
      </c>
      <c r="N56" s="407">
        <v>6.7</v>
      </c>
      <c r="P56" s="405" t="s">
        <v>377</v>
      </c>
      <c r="Q56" s="407">
        <v>1.6</v>
      </c>
      <c r="S56" s="363" t="s">
        <v>344</v>
      </c>
      <c r="T56" s="364">
        <v>1.4277542102145189</v>
      </c>
      <c r="U56" s="364">
        <v>1.1548828434031781</v>
      </c>
      <c r="V56" s="365">
        <f t="shared" si="18"/>
        <v>1.4195948654942017</v>
      </c>
      <c r="AP56" s="462" t="s">
        <v>323</v>
      </c>
      <c r="AQ56" s="463">
        <f t="shared" ca="1" si="19"/>
        <v>36404616</v>
      </c>
    </row>
    <row r="57" spans="1:43" ht="17" thickBot="1" x14ac:dyDescent="0.25">
      <c r="A57" s="423" t="s">
        <v>378</v>
      </c>
      <c r="B57" s="424">
        <v>25.6</v>
      </c>
      <c r="D57" s="423" t="s">
        <v>378</v>
      </c>
      <c r="E57" s="424">
        <v>14.7</v>
      </c>
      <c r="G57" s="423" t="s">
        <v>378</v>
      </c>
      <c r="H57" s="424">
        <v>0</v>
      </c>
      <c r="J57" s="423" t="s">
        <v>378</v>
      </c>
      <c r="K57" s="424">
        <v>17.8</v>
      </c>
      <c r="M57" s="423" t="s">
        <v>378</v>
      </c>
      <c r="N57" s="424">
        <v>28</v>
      </c>
      <c r="P57" s="423" t="s">
        <v>378</v>
      </c>
      <c r="Q57" s="424">
        <v>13.5</v>
      </c>
      <c r="S57" s="367" t="s">
        <v>346</v>
      </c>
      <c r="T57" s="368">
        <v>2.1711560552504254</v>
      </c>
      <c r="U57" s="368">
        <v>2.7055252544350239</v>
      </c>
      <c r="V57" s="369">
        <f t="shared" si="18"/>
        <v>2.4042502143094895</v>
      </c>
      <c r="AP57" s="462" t="s">
        <v>324</v>
      </c>
      <c r="AQ57" s="463">
        <f t="shared" ca="1" si="19"/>
        <v>39869909</v>
      </c>
    </row>
    <row r="58" spans="1:43" x14ac:dyDescent="0.2">
      <c r="A58" s="374"/>
      <c r="B58" s="379"/>
      <c r="D58" s="374"/>
      <c r="E58" s="379"/>
      <c r="G58" s="374"/>
      <c r="H58" s="379"/>
      <c r="J58" s="374"/>
      <c r="K58" s="379"/>
      <c r="M58" s="374"/>
      <c r="N58" s="379"/>
      <c r="P58" s="374"/>
      <c r="Q58" s="379"/>
      <c r="AP58" s="462" t="s">
        <v>325</v>
      </c>
      <c r="AQ58" s="463">
        <f t="shared" ca="1" si="19"/>
        <v>26326500</v>
      </c>
    </row>
    <row r="59" spans="1:43" ht="17" thickBot="1" x14ac:dyDescent="0.25">
      <c r="B59" s="376"/>
      <c r="E59" s="376"/>
      <c r="H59" s="376"/>
      <c r="K59" s="376"/>
      <c r="N59" s="376"/>
      <c r="Q59" s="376"/>
      <c r="AP59" s="464" t="s">
        <v>320</v>
      </c>
      <c r="AQ59" s="465">
        <f t="shared" ca="1" si="19"/>
        <v>-25443591</v>
      </c>
    </row>
    <row r="60" spans="1:43" ht="22" thickBot="1" x14ac:dyDescent="0.3">
      <c r="A60" s="377" t="s">
        <v>379</v>
      </c>
      <c r="B60" s="381"/>
      <c r="D60" s="377" t="s">
        <v>379</v>
      </c>
      <c r="E60" s="381"/>
      <c r="G60" s="377" t="s">
        <v>379</v>
      </c>
      <c r="H60" s="381"/>
      <c r="J60" s="377" t="s">
        <v>379</v>
      </c>
      <c r="K60" s="381"/>
      <c r="M60" s="377" t="s">
        <v>379</v>
      </c>
      <c r="N60" s="381"/>
      <c r="P60" s="377" t="s">
        <v>379</v>
      </c>
      <c r="Q60" s="381"/>
      <c r="S60" s="360" t="s">
        <v>325</v>
      </c>
      <c r="T60" s="361">
        <v>2018</v>
      </c>
      <c r="U60" s="361">
        <v>2019</v>
      </c>
      <c r="V60" s="362">
        <v>2020</v>
      </c>
    </row>
    <row r="61" spans="1:43" x14ac:dyDescent="0.2">
      <c r="A61" s="405" t="s">
        <v>380</v>
      </c>
      <c r="B61" s="478">
        <v>46592693</v>
      </c>
      <c r="D61" s="405" t="s">
        <v>380</v>
      </c>
      <c r="E61" s="406">
        <v>23250921</v>
      </c>
      <c r="G61" s="405" t="s">
        <v>380</v>
      </c>
      <c r="H61" s="406">
        <v>20049539</v>
      </c>
      <c r="J61" s="405" t="s">
        <v>380</v>
      </c>
      <c r="K61" s="406">
        <v>69009210</v>
      </c>
      <c r="M61" s="405" t="s">
        <v>380</v>
      </c>
      <c r="N61" s="406">
        <v>72504503</v>
      </c>
      <c r="P61" s="405" t="s">
        <v>380</v>
      </c>
      <c r="Q61" s="406">
        <v>60161094</v>
      </c>
      <c r="S61" s="370" t="s">
        <v>332</v>
      </c>
      <c r="T61" s="371">
        <v>8.6153426934718932E-2</v>
      </c>
      <c r="U61" s="371">
        <v>0.17476147109348927</v>
      </c>
      <c r="V61" s="372">
        <f>Q69</f>
        <v>-0.1218444241526882</v>
      </c>
      <c r="AP61" s="580" t="s">
        <v>435</v>
      </c>
      <c r="AQ61" s="581"/>
    </row>
    <row r="62" spans="1:43" x14ac:dyDescent="0.2">
      <c r="A62" s="405" t="s">
        <v>381</v>
      </c>
      <c r="B62" s="478">
        <v>58361550</v>
      </c>
      <c r="D62" s="405" t="s">
        <v>381</v>
      </c>
      <c r="E62" s="406">
        <v>47050145</v>
      </c>
      <c r="G62" s="405" t="s">
        <v>381</v>
      </c>
      <c r="H62" s="406">
        <v>41242168</v>
      </c>
      <c r="J62" s="405" t="s">
        <v>381</v>
      </c>
      <c r="K62" s="406">
        <v>35995672</v>
      </c>
      <c r="M62" s="405" t="s">
        <v>381</v>
      </c>
      <c r="N62" s="406">
        <v>42492968</v>
      </c>
      <c r="P62" s="405" t="s">
        <v>381</v>
      </c>
      <c r="Q62" s="406">
        <v>41668143</v>
      </c>
      <c r="S62" s="363" t="s">
        <v>334</v>
      </c>
      <c r="T62" s="364">
        <v>0.11290221962088166</v>
      </c>
      <c r="U62" s="364">
        <v>0.2187125648643497</v>
      </c>
      <c r="V62" s="365">
        <f t="shared" ref="V62:V68" si="20">Q70</f>
        <v>-3.375667110955672E-2</v>
      </c>
      <c r="AO62" s="466">
        <v>0</v>
      </c>
      <c r="AP62" s="462" t="s">
        <v>321</v>
      </c>
      <c r="AQ62" s="463">
        <f>SUM(E10:E12)</f>
        <v>160618998</v>
      </c>
    </row>
    <row r="63" spans="1:43" x14ac:dyDescent="0.2">
      <c r="A63" s="405" t="s">
        <v>382</v>
      </c>
      <c r="B63" s="478">
        <v>48492515</v>
      </c>
      <c r="D63" s="405" t="s">
        <v>382</v>
      </c>
      <c r="E63" s="406">
        <v>45919902</v>
      </c>
      <c r="G63" s="405" t="s">
        <v>382</v>
      </c>
      <c r="H63" s="406">
        <v>24457570</v>
      </c>
      <c r="J63" s="405" t="s">
        <v>382</v>
      </c>
      <c r="K63" s="406">
        <v>18055874</v>
      </c>
      <c r="M63" s="405" t="s">
        <v>382</v>
      </c>
      <c r="N63" s="406">
        <v>19204728</v>
      </c>
      <c r="P63" s="405" t="s">
        <v>382</v>
      </c>
      <c r="Q63" s="406">
        <v>16162848</v>
      </c>
      <c r="S63" s="363" t="s">
        <v>336</v>
      </c>
      <c r="T63" s="364">
        <v>4.8434029503102133E-2</v>
      </c>
      <c r="U63" s="364">
        <v>9.7080313523839515E-2</v>
      </c>
      <c r="V63" s="365">
        <f t="shared" si="20"/>
        <v>-1.783608204683031E-2</v>
      </c>
      <c r="AO63" s="466">
        <v>3</v>
      </c>
      <c r="AP63" s="462" t="s">
        <v>322</v>
      </c>
      <c r="AQ63" s="463">
        <f>SUM(H10:H12)</f>
        <v>93446490</v>
      </c>
    </row>
    <row r="64" spans="1:43" ht="17" thickBot="1" x14ac:dyDescent="0.25">
      <c r="A64" s="423" t="s">
        <v>383</v>
      </c>
      <c r="B64" s="484">
        <v>0</v>
      </c>
      <c r="D64" s="423" t="s">
        <v>383</v>
      </c>
      <c r="E64" s="424">
        <v>0</v>
      </c>
      <c r="G64" s="423" t="s">
        <v>383</v>
      </c>
      <c r="H64" s="424">
        <v>0</v>
      </c>
      <c r="J64" s="423" t="s">
        <v>383</v>
      </c>
      <c r="K64" s="424">
        <v>0</v>
      </c>
      <c r="M64" s="423" t="s">
        <v>383</v>
      </c>
      <c r="N64" s="424">
        <v>0</v>
      </c>
      <c r="P64" s="423" t="s">
        <v>383</v>
      </c>
      <c r="Q64" s="424">
        <v>0</v>
      </c>
      <c r="S64" s="363" t="s">
        <v>338</v>
      </c>
      <c r="T64" s="364">
        <v>2.3310515515470467</v>
      </c>
      <c r="U64" s="364">
        <v>2.2529033634676257</v>
      </c>
      <c r="V64" s="365">
        <f t="shared" si="20"/>
        <v>1.8926057315124143</v>
      </c>
      <c r="AO64" s="466">
        <v>6</v>
      </c>
      <c r="AP64" s="462" t="s">
        <v>323</v>
      </c>
      <c r="AQ64" s="463">
        <f>SUM(K10:K12)</f>
        <v>112067498</v>
      </c>
    </row>
    <row r="65" spans="1:43" x14ac:dyDescent="0.2">
      <c r="A65" s="374"/>
      <c r="B65" s="379"/>
      <c r="D65" s="374"/>
      <c r="E65" s="379"/>
      <c r="G65" s="374"/>
      <c r="H65" s="379"/>
      <c r="J65" s="374"/>
      <c r="K65" s="379"/>
      <c r="M65" s="374"/>
      <c r="N65" s="379"/>
      <c r="P65" s="374"/>
      <c r="Q65" s="379"/>
      <c r="S65" s="363" t="s">
        <v>340</v>
      </c>
      <c r="T65" s="364">
        <v>7.1295174217996318E-2</v>
      </c>
      <c r="U65" s="364">
        <v>0.1054453557317639</v>
      </c>
      <c r="V65" s="365">
        <f t="shared" si="20"/>
        <v>2.1534359760579956E-2</v>
      </c>
      <c r="AO65" s="466">
        <v>9</v>
      </c>
      <c r="AP65" s="462" t="s">
        <v>324</v>
      </c>
      <c r="AQ65" s="463">
        <f>SUM(N10:N12)</f>
        <v>146495609</v>
      </c>
    </row>
    <row r="66" spans="1:43" x14ac:dyDescent="0.2">
      <c r="A66" s="374"/>
      <c r="B66" s="379"/>
      <c r="D66" s="374"/>
      <c r="E66" s="379"/>
      <c r="G66" s="374"/>
      <c r="H66" s="379"/>
      <c r="J66" s="374"/>
      <c r="K66" s="379"/>
      <c r="M66" s="374"/>
      <c r="N66" s="379"/>
      <c r="P66" s="374"/>
      <c r="Q66" s="379"/>
      <c r="S66" s="363" t="s">
        <v>342</v>
      </c>
      <c r="T66" s="364">
        <v>0.5</v>
      </c>
      <c r="U66" s="364">
        <v>0.50000002971943247</v>
      </c>
      <c r="V66" s="365">
        <f t="shared" si="20"/>
        <v>1</v>
      </c>
      <c r="AO66" s="466">
        <v>12</v>
      </c>
      <c r="AP66" s="462" t="s">
        <v>325</v>
      </c>
      <c r="AQ66" s="463">
        <f>SUM(Q10:Q12)</f>
        <v>126840840</v>
      </c>
    </row>
    <row r="67" spans="1:43" ht="17" thickBot="1" x14ac:dyDescent="0.25">
      <c r="B67" s="376"/>
      <c r="E67" s="376"/>
      <c r="H67" s="376"/>
      <c r="K67" s="376"/>
      <c r="N67" s="376"/>
      <c r="Q67" s="376"/>
      <c r="S67" s="363" t="s">
        <v>344</v>
      </c>
      <c r="T67" s="364">
        <v>1.4277542102145189</v>
      </c>
      <c r="U67" s="364">
        <v>1.1548828434031781</v>
      </c>
      <c r="V67" s="365">
        <f t="shared" si="20"/>
        <v>1.5931653227812885</v>
      </c>
      <c r="AO67" s="466">
        <v>-3</v>
      </c>
      <c r="AP67" s="464" t="s">
        <v>320</v>
      </c>
      <c r="AQ67" s="465">
        <f>SUM(B10:B12)</f>
        <v>163005406</v>
      </c>
    </row>
    <row r="68" spans="1:43" ht="17" thickBot="1" x14ac:dyDescent="0.25">
      <c r="A68" s="360" t="s">
        <v>384</v>
      </c>
      <c r="B68" s="362">
        <v>2020</v>
      </c>
      <c r="D68" s="360" t="s">
        <v>432</v>
      </c>
      <c r="E68" s="362">
        <v>2020</v>
      </c>
      <c r="G68" s="360" t="s">
        <v>433</v>
      </c>
      <c r="H68" s="362">
        <v>2020</v>
      </c>
      <c r="J68" s="360" t="s">
        <v>385</v>
      </c>
      <c r="K68" s="362">
        <v>2020</v>
      </c>
      <c r="M68" s="360" t="s">
        <v>386</v>
      </c>
      <c r="N68" s="362">
        <v>2020</v>
      </c>
      <c r="P68" s="360" t="s">
        <v>387</v>
      </c>
      <c r="Q68" s="362">
        <v>2020</v>
      </c>
      <c r="S68" s="367" t="s">
        <v>346</v>
      </c>
      <c r="T68" s="368">
        <v>2.1711560552504254</v>
      </c>
      <c r="U68" s="368">
        <v>2.7055252544350239</v>
      </c>
      <c r="V68" s="369">
        <f t="shared" si="20"/>
        <v>1.9997773899828564</v>
      </c>
    </row>
    <row r="69" spans="1:43" x14ac:dyDescent="0.2">
      <c r="A69" s="370" t="s">
        <v>332</v>
      </c>
      <c r="B69" s="365">
        <f>B29/B47</f>
        <v>6.1259137905590351E-2</v>
      </c>
      <c r="C69" s="382"/>
      <c r="D69" s="370" t="s">
        <v>332</v>
      </c>
      <c r="E69" s="365">
        <f>E29/E47</f>
        <v>8.4723256247453527E-2</v>
      </c>
      <c r="F69" s="382"/>
      <c r="G69" s="370" t="s">
        <v>332</v>
      </c>
      <c r="H69" s="365">
        <f>H29/H47</f>
        <v>-7.2370419540737361</v>
      </c>
      <c r="I69" s="382"/>
      <c r="J69" s="370" t="s">
        <v>332</v>
      </c>
      <c r="K69" s="365">
        <f>K29/K47</f>
        <v>-0.32643426454673258</v>
      </c>
      <c r="L69" s="382"/>
      <c r="M69" s="370" t="s">
        <v>332</v>
      </c>
      <c r="N69" s="365">
        <f>N29/N47</f>
        <v>6.3542474216888023E-2</v>
      </c>
      <c r="O69" s="382"/>
      <c r="P69" s="370" t="s">
        <v>332</v>
      </c>
      <c r="Q69" s="365">
        <f>Q29/Q47</f>
        <v>-0.1218444241526882</v>
      </c>
      <c r="R69" s="383"/>
      <c r="AP69" s="580" t="s">
        <v>290</v>
      </c>
      <c r="AQ69" s="581"/>
    </row>
    <row r="70" spans="1:43" x14ac:dyDescent="0.2">
      <c r="A70" s="363" t="s">
        <v>334</v>
      </c>
      <c r="B70" s="365">
        <f>B23/B41</f>
        <v>4.4272816273251386E-2</v>
      </c>
      <c r="C70" s="384"/>
      <c r="D70" s="363" t="s">
        <v>334</v>
      </c>
      <c r="E70" s="365">
        <f>E23/E41</f>
        <v>6.003380510801818E-2</v>
      </c>
      <c r="F70" s="384"/>
      <c r="G70" s="363" t="s">
        <v>334</v>
      </c>
      <c r="H70" s="365">
        <f>H23/H41</f>
        <v>-0.52207785632489256</v>
      </c>
      <c r="I70" s="384"/>
      <c r="J70" s="363" t="s">
        <v>334</v>
      </c>
      <c r="K70" s="365">
        <f>K23/K41</f>
        <v>-9.7642878359461213E-2</v>
      </c>
      <c r="L70" s="384"/>
      <c r="M70" s="363" t="s">
        <v>334</v>
      </c>
      <c r="N70" s="365">
        <f>N23/N41</f>
        <v>4.9972311592125784E-2</v>
      </c>
      <c r="O70" s="384"/>
      <c r="P70" s="363" t="s">
        <v>334</v>
      </c>
      <c r="Q70" s="365">
        <f>Q23/Q41</f>
        <v>-3.375667110955672E-2</v>
      </c>
      <c r="R70" s="385"/>
      <c r="AO70" s="466">
        <v>0</v>
      </c>
      <c r="AP70" s="462" t="s">
        <v>321</v>
      </c>
      <c r="AQ70" s="463">
        <f ca="1">OFFSET($E$22,0,AO70)</f>
        <v>31532000</v>
      </c>
    </row>
    <row r="71" spans="1:43" x14ac:dyDescent="0.2">
      <c r="A71" s="363" t="s">
        <v>336</v>
      </c>
      <c r="B71" s="365">
        <f>B23/B5</f>
        <v>2.2165201701064861E-2</v>
      </c>
      <c r="C71" s="384"/>
      <c r="D71" s="363" t="s">
        <v>336</v>
      </c>
      <c r="E71" s="365">
        <f>E23/E5</f>
        <v>2.6905882568369868E-2</v>
      </c>
      <c r="F71" s="384"/>
      <c r="G71" s="363" t="s">
        <v>336</v>
      </c>
      <c r="H71" s="365">
        <f>H23/H5</f>
        <v>-0.21702963243031986</v>
      </c>
      <c r="I71" s="384"/>
      <c r="J71" s="363" t="s">
        <v>336</v>
      </c>
      <c r="K71" s="365">
        <f>K23/K5</f>
        <v>-4.9180987163690126E-2</v>
      </c>
      <c r="L71" s="384"/>
      <c r="M71" s="363" t="s">
        <v>336</v>
      </c>
      <c r="N71" s="365">
        <f>N23/N5</f>
        <v>2.5076867332886534E-2</v>
      </c>
      <c r="O71" s="384"/>
      <c r="P71" s="363" t="s">
        <v>336</v>
      </c>
      <c r="Q71" s="365">
        <f>Q23/Q5</f>
        <v>-1.783608204683031E-2</v>
      </c>
      <c r="R71" s="385"/>
      <c r="AO71" s="466">
        <v>3</v>
      </c>
      <c r="AP71" s="462" t="s">
        <v>322</v>
      </c>
      <c r="AQ71" s="463">
        <f t="shared" ref="AQ71:AQ75" ca="1" si="21">OFFSET($E$22,0,AO71)</f>
        <v>25161500</v>
      </c>
    </row>
    <row r="72" spans="1:43" x14ac:dyDescent="0.2">
      <c r="A72" s="363" t="s">
        <v>338</v>
      </c>
      <c r="B72" s="365">
        <f>B5/B41</f>
        <v>1.9974019127073603</v>
      </c>
      <c r="C72" s="384"/>
      <c r="D72" s="363" t="s">
        <v>338</v>
      </c>
      <c r="E72" s="365">
        <f>E5/E41</f>
        <v>2.2312520303122474</v>
      </c>
      <c r="F72" s="384"/>
      <c r="G72" s="363" t="s">
        <v>338</v>
      </c>
      <c r="H72" s="365">
        <f>H5/H41</f>
        <v>2.4055602475966609</v>
      </c>
      <c r="I72" s="384"/>
      <c r="J72" s="363" t="s">
        <v>338</v>
      </c>
      <c r="K72" s="365">
        <f>K5/K41</f>
        <v>1.9853785779954831</v>
      </c>
      <c r="L72" s="384"/>
      <c r="M72" s="363" t="s">
        <v>338</v>
      </c>
      <c r="N72" s="365">
        <f>N5/N41</f>
        <v>1.9927653214718191</v>
      </c>
      <c r="O72" s="384"/>
      <c r="P72" s="363" t="s">
        <v>338</v>
      </c>
      <c r="Q72" s="365">
        <f>Q5/Q41</f>
        <v>1.8926057315124143</v>
      </c>
      <c r="R72" s="385"/>
      <c r="AO72" s="466">
        <v>6</v>
      </c>
      <c r="AP72" s="462" t="s">
        <v>323</v>
      </c>
      <c r="AQ72" s="463">
        <f t="shared" ca="1" si="21"/>
        <v>26356000</v>
      </c>
    </row>
    <row r="73" spans="1:43" x14ac:dyDescent="0.2">
      <c r="A73" s="363" t="s">
        <v>340</v>
      </c>
      <c r="B73" s="365">
        <f>(B23-B27)/(B52-B47)</f>
        <v>2.4078213826907363E-2</v>
      </c>
      <c r="C73" s="384"/>
      <c r="D73" s="363" t="s">
        <v>340</v>
      </c>
      <c r="E73" s="365">
        <f>(E23-E27)/(E52-E47)</f>
        <v>1.8696862667050354E-2</v>
      </c>
      <c r="F73" s="384"/>
      <c r="G73" s="363" t="s">
        <v>340</v>
      </c>
      <c r="H73" s="365">
        <f>(H23-H27)/(H52-H47)</f>
        <v>4.4557580993206135E-2</v>
      </c>
      <c r="I73" s="384"/>
      <c r="J73" s="363" t="s">
        <v>340</v>
      </c>
      <c r="K73" s="365">
        <f>(K23-K27)/(K52-K47)</f>
        <v>1.8201123979211514E-2</v>
      </c>
      <c r="L73" s="384"/>
      <c r="M73" s="363" t="s">
        <v>340</v>
      </c>
      <c r="N73" s="365">
        <f>(N23-N27)/(N52-N47)</f>
        <v>2.5492801128675996E-2</v>
      </c>
      <c r="O73" s="384"/>
      <c r="P73" s="363" t="s">
        <v>340</v>
      </c>
      <c r="Q73" s="365">
        <f>(Q23-Q27)/(Q52-Q47)</f>
        <v>2.1534359760579956E-2</v>
      </c>
      <c r="R73" s="385"/>
      <c r="AO73" s="466">
        <v>9</v>
      </c>
      <c r="AP73" s="462" t="s">
        <v>324</v>
      </c>
      <c r="AQ73" s="463">
        <f t="shared" ca="1" si="21"/>
        <v>27313500</v>
      </c>
    </row>
    <row r="74" spans="1:43" x14ac:dyDescent="0.2">
      <c r="A74" s="363" t="s">
        <v>342</v>
      </c>
      <c r="B74" s="365">
        <f>B29/B27</f>
        <v>0.74999994030716022</v>
      </c>
      <c r="C74" s="384"/>
      <c r="D74" s="363" t="s">
        <v>342</v>
      </c>
      <c r="E74" s="365">
        <f>E29/E27</f>
        <v>0.74999995791792007</v>
      </c>
      <c r="F74" s="384"/>
      <c r="G74" s="363" t="s">
        <v>342</v>
      </c>
      <c r="H74" s="365">
        <f>H29/H27</f>
        <v>1</v>
      </c>
      <c r="I74" s="384"/>
      <c r="J74" s="363" t="s">
        <v>342</v>
      </c>
      <c r="K74" s="365">
        <f>K29/K27</f>
        <v>1</v>
      </c>
      <c r="L74" s="384"/>
      <c r="M74" s="363" t="s">
        <v>342</v>
      </c>
      <c r="N74" s="365">
        <f>N29/N27</f>
        <v>0.75</v>
      </c>
      <c r="O74" s="384"/>
      <c r="P74" s="363" t="s">
        <v>342</v>
      </c>
      <c r="Q74" s="365">
        <f>Q29/Q27</f>
        <v>1</v>
      </c>
      <c r="R74" s="385"/>
      <c r="AO74" s="466">
        <v>12</v>
      </c>
      <c r="AP74" s="462" t="s">
        <v>325</v>
      </c>
      <c r="AQ74" s="463">
        <f t="shared" ca="1" si="21"/>
        <v>26641000</v>
      </c>
    </row>
    <row r="75" spans="1:43" ht="17" thickBot="1" x14ac:dyDescent="0.25">
      <c r="A75" s="363" t="s">
        <v>344</v>
      </c>
      <c r="B75" s="365">
        <f>(B52-B47)/B47</f>
        <v>1.8522791358621109</v>
      </c>
      <c r="C75" s="384"/>
      <c r="D75" s="363" t="s">
        <v>344</v>
      </c>
      <c r="E75" s="365">
        <f>(E52-E47)/E47</f>
        <v>1.28046584406208</v>
      </c>
      <c r="F75" s="384"/>
      <c r="G75" s="363" t="s">
        <v>344</v>
      </c>
      <c r="H75" s="365">
        <f>(H52-H47)/H47</f>
        <v>11.850589736376101</v>
      </c>
      <c r="I75" s="384"/>
      <c r="J75" s="363" t="s">
        <v>344</v>
      </c>
      <c r="K75" s="365">
        <f>(K52-K47)/K47</f>
        <v>1.9749955247436484</v>
      </c>
      <c r="L75" s="384"/>
      <c r="M75" s="363" t="s">
        <v>344</v>
      </c>
      <c r="N75" s="365">
        <f>(N52-N47)/N47</f>
        <v>1.4195948654942017</v>
      </c>
      <c r="O75" s="384"/>
      <c r="P75" s="363" t="s">
        <v>344</v>
      </c>
      <c r="Q75" s="365">
        <f>(Q52-Q47)/Q47</f>
        <v>1.5931653227812885</v>
      </c>
      <c r="R75" s="385"/>
      <c r="AO75" s="466">
        <v>-3</v>
      </c>
      <c r="AP75" s="464" t="s">
        <v>320</v>
      </c>
      <c r="AQ75" s="465">
        <f t="shared" ca="1" si="21"/>
        <v>27963500</v>
      </c>
    </row>
    <row r="76" spans="1:43" ht="17" thickBot="1" x14ac:dyDescent="0.25">
      <c r="A76" s="367" t="s">
        <v>346</v>
      </c>
      <c r="B76" s="369">
        <f>(B40-B36-B37)/B50</f>
        <v>5.1018852205002272</v>
      </c>
      <c r="C76" s="384"/>
      <c r="D76" s="367" t="s">
        <v>346</v>
      </c>
      <c r="E76" s="369">
        <f>(E40-E36-E37)/E50</f>
        <v>2.6433472588876992</v>
      </c>
      <c r="F76" s="384"/>
      <c r="G76" s="367" t="s">
        <v>346</v>
      </c>
      <c r="H76" s="369">
        <f>(H40-H36-H37)/H50</f>
        <v>2.5537630456236777</v>
      </c>
      <c r="I76" s="384"/>
      <c r="J76" s="367" t="s">
        <v>346</v>
      </c>
      <c r="K76" s="369">
        <f>(K40-K36-K37)/K50</f>
        <v>2.262923014226589</v>
      </c>
      <c r="L76" s="384"/>
      <c r="M76" s="367" t="s">
        <v>346</v>
      </c>
      <c r="N76" s="369">
        <f>(N40-N36-N37)/N50</f>
        <v>2.4042502143094895</v>
      </c>
      <c r="O76" s="384"/>
      <c r="P76" s="367" t="s">
        <v>346</v>
      </c>
      <c r="Q76" s="369">
        <f>(Q40-Q36-Q37)/Q50</f>
        <v>1.9997773899828564</v>
      </c>
      <c r="R76" s="385"/>
    </row>
    <row r="77" spans="1:43" x14ac:dyDescent="0.2">
      <c r="C77" s="384"/>
      <c r="F77" s="384"/>
      <c r="I77" s="384"/>
      <c r="L77" s="384"/>
      <c r="O77" s="384"/>
      <c r="R77" s="385"/>
      <c r="AP77" s="580" t="s">
        <v>345</v>
      </c>
      <c r="AQ77" s="581"/>
    </row>
    <row r="78" spans="1:43" x14ac:dyDescent="0.2">
      <c r="AO78" s="466">
        <v>0</v>
      </c>
      <c r="AP78" s="462" t="s">
        <v>321</v>
      </c>
      <c r="AQ78" s="463">
        <f ca="1">OFFSET($E$12,0,AO78)</f>
        <v>28096342</v>
      </c>
    </row>
    <row r="79" spans="1:43" x14ac:dyDescent="0.2">
      <c r="AO79" s="466">
        <v>3</v>
      </c>
      <c r="AP79" s="462" t="s">
        <v>322</v>
      </c>
      <c r="AQ79" s="463">
        <f t="shared" ref="AQ79:AQ83" ca="1" si="22">OFFSET($E$12,0,AO79)</f>
        <v>16737640</v>
      </c>
    </row>
    <row r="80" spans="1:43" x14ac:dyDescent="0.2">
      <c r="AO80" s="466">
        <v>6</v>
      </c>
      <c r="AP80" s="462" t="s">
        <v>323</v>
      </c>
      <c r="AQ80" s="463">
        <f t="shared" ca="1" si="22"/>
        <v>30336454</v>
      </c>
    </row>
    <row r="81" spans="41:43" x14ac:dyDescent="0.2">
      <c r="AO81" s="466">
        <v>9</v>
      </c>
      <c r="AP81" s="462" t="s">
        <v>324</v>
      </c>
      <c r="AQ81" s="463">
        <f t="shared" ca="1" si="22"/>
        <v>50365925</v>
      </c>
    </row>
    <row r="82" spans="41:43" x14ac:dyDescent="0.2">
      <c r="AO82" s="466">
        <v>12</v>
      </c>
      <c r="AP82" s="462" t="s">
        <v>325</v>
      </c>
      <c r="AQ82" s="463">
        <f t="shared" ca="1" si="22"/>
        <v>32369560</v>
      </c>
    </row>
    <row r="83" spans="41:43" ht="17" thickBot="1" x14ac:dyDescent="0.25">
      <c r="AO83" s="466">
        <v>-3</v>
      </c>
      <c r="AP83" s="464" t="s">
        <v>320</v>
      </c>
      <c r="AQ83" s="465">
        <f t="shared" ca="1" si="22"/>
        <v>0</v>
      </c>
    </row>
    <row r="84" spans="41:43" ht="17" thickBot="1" x14ac:dyDescent="0.25"/>
    <row r="85" spans="41:43" x14ac:dyDescent="0.2">
      <c r="AP85" s="580" t="s">
        <v>436</v>
      </c>
      <c r="AQ85" s="581"/>
    </row>
    <row r="86" spans="41:43" x14ac:dyDescent="0.2">
      <c r="AO86" s="466">
        <v>0</v>
      </c>
      <c r="AP86" s="462" t="s">
        <v>321</v>
      </c>
      <c r="AQ86" s="463">
        <f ca="1">OFFSET($E$14,0,AO86)</f>
        <v>14650000</v>
      </c>
    </row>
    <row r="87" spans="41:43" x14ac:dyDescent="0.2">
      <c r="AO87" s="466">
        <v>3</v>
      </c>
      <c r="AP87" s="462" t="s">
        <v>322</v>
      </c>
      <c r="AQ87" s="463">
        <f t="shared" ref="AQ87:AQ91" ca="1" si="23">OFFSET($E$14,0,AO87)</f>
        <v>11230000</v>
      </c>
    </row>
    <row r="88" spans="41:43" x14ac:dyDescent="0.2">
      <c r="AO88" s="466">
        <v>6</v>
      </c>
      <c r="AP88" s="462" t="s">
        <v>323</v>
      </c>
      <c r="AQ88" s="463">
        <f t="shared" ca="1" si="23"/>
        <v>12550000</v>
      </c>
    </row>
    <row r="89" spans="41:43" x14ac:dyDescent="0.2">
      <c r="AO89" s="466">
        <v>9</v>
      </c>
      <c r="AP89" s="462" t="s">
        <v>324</v>
      </c>
      <c r="AQ89" s="463">
        <f t="shared" ca="1" si="23"/>
        <v>12475000</v>
      </c>
    </row>
    <row r="90" spans="41:43" x14ac:dyDescent="0.2">
      <c r="AO90" s="466">
        <v>12</v>
      </c>
      <c r="AP90" s="462" t="s">
        <v>325</v>
      </c>
      <c r="AQ90" s="463">
        <f t="shared" ca="1" si="23"/>
        <v>13000000</v>
      </c>
    </row>
    <row r="91" spans="41:43" ht="17" thickBot="1" x14ac:dyDescent="0.25">
      <c r="AO91" s="466">
        <v>-3</v>
      </c>
      <c r="AP91" s="464" t="s">
        <v>320</v>
      </c>
      <c r="AQ91" s="465">
        <f t="shared" ca="1" si="23"/>
        <v>15550000</v>
      </c>
    </row>
    <row r="92" spans="41:43" ht="17" thickBot="1" x14ac:dyDescent="0.25"/>
    <row r="93" spans="41:43" x14ac:dyDescent="0.2">
      <c r="AP93" s="580" t="s">
        <v>365</v>
      </c>
      <c r="AQ93" s="581"/>
    </row>
    <row r="94" spans="41:43" x14ac:dyDescent="0.2">
      <c r="AO94" s="466">
        <v>0</v>
      </c>
      <c r="AP94" s="462" t="s">
        <v>321</v>
      </c>
      <c r="AQ94" s="463">
        <f ca="1">OFFSET($E$39,0,AO94)</f>
        <v>41246283</v>
      </c>
    </row>
    <row r="95" spans="41:43" x14ac:dyDescent="0.2">
      <c r="AO95" s="466">
        <v>3</v>
      </c>
      <c r="AP95" s="462" t="s">
        <v>322</v>
      </c>
      <c r="AQ95" s="463">
        <f t="shared" ref="AQ95:AQ99" ca="1" si="24">OFFSET($E$39,0,AO95)</f>
        <v>39302955</v>
      </c>
    </row>
    <row r="96" spans="41:43" x14ac:dyDescent="0.2">
      <c r="AO96" s="466">
        <v>6</v>
      </c>
      <c r="AP96" s="462" t="s">
        <v>323</v>
      </c>
      <c r="AQ96" s="463">
        <f t="shared" ca="1" si="24"/>
        <v>50591182</v>
      </c>
    </row>
    <row r="97" spans="41:43" x14ac:dyDescent="0.2">
      <c r="AO97" s="466">
        <v>9</v>
      </c>
      <c r="AP97" s="462" t="s">
        <v>324</v>
      </c>
      <c r="AQ97" s="463">
        <f t="shared" ca="1" si="24"/>
        <v>56909120</v>
      </c>
    </row>
    <row r="98" spans="41:43" x14ac:dyDescent="0.2">
      <c r="AO98" s="466">
        <v>12</v>
      </c>
      <c r="AP98" s="462" t="s">
        <v>325</v>
      </c>
      <c r="AQ98" s="463">
        <f t="shared" ca="1" si="24"/>
        <v>41208490</v>
      </c>
    </row>
    <row r="99" spans="41:43" ht="17" thickBot="1" x14ac:dyDescent="0.25">
      <c r="AO99" s="466">
        <v>-3</v>
      </c>
      <c r="AP99" s="464" t="s">
        <v>320</v>
      </c>
      <c r="AQ99" s="465">
        <f t="shared" ca="1" si="24"/>
        <v>75578074</v>
      </c>
    </row>
  </sheetData>
  <mergeCells count="20">
    <mergeCell ref="AP77:AQ77"/>
    <mergeCell ref="AP85:AQ85"/>
    <mergeCell ref="AP93:AQ93"/>
    <mergeCell ref="AP61:AQ61"/>
    <mergeCell ref="AP69:AQ69"/>
    <mergeCell ref="AP37:AQ37"/>
    <mergeCell ref="AP45:AQ45"/>
    <mergeCell ref="AP53:AQ53"/>
    <mergeCell ref="AP5:AQ5"/>
    <mergeCell ref="AP13:AQ13"/>
    <mergeCell ref="AP21:AQ21"/>
    <mergeCell ref="AP29:AQ29"/>
    <mergeCell ref="S1:T2"/>
    <mergeCell ref="AL2:AL6"/>
    <mergeCell ref="P4:Q4"/>
    <mergeCell ref="A4:B4"/>
    <mergeCell ref="D4:E4"/>
    <mergeCell ref="G4:H4"/>
    <mergeCell ref="J4:K4"/>
    <mergeCell ref="M4:N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8</vt:i4>
      </vt:variant>
    </vt:vector>
  </HeadingPairs>
  <TitlesOfParts>
    <vt:vector size="8" baseType="lpstr">
      <vt:lpstr>FABRICS - retail</vt:lpstr>
      <vt:lpstr>FITTINGS - retail</vt:lpstr>
      <vt:lpstr>FURNITURE - retail</vt:lpstr>
      <vt:lpstr>ANALISI DOMANDA</vt:lpstr>
      <vt:lpstr>COMPETITORS</vt:lpstr>
      <vt:lpstr>PROFIT&amp;LOSS (Q0)</vt:lpstr>
      <vt:lpstr>PROFIT&amp;LOSS (Q0+1)</vt:lpstr>
      <vt:lpstr>Bilanci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Daniele Di Grandi</dc:creator>
  <cp:lastModifiedBy>Daniele Di Grandi</cp:lastModifiedBy>
  <dcterms:created xsi:type="dcterms:W3CDTF">2019-04-26T14:42:09Z</dcterms:created>
  <dcterms:modified xsi:type="dcterms:W3CDTF">2020-05-13T18:24:36Z</dcterms:modified>
</cp:coreProperties>
</file>