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ce\OneDrive\Desktop\Ali\Master\2_Advanced Energy Analysis\Assignments\Week 8_Final\"/>
    </mc:Choice>
  </mc:AlternateContent>
  <xr:revisionPtr revIDLastSave="0" documentId="13_ncr:1_{86A823D3-A8AD-4103-82FD-87166200DC26}" xr6:coauthVersionLast="46" xr6:coauthVersionMax="46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Q2 Q3" sheetId="2" r:id="rId1"/>
    <sheet name="Q4" sheetId="3" r:id="rId2"/>
    <sheet name="Q5" sheetId="7" r:id="rId3"/>
    <sheet name="Q6" sheetId="9" r:id="rId4"/>
    <sheet name="Q7" sheetId="6" r:id="rId5"/>
    <sheet name="Question 8; Input-Output Table" sheetId="1" r:id="rId6"/>
    <sheet name="Q8" sheetId="5" r:id="rId7"/>
    <sheet name="Sheet1" sheetId="10" r:id="rId8"/>
  </sheets>
  <definedNames>
    <definedName name="TotCol">'Question 8; Input-Output Table'!$I$3:$I$6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3" i="7" l="1"/>
  <c r="C90" i="7"/>
  <c r="C89" i="7"/>
  <c r="C88" i="7"/>
  <c r="C87" i="7"/>
  <c r="B86" i="7"/>
  <c r="C86" i="7" s="1"/>
  <c r="C85" i="7"/>
  <c r="C84" i="7"/>
  <c r="C83" i="7"/>
  <c r="C80" i="7"/>
  <c r="C79" i="7"/>
  <c r="C78" i="7"/>
  <c r="C77" i="7"/>
  <c r="B76" i="7"/>
  <c r="C76" i="7" s="1"/>
  <c r="C75" i="7"/>
  <c r="C74" i="7"/>
  <c r="C73" i="7"/>
  <c r="G85" i="7"/>
  <c r="G87" i="7"/>
  <c r="G88" i="7"/>
  <c r="G74" i="7"/>
  <c r="G76" i="7"/>
  <c r="G77" i="7"/>
  <c r="G78" i="7"/>
  <c r="G64" i="7"/>
  <c r="G65" i="7"/>
  <c r="G66" i="7"/>
  <c r="G67" i="7"/>
  <c r="G68" i="7"/>
  <c r="G69" i="7"/>
  <c r="G70" i="7"/>
  <c r="F84" i="7"/>
  <c r="F85" i="7"/>
  <c r="F86" i="7"/>
  <c r="F87" i="7"/>
  <c r="F88" i="7"/>
  <c r="F89" i="7"/>
  <c r="F90" i="7"/>
  <c r="F74" i="7"/>
  <c r="F75" i="7"/>
  <c r="F76" i="7"/>
  <c r="F77" i="7"/>
  <c r="F78" i="7"/>
  <c r="F79" i="7"/>
  <c r="F80" i="7"/>
  <c r="F83" i="7"/>
  <c r="F73" i="7"/>
  <c r="F63" i="7"/>
  <c r="F64" i="7"/>
  <c r="F65" i="7"/>
  <c r="F66" i="7"/>
  <c r="F67" i="7"/>
  <c r="F68" i="7"/>
  <c r="F69" i="7"/>
  <c r="F70" i="7"/>
  <c r="D84" i="7"/>
  <c r="D85" i="7"/>
  <c r="E85" i="7" s="1"/>
  <c r="D86" i="7"/>
  <c r="D87" i="7"/>
  <c r="E87" i="7" s="1"/>
  <c r="D88" i="7"/>
  <c r="E88" i="7" s="1"/>
  <c r="D89" i="7"/>
  <c r="D90" i="7"/>
  <c r="D83" i="7"/>
  <c r="E83" i="7" s="1"/>
  <c r="G83" i="7" s="1"/>
  <c r="E90" i="7"/>
  <c r="G90" i="7" s="1"/>
  <c r="E89" i="7"/>
  <c r="G89" i="7" s="1"/>
  <c r="E86" i="7"/>
  <c r="G86" i="7" s="1"/>
  <c r="E84" i="7"/>
  <c r="G84" i="7" s="1"/>
  <c r="D64" i="7"/>
  <c r="D65" i="7"/>
  <c r="D66" i="7"/>
  <c r="D67" i="7"/>
  <c r="E67" i="7" s="1"/>
  <c r="D68" i="7"/>
  <c r="E68" i="7" s="1"/>
  <c r="D69" i="7"/>
  <c r="D70" i="7"/>
  <c r="E70" i="7" s="1"/>
  <c r="D63" i="7"/>
  <c r="E63" i="7" s="1"/>
  <c r="D74" i="7"/>
  <c r="D75" i="7"/>
  <c r="D76" i="7"/>
  <c r="D77" i="7"/>
  <c r="E77" i="7" s="1"/>
  <c r="D78" i="7"/>
  <c r="E78" i="7" s="1"/>
  <c r="D79" i="7"/>
  <c r="E79" i="7" s="1"/>
  <c r="G79" i="7" s="1"/>
  <c r="D80" i="7"/>
  <c r="E80" i="7" s="1"/>
  <c r="G80" i="7" s="1"/>
  <c r="D73" i="7"/>
  <c r="E73" i="7" s="1"/>
  <c r="G73" i="7" s="1"/>
  <c r="P4" i="3"/>
  <c r="E74" i="7"/>
  <c r="E76" i="7"/>
  <c r="E75" i="7"/>
  <c r="G75" i="7" s="1"/>
  <c r="E64" i="7"/>
  <c r="E65" i="7"/>
  <c r="E66" i="7"/>
  <c r="E69" i="7"/>
  <c r="B66" i="7"/>
  <c r="P97" i="6" l="1"/>
  <c r="P98" i="6"/>
  <c r="P99" i="6"/>
  <c r="P96" i="6"/>
  <c r="L97" i="6"/>
  <c r="M97" i="6"/>
  <c r="N97" i="6"/>
  <c r="O97" i="6"/>
  <c r="L98" i="6"/>
  <c r="M98" i="6"/>
  <c r="N98" i="6"/>
  <c r="O98" i="6"/>
  <c r="L99" i="6"/>
  <c r="M99" i="6"/>
  <c r="N99" i="6"/>
  <c r="O99" i="6"/>
  <c r="M96" i="6"/>
  <c r="N96" i="6"/>
  <c r="O96" i="6"/>
  <c r="L96" i="6"/>
  <c r="L85" i="6" l="1"/>
  <c r="Q54" i="6"/>
  <c r="Q55" i="6"/>
  <c r="Q56" i="6"/>
  <c r="Q53" i="6"/>
  <c r="L53" i="6"/>
  <c r="L74" i="6"/>
  <c r="B38" i="6" a="1"/>
  <c r="B38" i="6" s="1"/>
  <c r="L71" i="6" s="1"/>
  <c r="B66" i="6" a="1"/>
  <c r="B66" i="6" s="1"/>
  <c r="L64" i="6" s="1"/>
  <c r="L9" i="6"/>
  <c r="M75" i="6"/>
  <c r="N75" i="6"/>
  <c r="O75" i="6"/>
  <c r="Y38" i="6"/>
  <c r="Y37" i="6"/>
  <c r="B70" i="6"/>
  <c r="V33" i="6"/>
  <c r="V32" i="6"/>
  <c r="R33" i="6"/>
  <c r="R34" i="6"/>
  <c r="R32" i="6"/>
  <c r="N33" i="6"/>
  <c r="N34" i="6"/>
  <c r="N32" i="6"/>
  <c r="N69" i="6"/>
  <c r="O69" i="6"/>
  <c r="O70" i="6"/>
  <c r="M71" i="6"/>
  <c r="N71" i="6"/>
  <c r="O71" i="6"/>
  <c r="M68" i="6"/>
  <c r="O68" i="6"/>
  <c r="N62" i="6"/>
  <c r="O62" i="6"/>
  <c r="O63" i="6"/>
  <c r="M64" i="6"/>
  <c r="N64" i="6"/>
  <c r="O64" i="6"/>
  <c r="M61" i="6"/>
  <c r="O61" i="6"/>
  <c r="O56" i="6"/>
  <c r="AF11" i="6"/>
  <c r="AG11" i="6"/>
  <c r="AH11" i="6"/>
  <c r="AE11" i="6"/>
  <c r="M56" i="6"/>
  <c r="O55" i="6"/>
  <c r="O54" i="6"/>
  <c r="O53" i="6"/>
  <c r="M53" i="6"/>
  <c r="Q11" i="6"/>
  <c r="AB32" i="6"/>
  <c r="AB31" i="6"/>
  <c r="X32" i="6"/>
  <c r="AD9" i="6"/>
  <c r="AD10" i="6" s="1"/>
  <c r="AC32" i="6" s="1"/>
  <c r="AC9" i="6"/>
  <c r="AC10" i="6" s="1"/>
  <c r="AC31" i="6" s="1"/>
  <c r="V25" i="6"/>
  <c r="AB9" i="6" s="1"/>
  <c r="AB10" i="6" s="1"/>
  <c r="AB11" i="6" s="1"/>
  <c r="S28" i="6"/>
  <c r="S26" i="6" s="1"/>
  <c r="Y9" i="6" s="1"/>
  <c r="X9" i="6"/>
  <c r="X10" i="6" s="1"/>
  <c r="X11" i="6" s="1"/>
  <c r="W9" i="6"/>
  <c r="W10" i="6" s="1"/>
  <c r="W11" i="6" s="1"/>
  <c r="M54" i="6" s="1"/>
  <c r="P19" i="6"/>
  <c r="S9" i="6" s="1"/>
  <c r="U9" i="6" s="1"/>
  <c r="P28" i="6"/>
  <c r="P26" i="6" s="1"/>
  <c r="T9" i="6" s="1"/>
  <c r="P21" i="6"/>
  <c r="R9" i="6"/>
  <c r="R10" i="6" s="1"/>
  <c r="AA32" i="6" s="1"/>
  <c r="Q9" i="6"/>
  <c r="Q10" i="6" s="1"/>
  <c r="AA31" i="6" s="1"/>
  <c r="M28" i="6"/>
  <c r="M26" i="6" s="1"/>
  <c r="M9" i="6" s="1"/>
  <c r="M21" i="6"/>
  <c r="M19" i="6" s="1"/>
  <c r="N9" i="6"/>
  <c r="N10" i="6" s="1"/>
  <c r="Q71" i="6" l="1"/>
  <c r="Q64" i="6"/>
  <c r="O77" i="6" s="1"/>
  <c r="M69" i="6"/>
  <c r="M62" i="6"/>
  <c r="AA25" i="6"/>
  <c r="N11" i="6"/>
  <c r="N53" i="6" s="1"/>
  <c r="AC29" i="6"/>
  <c r="S10" i="6"/>
  <c r="AD11" i="6"/>
  <c r="Z10" i="6"/>
  <c r="AC11" i="6"/>
  <c r="M55" i="6" s="1"/>
  <c r="R11" i="6"/>
  <c r="P9" i="6"/>
  <c r="P10" i="6" s="1"/>
  <c r="M10" i="6"/>
  <c r="T10" i="6"/>
  <c r="V9" i="6"/>
  <c r="O9" i="6"/>
  <c r="O10" i="6" s="1"/>
  <c r="L10" i="6"/>
  <c r="Y10" i="6"/>
  <c r="AA9" i="6"/>
  <c r="AA10" i="6" s="1"/>
  <c r="V26" i="6"/>
  <c r="U10" i="6"/>
  <c r="V10" i="6"/>
  <c r="M70" i="6" l="1"/>
  <c r="M63" i="6"/>
  <c r="N68" i="6"/>
  <c r="N61" i="6"/>
  <c r="AA30" i="6"/>
  <c r="P11" i="6"/>
  <c r="AA27" i="6"/>
  <c r="O11" i="6"/>
  <c r="AC28" i="6"/>
  <c r="AA11" i="6"/>
  <c r="AB30" i="6"/>
  <c r="V11" i="6"/>
  <c r="AC22" i="6"/>
  <c r="AC34" i="6" s="1"/>
  <c r="Y11" i="6"/>
  <c r="L55" i="6" s="1"/>
  <c r="AC26" i="6"/>
  <c r="Z11" i="6"/>
  <c r="N55" i="6" s="1"/>
  <c r="AB21" i="6"/>
  <c r="S11" i="6"/>
  <c r="AA21" i="6"/>
  <c r="L11" i="6"/>
  <c r="AB24" i="6"/>
  <c r="T11" i="6"/>
  <c r="AB27" i="6"/>
  <c r="U11" i="6"/>
  <c r="AA24" i="6"/>
  <c r="AA34" i="6" s="1"/>
  <c r="M11" i="6"/>
  <c r="AB34" i="6" l="1"/>
  <c r="L68" i="6"/>
  <c r="Q68" i="6" s="1"/>
  <c r="N70" i="6"/>
  <c r="N63" i="6"/>
  <c r="L63" i="6"/>
  <c r="L70" i="6"/>
  <c r="L54" i="6"/>
  <c r="Q63" i="6" l="1"/>
  <c r="N77" i="6" s="1"/>
  <c r="L61" i="6"/>
  <c r="Q61" i="6" s="1"/>
  <c r="L69" i="6"/>
  <c r="Q69" i="6" s="1"/>
  <c r="L62" i="6"/>
  <c r="Q62" i="6" s="1"/>
  <c r="M77" i="6" s="1"/>
  <c r="Q70" i="6"/>
  <c r="L75" i="6" l="1"/>
  <c r="L77" i="6" l="1"/>
  <c r="G71" i="9" l="1"/>
  <c r="G72" i="9" s="1"/>
  <c r="H71" i="9"/>
  <c r="H72" i="9" s="1"/>
  <c r="I71" i="9"/>
  <c r="I72" i="9" s="1"/>
  <c r="I70" i="9"/>
  <c r="H70" i="9"/>
  <c r="G70" i="9"/>
  <c r="H66" i="9"/>
  <c r="I66" i="9"/>
  <c r="G66" i="9"/>
  <c r="I64" i="9"/>
  <c r="I63" i="9"/>
  <c r="I61" i="9"/>
  <c r="I60" i="9"/>
  <c r="I58" i="9"/>
  <c r="I54" i="9"/>
  <c r="H64" i="9"/>
  <c r="H63" i="9"/>
  <c r="H62" i="9"/>
  <c r="H59" i="9"/>
  <c r="H56" i="9"/>
  <c r="H53" i="9"/>
  <c r="G64" i="9"/>
  <c r="G63" i="9"/>
  <c r="G62" i="9"/>
  <c r="G59" i="9"/>
  <c r="G57" i="9"/>
  <c r="G56" i="9"/>
  <c r="G53" i="9"/>
  <c r="W43" i="9"/>
  <c r="X43" i="9"/>
  <c r="Y43" i="9"/>
  <c r="V43" i="9"/>
  <c r="V42" i="9"/>
  <c r="U43" i="9"/>
  <c r="T43" i="9"/>
  <c r="Y42" i="9"/>
  <c r="X42" i="9"/>
  <c r="W42" i="9"/>
  <c r="Q17" i="9"/>
  <c r="Q18" i="9" s="1"/>
  <c r="T42" i="9"/>
  <c r="Q43" i="9"/>
  <c r="R43" i="9"/>
  <c r="S43" i="9"/>
  <c r="P43" i="9"/>
  <c r="O43" i="9"/>
  <c r="N43" i="9"/>
  <c r="S42" i="9"/>
  <c r="R42" i="9"/>
  <c r="Q42" i="9"/>
  <c r="P42" i="9"/>
  <c r="O42" i="9"/>
  <c r="N42" i="9"/>
  <c r="K11" i="9"/>
  <c r="K43" i="9"/>
  <c r="L43" i="9"/>
  <c r="M43" i="9"/>
  <c r="J43" i="9"/>
  <c r="I43" i="9"/>
  <c r="H43" i="9"/>
  <c r="G43" i="9"/>
  <c r="B35" i="9"/>
  <c r="M42" i="9"/>
  <c r="L42" i="9"/>
  <c r="V49" i="9"/>
  <c r="V48" i="9"/>
  <c r="V47" i="9"/>
  <c r="U48" i="9"/>
  <c r="V3" i="3"/>
  <c r="V5" i="3"/>
  <c r="U47" i="9"/>
  <c r="P50" i="9"/>
  <c r="P49" i="9"/>
  <c r="P48" i="9"/>
  <c r="P47" i="9"/>
  <c r="O49" i="9"/>
  <c r="O48" i="9"/>
  <c r="O47" i="9"/>
  <c r="H50" i="9"/>
  <c r="H49" i="9"/>
  <c r="H48" i="9"/>
  <c r="H47" i="9"/>
  <c r="G49" i="9"/>
  <c r="G48" i="9"/>
  <c r="G47" i="9"/>
  <c r="O4" i="3"/>
  <c r="K42" i="9"/>
  <c r="J42" i="9"/>
  <c r="I42" i="9"/>
  <c r="H42" i="9"/>
  <c r="G42" i="9"/>
  <c r="N18" i="9"/>
  <c r="K18" i="9"/>
  <c r="B32" i="9"/>
  <c r="N20" i="9"/>
  <c r="K17" i="9"/>
  <c r="K20" i="9"/>
  <c r="H10" i="9"/>
  <c r="H13" i="9"/>
  <c r="H20" i="9" s="1"/>
  <c r="H18" i="9" s="1"/>
  <c r="B31" i="9"/>
  <c r="B30" i="9"/>
  <c r="B26" i="9"/>
  <c r="B25" i="9"/>
  <c r="F34" i="9"/>
  <c r="N17" i="9"/>
  <c r="H17" i="9"/>
  <c r="K10" i="9"/>
  <c r="C63" i="7"/>
  <c r="F58" i="7"/>
  <c r="E58" i="7"/>
  <c r="M56" i="7"/>
  <c r="D58" i="7" s="1"/>
  <c r="M55" i="7"/>
  <c r="M53" i="7"/>
  <c r="L25" i="7"/>
  <c r="U60" i="7"/>
  <c r="U61" i="7" s="1"/>
  <c r="T61" i="7"/>
  <c r="T60" i="7"/>
  <c r="S61" i="7"/>
  <c r="S60" i="7"/>
  <c r="G56" i="7"/>
  <c r="C58" i="7" s="1"/>
  <c r="G55" i="7"/>
  <c r="G53" i="7"/>
  <c r="F25" i="7"/>
  <c r="C64" i="7"/>
  <c r="C65" i="7"/>
  <c r="C66" i="7"/>
  <c r="C67" i="7"/>
  <c r="C68" i="7"/>
  <c r="C69" i="7"/>
  <c r="C70" i="7"/>
  <c r="H12" i="7"/>
  <c r="H11" i="9" l="1"/>
  <c r="G2" i="7" l="1"/>
  <c r="D18" i="7"/>
  <c r="H9" i="7"/>
  <c r="X27" i="7"/>
  <c r="X28" i="7" s="1"/>
  <c r="U27" i="7"/>
  <c r="U28" i="7" s="1"/>
  <c r="X25" i="7"/>
  <c r="W25" i="7"/>
  <c r="W27" i="7" s="1"/>
  <c r="W28" i="7" s="1"/>
  <c r="T25" i="7"/>
  <c r="T27" i="7" s="1"/>
  <c r="T28" i="7" s="1"/>
  <c r="S25" i="7"/>
  <c r="S27" i="7" s="1"/>
  <c r="S28" i="7" s="1"/>
  <c r="P25" i="7"/>
  <c r="P27" i="7" s="1"/>
  <c r="P28" i="7" s="1"/>
  <c r="N27" i="7"/>
  <c r="N28" i="7" s="1"/>
  <c r="N25" i="7"/>
  <c r="M25" i="7"/>
  <c r="M27" i="7" s="1"/>
  <c r="M28" i="7" s="1"/>
  <c r="H25" i="7"/>
  <c r="H27" i="7" s="1"/>
  <c r="H28" i="7" s="1"/>
  <c r="G25" i="7"/>
  <c r="G27" i="7" s="1"/>
  <c r="G28" i="7" s="1"/>
  <c r="D25" i="7"/>
  <c r="D27" i="7" s="1"/>
  <c r="D28" i="7" s="1"/>
  <c r="H16" i="7"/>
  <c r="AA14" i="3" l="1"/>
  <c r="AE3" i="3"/>
  <c r="M10" i="3"/>
  <c r="N10" i="3" s="1"/>
  <c r="O10" i="3"/>
  <c r="Q10" i="3"/>
  <c r="R10" i="3"/>
  <c r="T10" i="3"/>
  <c r="O3" i="3"/>
  <c r="Q3" i="3" s="1"/>
  <c r="M3" i="3"/>
  <c r="N3" i="3" s="1"/>
  <c r="P3" i="3" s="1"/>
  <c r="D76" i="2"/>
  <c r="G52" i="2"/>
  <c r="G12" i="3"/>
  <c r="AA10" i="3" s="1"/>
  <c r="AB10" i="3" s="1"/>
  <c r="I38" i="2"/>
  <c r="J38" i="2"/>
  <c r="K38" i="2"/>
  <c r="L38" i="2"/>
  <c r="L39" i="2" s="1"/>
  <c r="I52" i="2"/>
  <c r="Z6" i="3"/>
  <c r="AC10" i="3" l="1"/>
  <c r="AD10" i="3" s="1"/>
  <c r="R3" i="3"/>
  <c r="T3" i="3" s="1"/>
  <c r="AA3" i="3"/>
  <c r="AB3" i="3" s="1"/>
  <c r="U10" i="3"/>
  <c r="S10" i="3"/>
  <c r="P10" i="3"/>
  <c r="U3" i="3"/>
  <c r="S3" i="3"/>
  <c r="G76" i="2"/>
  <c r="AC3" i="3" l="1"/>
  <c r="AD3" i="3" s="1"/>
  <c r="I28" i="2" l="1"/>
  <c r="L6" i="3" l="1"/>
  <c r="M6" i="3" s="1"/>
  <c r="M5" i="3"/>
  <c r="M7" i="3"/>
  <c r="M8" i="3"/>
  <c r="M9" i="3"/>
  <c r="M4" i="3"/>
  <c r="B3" i="3"/>
  <c r="N4" i="3" l="1"/>
  <c r="R4" i="3"/>
  <c r="O8" i="3"/>
  <c r="N8" i="3"/>
  <c r="R8" i="3"/>
  <c r="O5" i="3"/>
  <c r="R5" i="3"/>
  <c r="N5" i="3"/>
  <c r="O9" i="3"/>
  <c r="R9" i="3"/>
  <c r="N9" i="3"/>
  <c r="O7" i="3"/>
  <c r="N7" i="3"/>
  <c r="R7" i="3"/>
  <c r="O6" i="3"/>
  <c r="R6" i="3"/>
  <c r="N6" i="3"/>
  <c r="A116" i="2"/>
  <c r="A117" i="2" s="1"/>
  <c r="A118" i="2" s="1"/>
  <c r="A119" i="2" s="1"/>
  <c r="A114" i="2"/>
  <c r="A113" i="2" s="1"/>
  <c r="A112" i="2" s="1"/>
  <c r="A111" i="2" s="1"/>
  <c r="A110" i="2" s="1"/>
  <c r="A80" i="2"/>
  <c r="E80" i="2" s="1"/>
  <c r="C81" i="2"/>
  <c r="B81" i="2"/>
  <c r="B45" i="2"/>
  <c r="Q8" i="3" l="1"/>
  <c r="T4" i="3"/>
  <c r="Q7" i="3"/>
  <c r="AA7" i="3"/>
  <c r="AB7" i="3" s="1"/>
  <c r="T9" i="3"/>
  <c r="AC9" i="3"/>
  <c r="AD9" i="3" s="1"/>
  <c r="Q9" i="3"/>
  <c r="T6" i="3"/>
  <c r="Q4" i="3"/>
  <c r="AA4" i="3"/>
  <c r="AB4" i="3" s="1"/>
  <c r="T8" i="3"/>
  <c r="AC8" i="3"/>
  <c r="AD8" i="3" s="1"/>
  <c r="Q6" i="3"/>
  <c r="T5" i="3"/>
  <c r="T7" i="3"/>
  <c r="AC7" i="3"/>
  <c r="AD7" i="3" s="1"/>
  <c r="Q5" i="3"/>
  <c r="AA5" i="3"/>
  <c r="AB5" i="3" s="1"/>
  <c r="P9" i="3"/>
  <c r="AA9" i="3" s="1"/>
  <c r="AB9" i="3" s="1"/>
  <c r="U9" i="3"/>
  <c r="S9" i="3"/>
  <c r="U8" i="3"/>
  <c r="P8" i="3"/>
  <c r="AA8" i="3" s="1"/>
  <c r="AB8" i="3" s="1"/>
  <c r="S8" i="3"/>
  <c r="P5" i="3"/>
  <c r="U5" i="3"/>
  <c r="S5" i="3"/>
  <c r="AC5" i="3" s="1"/>
  <c r="AD5" i="3" s="1"/>
  <c r="P6" i="3"/>
  <c r="AA6" i="3" s="1"/>
  <c r="AB6" i="3" s="1"/>
  <c r="S6" i="3"/>
  <c r="AC6" i="3" s="1"/>
  <c r="AD6" i="3" s="1"/>
  <c r="U6" i="3"/>
  <c r="P7" i="3"/>
  <c r="S7" i="3"/>
  <c r="U7" i="3"/>
  <c r="U4" i="3"/>
  <c r="S4" i="3"/>
  <c r="AC4" i="3" s="1"/>
  <c r="AD4" i="3" s="1"/>
  <c r="B80" i="2"/>
  <c r="F80" i="2"/>
  <c r="C80" i="2"/>
  <c r="A79" i="2"/>
  <c r="C42" i="9"/>
  <c r="C41" i="9"/>
  <c r="F26" i="9"/>
  <c r="F27" i="9" s="1"/>
  <c r="Q26" i="9"/>
  <c r="Q27" i="9" s="1"/>
  <c r="I26" i="9"/>
  <c r="N28" i="9"/>
  <c r="F28" i="9"/>
  <c r="N26" i="9"/>
  <c r="N27" i="9" s="1"/>
  <c r="I33" i="9"/>
  <c r="I32" i="9"/>
  <c r="F33" i="9"/>
  <c r="I34" i="9" s="1"/>
  <c r="G4" i="9"/>
  <c r="Q28" i="9" l="1"/>
  <c r="C45" i="9"/>
  <c r="D45" i="9" s="1"/>
  <c r="I27" i="9"/>
  <c r="I28" i="9" s="1"/>
  <c r="C40" i="9"/>
  <c r="A78" i="2"/>
  <c r="E79" i="2"/>
  <c r="B79" i="2"/>
  <c r="F79" i="2"/>
  <c r="C79" i="2"/>
  <c r="C43" i="9"/>
  <c r="D42" i="9" s="1"/>
  <c r="C39" i="9"/>
  <c r="D39" i="9" l="1"/>
  <c r="A77" i="2"/>
  <c r="B78" i="2"/>
  <c r="C78" i="2"/>
  <c r="F78" i="2"/>
  <c r="E78" i="2"/>
  <c r="A76" i="2" l="1"/>
  <c r="B77" i="2"/>
  <c r="E77" i="2"/>
  <c r="C77" i="2"/>
  <c r="F77" i="2"/>
  <c r="D38" i="7"/>
  <c r="D22" i="7"/>
  <c r="N19" i="7"/>
  <c r="K19" i="7"/>
  <c r="N16" i="7"/>
  <c r="K16" i="7"/>
  <c r="K17" i="7" s="1"/>
  <c r="J25" i="7" s="1"/>
  <c r="K12" i="7"/>
  <c r="K10" i="7" s="1"/>
  <c r="I25" i="7" s="1"/>
  <c r="K9" i="7"/>
  <c r="Q16" i="7"/>
  <c r="Q17" i="7" s="1"/>
  <c r="K25" i="7" l="1"/>
  <c r="K27" i="7" s="1"/>
  <c r="K28" i="7" s="1"/>
  <c r="I27" i="7"/>
  <c r="I28" i="7" s="1"/>
  <c r="J27" i="7"/>
  <c r="J28" i="7" s="1"/>
  <c r="L27" i="7"/>
  <c r="L28" i="7" s="1"/>
  <c r="V25" i="7"/>
  <c r="V27" i="7" s="1"/>
  <c r="V28" i="7" s="1"/>
  <c r="R25" i="7"/>
  <c r="R27" i="7" s="1"/>
  <c r="R28" i="7" s="1"/>
  <c r="B37" i="7"/>
  <c r="H19" i="7"/>
  <c r="H17" i="7" s="1"/>
  <c r="C25" i="7" s="1"/>
  <c r="H10" i="7"/>
  <c r="B25" i="7" s="1"/>
  <c r="N17" i="7"/>
  <c r="O25" i="7" s="1"/>
  <c r="E76" i="2"/>
  <c r="F76" i="2"/>
  <c r="C76" i="2"/>
  <c r="B76" i="2"/>
  <c r="C36" i="7"/>
  <c r="E35" i="7"/>
  <c r="C9" i="6"/>
  <c r="D9" i="6"/>
  <c r="E9" i="6"/>
  <c r="B9" i="6"/>
  <c r="F6" i="6"/>
  <c r="I6" i="6" s="1"/>
  <c r="F7" i="6"/>
  <c r="F8" i="6"/>
  <c r="F2" i="6"/>
  <c r="I2" i="6" s="1"/>
  <c r="F3" i="6"/>
  <c r="I3" i="6" s="1"/>
  <c r="F4" i="6"/>
  <c r="I4" i="6" s="1"/>
  <c r="F5" i="6"/>
  <c r="I5" i="6" s="1"/>
  <c r="F13" i="5"/>
  <c r="F12" i="5"/>
  <c r="F8" i="5"/>
  <c r="G7" i="5"/>
  <c r="F7" i="5"/>
  <c r="H7" i="5" s="1"/>
  <c r="H6" i="5"/>
  <c r="F6" i="5"/>
  <c r="F5" i="5"/>
  <c r="H5" i="5" s="1"/>
  <c r="F4" i="5"/>
  <c r="H4" i="5" s="1"/>
  <c r="F3" i="5"/>
  <c r="H3" i="5" s="1"/>
  <c r="Q25" i="7" l="1"/>
  <c r="Q27" i="7" s="1"/>
  <c r="Q28" i="7" s="1"/>
  <c r="O27" i="7"/>
  <c r="O28" i="7" s="1"/>
  <c r="E25" i="7"/>
  <c r="E27" i="7" s="1"/>
  <c r="E28" i="7" s="1"/>
  <c r="B27" i="7"/>
  <c r="B28" i="7" s="1"/>
  <c r="F27" i="7"/>
  <c r="F28" i="7" s="1"/>
  <c r="C27" i="7"/>
  <c r="C28" i="7" s="1"/>
  <c r="B36" i="7" s="1"/>
  <c r="C42" i="7"/>
  <c r="B36" i="6"/>
  <c r="B45" i="6"/>
  <c r="B37" i="6"/>
  <c r="L81" i="6" s="1"/>
  <c r="H4" i="6"/>
  <c r="D40" i="7"/>
  <c r="D41" i="7"/>
  <c r="D34" i="7"/>
  <c r="C39" i="7"/>
  <c r="E44" i="7"/>
  <c r="C33" i="7"/>
  <c r="B48" i="6"/>
  <c r="B58" i="6" s="1"/>
  <c r="B46" i="6"/>
  <c r="B56" i="6" s="1"/>
  <c r="B47" i="6"/>
  <c r="B57" i="6" s="1"/>
  <c r="B55" i="6"/>
  <c r="E46" i="6"/>
  <c r="E56" i="6" s="1"/>
  <c r="E45" i="6"/>
  <c r="E55" i="6" s="1"/>
  <c r="E47" i="6"/>
  <c r="E57" i="6" s="1"/>
  <c r="E37" i="6"/>
  <c r="O81" i="6" s="1"/>
  <c r="E48" i="6"/>
  <c r="E58" i="6" s="1"/>
  <c r="E36" i="6"/>
  <c r="F9" i="6"/>
  <c r="D37" i="6"/>
  <c r="N81" i="6" s="1"/>
  <c r="D47" i="6"/>
  <c r="D57" i="6" s="1"/>
  <c r="D48" i="6"/>
  <c r="D58" i="6" s="1"/>
  <c r="D45" i="6"/>
  <c r="D55" i="6" s="1"/>
  <c r="D46" i="6"/>
  <c r="D56" i="6" s="1"/>
  <c r="D36" i="6"/>
  <c r="C45" i="6"/>
  <c r="C55" i="6" s="1"/>
  <c r="C46" i="6"/>
  <c r="C56" i="6" s="1"/>
  <c r="C48" i="6"/>
  <c r="C58" i="6" s="1"/>
  <c r="C47" i="6"/>
  <c r="C57" i="6" s="1"/>
  <c r="C37" i="6"/>
  <c r="M81" i="6" s="1"/>
  <c r="C36" i="6"/>
  <c r="B33" i="7" l="1"/>
  <c r="L42" i="6"/>
  <c r="H2" i="6"/>
  <c r="E42" i="7"/>
  <c r="B60" i="6" a="1"/>
  <c r="G5" i="3"/>
  <c r="B4" i="3"/>
  <c r="B39" i="7" l="1"/>
  <c r="B42" i="7"/>
  <c r="B60" i="6"/>
  <c r="B62" i="6"/>
  <c r="B61" i="6"/>
  <c r="E63" i="6"/>
  <c r="C60" i="6"/>
  <c r="D61" i="6"/>
  <c r="E61" i="6"/>
  <c r="C63" i="6"/>
  <c r="D60" i="6"/>
  <c r="C61" i="6"/>
  <c r="C62" i="6"/>
  <c r="E62" i="6"/>
  <c r="D62" i="6"/>
  <c r="D63" i="6"/>
  <c r="E60" i="6"/>
  <c r="B63" i="6"/>
  <c r="S50" i="6" l="1" a="1"/>
  <c r="S50" i="6" s="1"/>
  <c r="H3" i="6"/>
  <c r="L47" i="6"/>
  <c r="L43" i="6" l="1"/>
  <c r="H5" i="6"/>
  <c r="M47" i="6"/>
  <c r="M43" i="6"/>
  <c r="N43" i="6"/>
  <c r="N42" i="6"/>
  <c r="N44" i="6"/>
  <c r="O43" i="6"/>
  <c r="O44" i="6"/>
  <c r="O45" i="6"/>
  <c r="N45" i="6"/>
  <c r="M42" i="6"/>
  <c r="K28" i="2"/>
  <c r="K37" i="2" l="1"/>
  <c r="N46" i="6"/>
  <c r="O46" i="6"/>
  <c r="L44" i="6"/>
  <c r="L45" i="6"/>
  <c r="B46" i="2"/>
  <c r="L46" i="6" l="1"/>
  <c r="L48" i="6" s="1"/>
  <c r="D43" i="7"/>
  <c r="H77" i="2"/>
  <c r="H78" i="2"/>
  <c r="H79" i="2"/>
  <c r="H80" i="2"/>
  <c r="H81" i="2"/>
  <c r="H76" i="2"/>
  <c r="K33" i="2"/>
  <c r="C44" i="9"/>
  <c r="D44" i="9" s="1"/>
  <c r="I9" i="3"/>
  <c r="K29" i="2"/>
  <c r="F81" i="2"/>
  <c r="E81" i="2"/>
  <c r="A82" i="2"/>
  <c r="A83" i="2" s="1"/>
  <c r="A84" i="2" s="1"/>
  <c r="A85" i="2" s="1"/>
  <c r="F85" i="2" s="1"/>
  <c r="AF3" i="3" l="1"/>
  <c r="V10" i="3"/>
  <c r="AE10" i="3" s="1"/>
  <c r="AF10" i="3" s="1"/>
  <c r="AE5" i="3"/>
  <c r="AF5" i="3" s="1"/>
  <c r="V4" i="3"/>
  <c r="AE4" i="3" s="1"/>
  <c r="AF4" i="3" s="1"/>
  <c r="V7" i="3"/>
  <c r="AE7" i="3" s="1"/>
  <c r="AF7" i="3" s="1"/>
  <c r="V8" i="3"/>
  <c r="AE8" i="3" s="1"/>
  <c r="AF8" i="3" s="1"/>
  <c r="B15" i="3"/>
  <c r="V6" i="3"/>
  <c r="AE6" i="3" s="1"/>
  <c r="AF6" i="3" s="1"/>
  <c r="V9" i="3"/>
  <c r="AE9" i="3" s="1"/>
  <c r="AF9" i="3" s="1"/>
  <c r="E58" i="2"/>
  <c r="E59" i="2"/>
  <c r="E57" i="2"/>
  <c r="E60" i="2"/>
  <c r="E56" i="2"/>
  <c r="E53" i="2"/>
  <c r="E61" i="2"/>
  <c r="E54" i="2"/>
  <c r="E62" i="2"/>
  <c r="E55" i="2"/>
  <c r="E85" i="2"/>
  <c r="F84" i="2"/>
  <c r="H82" i="2"/>
  <c r="C85" i="2"/>
  <c r="E84" i="2"/>
  <c r="F83" i="2"/>
  <c r="H84" i="2"/>
  <c r="E83" i="2"/>
  <c r="B85" i="2"/>
  <c r="B84" i="2"/>
  <c r="C82" i="2"/>
  <c r="H85" i="2"/>
  <c r="C84" i="2"/>
  <c r="F82" i="2"/>
  <c r="C83" i="2"/>
  <c r="E82" i="2"/>
  <c r="H83" i="2"/>
  <c r="B83" i="2"/>
  <c r="B82" i="2"/>
  <c r="D44" i="7" l="1"/>
  <c r="D45" i="7" l="1"/>
  <c r="B31" i="2"/>
  <c r="B29" i="2" s="1"/>
  <c r="L29" i="2"/>
  <c r="L32" i="2" s="1"/>
  <c r="L28" i="2"/>
  <c r="J28" i="2"/>
  <c r="D16" i="2"/>
  <c r="I16" i="2" s="1"/>
  <c r="D17" i="2"/>
  <c r="D21" i="2"/>
  <c r="I20" i="2" s="1"/>
  <c r="D22" i="2"/>
  <c r="I21" i="2" s="1"/>
  <c r="D20" i="2"/>
  <c r="I19" i="2" s="1"/>
  <c r="I22" i="2" s="1"/>
  <c r="H7" i="1"/>
  <c r="G4" i="1"/>
  <c r="I4" i="1" s="1"/>
  <c r="G5" i="1"/>
  <c r="I5" i="1" s="1"/>
  <c r="G6" i="1"/>
  <c r="I6" i="1" s="1"/>
  <c r="G7" i="1"/>
  <c r="G8" i="1"/>
  <c r="G3" i="1"/>
  <c r="I3" i="1" s="1"/>
  <c r="G24" i="1"/>
  <c r="G23" i="1"/>
  <c r="B10" i="5" l="1" a="1"/>
  <c r="G16" i="3"/>
  <c r="J37" i="2"/>
  <c r="I29" i="2"/>
  <c r="I37" i="2"/>
  <c r="I24" i="2"/>
  <c r="I89" i="2" s="1"/>
  <c r="L37" i="2"/>
  <c r="K32" i="2"/>
  <c r="J29" i="2"/>
  <c r="J31" i="2" s="1"/>
  <c r="C10" i="1" a="1"/>
  <c r="F10" i="1" s="1"/>
  <c r="F9" i="1" s="1"/>
  <c r="I7" i="1"/>
  <c r="I25" i="2" l="1"/>
  <c r="J39" i="2" s="1"/>
  <c r="B52" i="2"/>
  <c r="E52" i="2" s="1"/>
  <c r="I31" i="2"/>
  <c r="D57" i="2"/>
  <c r="D56" i="2"/>
  <c r="D58" i="2"/>
  <c r="D55" i="2"/>
  <c r="D62" i="2"/>
  <c r="D60" i="2"/>
  <c r="D61" i="2"/>
  <c r="D54" i="2"/>
  <c r="D53" i="2"/>
  <c r="D59" i="2"/>
  <c r="F58" i="2"/>
  <c r="F55" i="2"/>
  <c r="F61" i="2"/>
  <c r="F56" i="2"/>
  <c r="F53" i="2"/>
  <c r="F62" i="2"/>
  <c r="F57" i="2"/>
  <c r="F54" i="2"/>
  <c r="F60" i="2"/>
  <c r="F59" i="2"/>
  <c r="D10" i="5"/>
  <c r="D9" i="5" s="1"/>
  <c r="E10" i="5"/>
  <c r="E9" i="5" s="1"/>
  <c r="C10" i="5"/>
  <c r="C9" i="5" s="1"/>
  <c r="B10" i="5"/>
  <c r="N47" i="6"/>
  <c r="N48" i="6" s="1"/>
  <c r="J32" i="2"/>
  <c r="C10" i="1"/>
  <c r="C9" i="1" s="1"/>
  <c r="E10" i="1"/>
  <c r="E9" i="1" s="1"/>
  <c r="D10" i="1"/>
  <c r="D9" i="1" s="1"/>
  <c r="C52" i="2" l="1"/>
  <c r="B43" i="7"/>
  <c r="H61" i="2"/>
  <c r="I61" i="2"/>
  <c r="C55" i="2"/>
  <c r="G55" i="2" s="1"/>
  <c r="I59" i="2"/>
  <c r="H59" i="2"/>
  <c r="I55" i="2"/>
  <c r="H55" i="2"/>
  <c r="I32" i="2"/>
  <c r="C61" i="2"/>
  <c r="G61" i="2" s="1"/>
  <c r="B9" i="5"/>
  <c r="F9" i="5" s="1"/>
  <c r="F10" i="5"/>
  <c r="H60" i="2"/>
  <c r="I60" i="2"/>
  <c r="I58" i="2"/>
  <c r="H58" i="2"/>
  <c r="O47" i="6"/>
  <c r="O48" i="6" s="1"/>
  <c r="M45" i="6"/>
  <c r="M46" i="6" s="1"/>
  <c r="M48" i="6" s="1"/>
  <c r="I39" i="2"/>
  <c r="F52" i="2"/>
  <c r="C60" i="2"/>
  <c r="G60" i="2" s="1"/>
  <c r="C44" i="7"/>
  <c r="C59" i="2"/>
  <c r="G59" i="2" s="1"/>
  <c r="H54" i="2"/>
  <c r="I54" i="2"/>
  <c r="H57" i="2"/>
  <c r="I57" i="2"/>
  <c r="D81" i="2"/>
  <c r="K39" i="2"/>
  <c r="C56" i="2"/>
  <c r="G56" i="2" s="1"/>
  <c r="I62" i="2"/>
  <c r="H62" i="2"/>
  <c r="C57" i="2"/>
  <c r="G57" i="2" s="1"/>
  <c r="H53" i="2"/>
  <c r="I53" i="2"/>
  <c r="E43" i="7"/>
  <c r="E45" i="7"/>
  <c r="C53" i="2"/>
  <c r="G53" i="2" s="1"/>
  <c r="C58" i="2"/>
  <c r="G58" i="2" s="1"/>
  <c r="I56" i="2"/>
  <c r="H56" i="2"/>
  <c r="D52" i="2"/>
  <c r="C43" i="7"/>
  <c r="C54" i="2"/>
  <c r="G54" i="2" s="1"/>
  <c r="C62" i="2"/>
  <c r="G62" i="2" s="1"/>
  <c r="G9" i="1"/>
  <c r="G10" i="1"/>
  <c r="H52" i="2" l="1"/>
  <c r="C45" i="7"/>
  <c r="D79" i="2"/>
  <c r="D80" i="2"/>
  <c r="I77" i="2"/>
  <c r="I79" i="2"/>
  <c r="G80" i="2"/>
  <c r="G77" i="2"/>
  <c r="I76" i="2"/>
  <c r="D78" i="2"/>
  <c r="I80" i="2"/>
  <c r="D77" i="2"/>
  <c r="G79" i="2"/>
  <c r="G78" i="2"/>
  <c r="I81" i="2"/>
  <c r="I78" i="2"/>
  <c r="G85" i="2"/>
  <c r="G81" i="2"/>
  <c r="G83" i="2"/>
  <c r="G82" i="2"/>
  <c r="D85" i="2"/>
  <c r="G84" i="2"/>
  <c r="I85" i="2"/>
  <c r="D82" i="2"/>
  <c r="D84" i="2"/>
  <c r="I83" i="2"/>
  <c r="I82" i="2"/>
  <c r="I84" i="2"/>
  <c r="D83" i="2"/>
  <c r="I43" i="2"/>
  <c r="K43" i="2"/>
  <c r="J43" i="2"/>
  <c r="B44" i="7" l="1"/>
  <c r="B4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<sst xmlns="http://schemas.openxmlformats.org/spreadsheetml/2006/main" count="914" uniqueCount="307">
  <si>
    <t>Sector</t>
  </si>
  <si>
    <t xml:space="preserve">1. Manufacture of machinery and equipment </t>
  </si>
  <si>
    <t>2. Electricity, gas and water supply</t>
  </si>
  <si>
    <t>3. Construction</t>
  </si>
  <si>
    <t>4. Other sectors</t>
  </si>
  <si>
    <t>Total sectors</t>
  </si>
  <si>
    <t>Import</t>
  </si>
  <si>
    <t>Added value</t>
  </si>
  <si>
    <t xml:space="preserve">Total </t>
  </si>
  <si>
    <t>Employment (*1000 fte)/year</t>
  </si>
  <si>
    <t>Primary energy input (PJ)</t>
  </si>
  <si>
    <t>Final use</t>
  </si>
  <si>
    <t>Total</t>
  </si>
  <si>
    <t>INPUT/OUPUT Table</t>
  </si>
  <si>
    <t>Total electricity production</t>
  </si>
  <si>
    <t>Imported electricity</t>
  </si>
  <si>
    <t>Fuel use in dutch power generation</t>
  </si>
  <si>
    <t>Coal</t>
  </si>
  <si>
    <t>Natural gas</t>
  </si>
  <si>
    <t>Other fuels</t>
  </si>
  <si>
    <t>Electricity distribution efficiency</t>
  </si>
  <si>
    <t>GHG emission factors of fuels</t>
  </si>
  <si>
    <t>PJe</t>
  </si>
  <si>
    <t>PJ</t>
  </si>
  <si>
    <t>%</t>
  </si>
  <si>
    <t>kg CO2/GJ</t>
  </si>
  <si>
    <t>GJ</t>
  </si>
  <si>
    <t>GJe</t>
  </si>
  <si>
    <t>Heat demand</t>
  </si>
  <si>
    <t>Space heating</t>
  </si>
  <si>
    <t>Electricity demand</t>
  </si>
  <si>
    <t>GJ to kWh</t>
  </si>
  <si>
    <t>kWh/GJ</t>
  </si>
  <si>
    <t>2a)</t>
  </si>
  <si>
    <t>kWh</t>
  </si>
  <si>
    <t>National grid electricity dist.</t>
  </si>
  <si>
    <t>Heat distribution district</t>
  </si>
  <si>
    <t>Residential grid electicity dist.</t>
  </si>
  <si>
    <t>Kg CO2</t>
  </si>
  <si>
    <t>kg CO2/kWh</t>
  </si>
  <si>
    <t>kg CO2</t>
  </si>
  <si>
    <t>2b)</t>
  </si>
  <si>
    <t>Scenario</t>
  </si>
  <si>
    <t>Eff syngas production</t>
  </si>
  <si>
    <t>Electricity eff fuel cell</t>
  </si>
  <si>
    <t>Thermal eff fuel cell</t>
  </si>
  <si>
    <t>Thermal eff boiler</t>
  </si>
  <si>
    <t>ref</t>
  </si>
  <si>
    <t>-</t>
  </si>
  <si>
    <t>Req central heating T</t>
  </si>
  <si>
    <t>Seasonal performance correction</t>
  </si>
  <si>
    <t>Average T ambient</t>
  </si>
  <si>
    <t>Compressore isentropic eff</t>
  </si>
  <si>
    <t>°C</t>
  </si>
  <si>
    <t>SUBTRACT THIS TO COP</t>
  </si>
  <si>
    <t>Heat pump:</t>
  </si>
  <si>
    <t>Scenario 1 [GJ/y*hh]</t>
  </si>
  <si>
    <t>Scenario 2 [GJ/y*hh]</t>
  </si>
  <si>
    <t>Scenario 3 [GJ/y*hh]</t>
  </si>
  <si>
    <t>Scenario ref [GJ/y*hh]</t>
  </si>
  <si>
    <t>[GJ/y*hh]</t>
  </si>
  <si>
    <t xml:space="preserve">Natural gas </t>
  </si>
  <si>
    <t xml:space="preserve">Electricity </t>
  </si>
  <si>
    <t>Rest electricity is sold to the grid</t>
  </si>
  <si>
    <t>Elec sold to grid</t>
  </si>
  <si>
    <t>2c)</t>
  </si>
  <si>
    <t>Scenario 1 [kg CO2/y*hh]</t>
  </si>
  <si>
    <t>Scenario 2 [kg CO2/y*hh]</t>
  </si>
  <si>
    <t>Scenario 3 [kg CO2/y*hh]</t>
  </si>
  <si>
    <t>Average emission factor</t>
  </si>
  <si>
    <t>LHV (CH4)</t>
  </si>
  <si>
    <t>MM (CH4)</t>
  </si>
  <si>
    <t>GJ/kg</t>
  </si>
  <si>
    <t>MM (CO2)</t>
  </si>
  <si>
    <t>NG 'sold' with electricity</t>
  </si>
  <si>
    <t>3a)</t>
  </si>
  <si>
    <t>Scenario 1</t>
  </si>
  <si>
    <t>Scenario 2</t>
  </si>
  <si>
    <t>Scenario 3</t>
  </si>
  <si>
    <t xml:space="preserve">per elettricità delivered </t>
  </si>
  <si>
    <t xml:space="preserve">18 GJ </t>
  </si>
  <si>
    <t xml:space="preserve">heat pump 18+quelli che servono per fare andare quindi 45 di space heating </t>
  </si>
  <si>
    <t>HX T difference (between cold region and eva)</t>
  </si>
  <si>
    <t>uncertainties: start with border range and then see what to do</t>
  </si>
  <si>
    <t>3b) modify efficiencies and see how that effects the overall emission reduction performance</t>
  </si>
  <si>
    <t>begin with max and min and see what changes</t>
  </si>
  <si>
    <t>CH4 in fuel cell</t>
  </si>
  <si>
    <t>CO2 emissions (Natural gas)</t>
  </si>
  <si>
    <t>Scenario ref</t>
  </si>
  <si>
    <t>This because we have to consider the whole system and so we are 'losing' 56 GJ and not just using 18 GJ</t>
  </si>
  <si>
    <t>CO2 emissions kg/hh/y</t>
  </si>
  <si>
    <t>Emission reduction compared to reference</t>
  </si>
  <si>
    <t>Emission factor [kgCO2/GJ]</t>
  </si>
  <si>
    <t>Change [kgCO2/GJ]</t>
  </si>
  <si>
    <t>Emissions [kgCO2/hh/y]</t>
  </si>
  <si>
    <t>Efficiency variation (overall)</t>
  </si>
  <si>
    <t>FC electricity (reformer)</t>
  </si>
  <si>
    <t>FC heat (reformer)</t>
  </si>
  <si>
    <t>Reduction comp to ref</t>
  </si>
  <si>
    <t>COP</t>
  </si>
  <si>
    <t>COP heat pump</t>
  </si>
  <si>
    <t>Electricity delivered</t>
  </si>
  <si>
    <t>COP seasonal correction</t>
  </si>
  <si>
    <t>CO2 emissions (Electricity lost)</t>
  </si>
  <si>
    <t>Total elec deliv</t>
  </si>
  <si>
    <t>CF</t>
  </si>
  <si>
    <t>Fa</t>
  </si>
  <si>
    <t>Fb</t>
  </si>
  <si>
    <t>Efficiency</t>
  </si>
  <si>
    <t>Reformer</t>
  </si>
  <si>
    <t>Fuel cell elec</t>
  </si>
  <si>
    <t>Fuel cell th</t>
  </si>
  <si>
    <t>Fuel cell overall</t>
  </si>
  <si>
    <t>Heat distr</t>
  </si>
  <si>
    <t>National grid</t>
  </si>
  <si>
    <t>Boiler</t>
  </si>
  <si>
    <t>Other heating</t>
  </si>
  <si>
    <t>GJ/hh/y</t>
  </si>
  <si>
    <t>Emissions</t>
  </si>
  <si>
    <t>CH4 combustion</t>
  </si>
  <si>
    <t>LHV CH4</t>
  </si>
  <si>
    <t>MM CH4</t>
  </si>
  <si>
    <t>MM CO2</t>
  </si>
  <si>
    <t>Emissions CH4 in fc</t>
  </si>
  <si>
    <t>kgCO2/GJ</t>
  </si>
  <si>
    <t>kg/kmol</t>
  </si>
  <si>
    <t>Net electricity</t>
  </si>
  <si>
    <t>Sc 1</t>
  </si>
  <si>
    <t>Sc 2</t>
  </si>
  <si>
    <t>Sc 3</t>
  </si>
  <si>
    <t>Cost</t>
  </si>
  <si>
    <t>Fuel cell</t>
  </si>
  <si>
    <t>Heat pump</t>
  </si>
  <si>
    <t>Heat distribution</t>
  </si>
  <si>
    <t>Gas</t>
  </si>
  <si>
    <t>Electricity</t>
  </si>
  <si>
    <t>Low T heat transfer system</t>
  </si>
  <si>
    <t>Fuel cell capacity</t>
  </si>
  <si>
    <t>Heat pump capacity</t>
  </si>
  <si>
    <t>kW</t>
  </si>
  <si>
    <t>€/kW</t>
  </si>
  <si>
    <t>€/hh</t>
  </si>
  <si>
    <t>+100*heat capacity</t>
  </si>
  <si>
    <t>€/GJ</t>
  </si>
  <si>
    <t>From grid</t>
  </si>
  <si>
    <t>To grid</t>
  </si>
  <si>
    <t>Discount rate</t>
  </si>
  <si>
    <t>O&amp;M</t>
  </si>
  <si>
    <t>Others</t>
  </si>
  <si>
    <t>% of initial inv</t>
  </si>
  <si>
    <t>Lifespan</t>
  </si>
  <si>
    <t>years</t>
  </si>
  <si>
    <t>Annual cost of energy for household</t>
  </si>
  <si>
    <t>Gas boiler</t>
  </si>
  <si>
    <t>€</t>
  </si>
  <si>
    <t>Scaling equation</t>
  </si>
  <si>
    <t>R</t>
  </si>
  <si>
    <t>5a)</t>
  </si>
  <si>
    <t>Other</t>
  </si>
  <si>
    <t>Heat dist system</t>
  </si>
  <si>
    <t>O&amp;M Fuel cell</t>
  </si>
  <si>
    <t>CH4 cost</t>
  </si>
  <si>
    <t>Electricity cost</t>
  </si>
  <si>
    <t>Low T heat dist</t>
  </si>
  <si>
    <t>O&amp;M heat pump</t>
  </si>
  <si>
    <t>O&amp;M boiler</t>
  </si>
  <si>
    <t>Average annual cost</t>
  </si>
  <si>
    <t>€/household</t>
  </si>
  <si>
    <t>for 7 kWth</t>
  </si>
  <si>
    <t>for 3.3 kWel</t>
  </si>
  <si>
    <t>for 17.5 MWsyngas</t>
  </si>
  <si>
    <t>1+R</t>
  </si>
  <si>
    <t>Average annual total cost [€]</t>
  </si>
  <si>
    <t>O&amp;M other</t>
  </si>
  <si>
    <t>Low T heat distribution</t>
  </si>
  <si>
    <t>O&amp;M Heat pump</t>
  </si>
  <si>
    <t>O&amp;M Boiler</t>
  </si>
  <si>
    <t>O&amp;M Other</t>
  </si>
  <si>
    <t>1. Manufacture of machinery and equipment</t>
  </si>
  <si>
    <t>Primary energy input [PJ]</t>
  </si>
  <si>
    <t>Employment (*1000 person years)</t>
  </si>
  <si>
    <t>Capacity FC/HP</t>
  </si>
  <si>
    <t>kW th</t>
  </si>
  <si>
    <t>Distribution services by Sector 3</t>
  </si>
  <si>
    <t>Conversion equipment by Sector 1</t>
  </si>
  <si>
    <t>Oil products</t>
  </si>
  <si>
    <t>Energy requirement for energy [MJ primary energy/MJ delivered]</t>
  </si>
  <si>
    <r>
      <t>Enr [PJ/</t>
    </r>
    <r>
      <rPr>
        <b/>
        <sz val="11"/>
        <color theme="1"/>
        <rFont val="Calibri"/>
        <family val="2"/>
      </rPr>
      <t>€]</t>
    </r>
  </si>
  <si>
    <t>Cumulative energy requirement</t>
  </si>
  <si>
    <t>P</t>
  </si>
  <si>
    <t>(I-A)^-1</t>
  </si>
  <si>
    <t>A</t>
  </si>
  <si>
    <t>I</t>
  </si>
  <si>
    <t>I-A</t>
  </si>
  <si>
    <t>Labour intensity [years/Meuro]</t>
  </si>
  <si>
    <t>Cumulative labour intensity [years/Meuro]</t>
  </si>
  <si>
    <t>Enr*P</t>
  </si>
  <si>
    <t>Cum energy consumption</t>
  </si>
  <si>
    <t>Sum En cum indirect (non utilities)</t>
  </si>
  <si>
    <t>En direct cumulative (utilities)</t>
  </si>
  <si>
    <t>Total cum En consumption</t>
  </si>
  <si>
    <t>deltaF</t>
  </si>
  <si>
    <t>cost ng, electricity sales in sector 2 scenario 1</t>
  </si>
  <si>
    <t>multiply it with vector</t>
  </si>
  <si>
    <t>indirect cum energy use</t>
  </si>
  <si>
    <t>ng use and elec use times fossil fuel intensity</t>
  </si>
  <si>
    <t>direct energy use</t>
  </si>
  <si>
    <t>elec final, ng primary</t>
  </si>
  <si>
    <t>convert to primary energy usage using fossil fuel intensity in 2a</t>
  </si>
  <si>
    <t>table 3</t>
  </si>
  <si>
    <t xml:space="preserve">secondary energy used converted back to primary </t>
  </si>
  <si>
    <t>costs for each sector deltaf</t>
  </si>
  <si>
    <t xml:space="preserve">cost for entire system, divide by construction cost </t>
  </si>
  <si>
    <t xml:space="preserve">sector 1: costs split for sector and multip </t>
  </si>
  <si>
    <t>M€</t>
  </si>
  <si>
    <t>Extra final deliveries</t>
  </si>
  <si>
    <t>Cum employment effect</t>
  </si>
  <si>
    <t>INPUT/OUTPUT Table</t>
  </si>
  <si>
    <t>Annual energy cost</t>
  </si>
  <si>
    <t>CO2 emission reduction</t>
  </si>
  <si>
    <t>Cumulative energy requirement [PJ]</t>
  </si>
  <si>
    <t>Initial investment</t>
  </si>
  <si>
    <t>PBT</t>
  </si>
  <si>
    <t>PBT=I+sum((benefits-costs)/(i+r)^1)</t>
  </si>
  <si>
    <t>5b)</t>
  </si>
  <si>
    <t>6b)</t>
  </si>
  <si>
    <t xml:space="preserve">Fuel cell </t>
  </si>
  <si>
    <t xml:space="preserve">Costs </t>
  </si>
  <si>
    <t>CP1</t>
  </si>
  <si>
    <t>CP2</t>
  </si>
  <si>
    <t>b</t>
  </si>
  <si>
    <t>P2/P1</t>
  </si>
  <si>
    <t>LR</t>
  </si>
  <si>
    <t>Progress ratio</t>
  </si>
  <si>
    <t>Heat needed</t>
  </si>
  <si>
    <t>Units needed</t>
  </si>
  <si>
    <t>Total cost FC</t>
  </si>
  <si>
    <t>W</t>
  </si>
  <si>
    <t>Wth</t>
  </si>
  <si>
    <t>euro/HH</t>
  </si>
  <si>
    <t>Costs</t>
  </si>
  <si>
    <t>Cost per household</t>
  </si>
  <si>
    <t>FC</t>
  </si>
  <si>
    <t>Ref</t>
  </si>
  <si>
    <t>Dist</t>
  </si>
  <si>
    <t>HP</t>
  </si>
  <si>
    <t>TOTAL</t>
  </si>
  <si>
    <t xml:space="preserve">Overall efficiency variation </t>
  </si>
  <si>
    <t>NG used FC</t>
  </si>
  <si>
    <t>NG used boiler</t>
  </si>
  <si>
    <t>Total elec</t>
  </si>
  <si>
    <t>Emissions produced</t>
  </si>
  <si>
    <t>Emission reduction</t>
  </si>
  <si>
    <t>Scenario reference</t>
  </si>
  <si>
    <t>Natural gas (GJ/hh/y)</t>
  </si>
  <si>
    <t>Electricity used (GJ/hh/y)</t>
  </si>
  <si>
    <t>CO2 emissions (GJ/hh/y)</t>
  </si>
  <si>
    <t>Emission reduction compared to reference (GJ/hh/y)</t>
  </si>
  <si>
    <t>ALPHA</t>
  </si>
  <si>
    <t>Average annual cost (€/year)</t>
  </si>
  <si>
    <t>Elec demand</t>
  </si>
  <si>
    <t>cost (size 1) (€)</t>
  </si>
  <si>
    <t>cost (size 2) (€)</t>
  </si>
  <si>
    <t>size 1 (kW)</t>
  </si>
  <si>
    <t>size 2 (kW)</t>
  </si>
  <si>
    <t>Delta cost</t>
  </si>
  <si>
    <t>CO2 avoided (€/kg CO2)</t>
  </si>
  <si>
    <t>CO2 avoided (€/ton CO2)</t>
  </si>
  <si>
    <t>Learning ratio</t>
  </si>
  <si>
    <t>Tech.learning</t>
  </si>
  <si>
    <t>cost FC/kW</t>
  </si>
  <si>
    <t>cost ref/kW</t>
  </si>
  <si>
    <t>Cap increase</t>
  </si>
  <si>
    <t>cost hp/kW</t>
  </si>
  <si>
    <t>NG FC demand</t>
  </si>
  <si>
    <t>NG boiler demand</t>
  </si>
  <si>
    <t>net elec</t>
  </si>
  <si>
    <t>total</t>
  </si>
  <si>
    <t>NG boiler</t>
  </si>
  <si>
    <t>Tot el del</t>
  </si>
  <si>
    <t>Emission reduction [€/kg CO2]</t>
  </si>
  <si>
    <t>CO2 avoided cost [€/kg CO2]</t>
  </si>
  <si>
    <t>CO2 avoided cost [€/ton CO2]</t>
  </si>
  <si>
    <t>Average annual cost (M€/year*1000hh)</t>
  </si>
  <si>
    <t>Cum en consumption</t>
  </si>
  <si>
    <t>Cum empl years</t>
  </si>
  <si>
    <t>Primary energy intensity</t>
  </si>
  <si>
    <t>REF</t>
  </si>
  <si>
    <t>Total cumulative energy use [PJ/year/100hh]</t>
  </si>
  <si>
    <t>Total cumulative energy use [MJ/year/100hh]</t>
  </si>
  <si>
    <t>Share</t>
  </si>
  <si>
    <t>Total cumulative direct energy [PJ]</t>
  </si>
  <si>
    <t>Share indirect energy [PJ]</t>
  </si>
  <si>
    <t>Total cumulative energy use [PJ]</t>
  </si>
  <si>
    <t>Total cumulative indirect energy [PJ]</t>
  </si>
  <si>
    <t>Total  (years)</t>
  </si>
  <si>
    <t>Cost Scenario 1</t>
  </si>
  <si>
    <t>Installed FC capacity</t>
  </si>
  <si>
    <t>Installed HP capacity</t>
  </si>
  <si>
    <t>Cost Scenario 2</t>
  </si>
  <si>
    <t>Cost Scenario 3</t>
  </si>
  <si>
    <t>Cost CO2 avoided</t>
  </si>
  <si>
    <t>Criteria</t>
  </si>
  <si>
    <t>Weight</t>
  </si>
  <si>
    <t>Employment effect</t>
  </si>
  <si>
    <t>Indirect cumulative energy consumption</t>
  </si>
  <si>
    <t>Payback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</si>
</sst>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_-;\-* #,##0_-;_-* &quot;-&quot;??_-;_-@_-"/>
    <numFmt numFmtId="165" formatCode="0.0000"/>
    <numFmt numFmtId="166" formatCode="0.000"/>
    <numFmt numFmtId="167" formatCode="0.00000"/>
    <numFmt numFmtId="168" formatCode="0.0"/>
    <numFmt numFmtId="169" formatCode="_-* #,##0.000_-;\-* #,##0.0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Times"/>
      <family val="1"/>
    </font>
    <font>
      <b/>
      <i/>
      <sz val="11"/>
      <name val="Times"/>
      <family val="1"/>
    </font>
    <font>
      <sz val="11"/>
      <name val="Times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3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6" xfId="0" applyFont="1" applyFill="1" applyBorder="1" applyAlignment="1">
      <alignment horizontal="right"/>
    </xf>
    <xf numFmtId="3" fontId="3" fillId="0" borderId="7" xfId="0" applyNumberFormat="1" applyFont="1" applyFill="1" applyBorder="1" applyAlignment="1">
      <alignment horizontal="right"/>
    </xf>
    <xf numFmtId="0" fontId="3" fillId="0" borderId="7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0" fontId="3" fillId="0" borderId="4" xfId="0" applyFont="1" applyFill="1" applyBorder="1" applyAlignment="1">
      <alignment horizontal="right"/>
    </xf>
    <xf numFmtId="0" fontId="3" fillId="0" borderId="8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justify"/>
    </xf>
    <xf numFmtId="0" fontId="3" fillId="0" borderId="4" xfId="0" applyFont="1" applyFill="1" applyBorder="1" applyAlignment="1">
      <alignment horizontal="justify"/>
    </xf>
    <xf numFmtId="0" fontId="3" fillId="0" borderId="3" xfId="0" applyFont="1" applyFill="1" applyBorder="1" applyAlignment="1">
      <alignment horizontal="justify"/>
    </xf>
    <xf numFmtId="0" fontId="3" fillId="0" borderId="9" xfId="0" applyFont="1" applyFill="1" applyBorder="1" applyAlignment="1">
      <alignment horizontal="right"/>
    </xf>
    <xf numFmtId="0" fontId="3" fillId="0" borderId="5" xfId="0" applyFont="1" applyFill="1" applyBorder="1" applyAlignment="1">
      <alignment horizontal="justify"/>
    </xf>
    <xf numFmtId="0" fontId="3" fillId="0" borderId="1" xfId="0" applyFont="1" applyFill="1" applyBorder="1" applyAlignment="1">
      <alignment horizontal="justify"/>
    </xf>
    <xf numFmtId="3" fontId="3" fillId="3" borderId="7" xfId="0" applyNumberFormat="1" applyFont="1" applyFill="1" applyBorder="1" applyAlignment="1">
      <alignment horizontal="right"/>
    </xf>
    <xf numFmtId="0" fontId="3" fillId="3" borderId="9" xfId="0" applyFont="1" applyFill="1" applyBorder="1" applyAlignment="1">
      <alignment horizontal="right"/>
    </xf>
    <xf numFmtId="0" fontId="5" fillId="0" borderId="0" xfId="0" applyFont="1"/>
    <xf numFmtId="164" fontId="0" fillId="0" borderId="0" xfId="1" applyNumberFormat="1" applyFont="1"/>
    <xf numFmtId="164" fontId="0" fillId="0" borderId="0" xfId="0" applyNumberFormat="1"/>
    <xf numFmtId="43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66" fontId="0" fillId="0" borderId="0" xfId="0" applyNumberFormat="1"/>
    <xf numFmtId="2" fontId="0" fillId="0" borderId="0" xfId="0" applyNumberFormat="1"/>
    <xf numFmtId="0" fontId="7" fillId="0" borderId="0" xfId="0" applyFont="1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3" xfId="0" applyBorder="1"/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" xfId="0" applyBorder="1"/>
    <xf numFmtId="0" fontId="0" fillId="0" borderId="4" xfId="0" applyBorder="1"/>
    <xf numFmtId="0" fontId="8" fillId="0" borderId="0" xfId="0" applyFont="1" applyBorder="1"/>
    <xf numFmtId="0" fontId="0" fillId="0" borderId="0" xfId="0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0" xfId="0" applyFont="1" applyBorder="1"/>
    <xf numFmtId="0" fontId="0" fillId="0" borderId="16" xfId="0" applyFill="1" applyBorder="1"/>
    <xf numFmtId="164" fontId="0" fillId="0" borderId="0" xfId="1" applyNumberFormat="1" applyFont="1" applyBorder="1" applyAlignment="1">
      <alignment horizontal="center"/>
    </xf>
    <xf numFmtId="164" fontId="0" fillId="0" borderId="17" xfId="1" applyNumberFormat="1" applyFon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164" fontId="0" fillId="0" borderId="14" xfId="1" applyNumberFormat="1" applyFont="1" applyBorder="1" applyAlignment="1">
      <alignment horizontal="center"/>
    </xf>
    <xf numFmtId="164" fontId="0" fillId="0" borderId="18" xfId="1" applyNumberFormat="1" applyFont="1" applyBorder="1" applyAlignment="1">
      <alignment horizontal="center"/>
    </xf>
    <xf numFmtId="164" fontId="0" fillId="0" borderId="13" xfId="1" applyNumberFormat="1" applyFont="1" applyBorder="1" applyAlignment="1">
      <alignment horizontal="center"/>
    </xf>
    <xf numFmtId="164" fontId="0" fillId="0" borderId="19" xfId="1" applyNumberFormat="1" applyFont="1" applyBorder="1" applyAlignment="1">
      <alignment horizontal="center"/>
    </xf>
    <xf numFmtId="164" fontId="0" fillId="0" borderId="4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0" fontId="5" fillId="0" borderId="7" xfId="0" applyFont="1" applyBorder="1"/>
    <xf numFmtId="0" fontId="5" fillId="0" borderId="19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7" xfId="0" applyFont="1" applyBorder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164" fontId="0" fillId="0" borderId="8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5" fillId="0" borderId="19" xfId="0" applyFont="1" applyFill="1" applyBorder="1"/>
    <xf numFmtId="0" fontId="5" fillId="0" borderId="18" xfId="0" applyFont="1" applyFill="1" applyBorder="1"/>
    <xf numFmtId="165" fontId="0" fillId="0" borderId="3" xfId="0" applyNumberFormat="1" applyBorder="1"/>
    <xf numFmtId="165" fontId="0" fillId="0" borderId="8" xfId="0" applyNumberFormat="1" applyBorder="1"/>
    <xf numFmtId="165" fontId="0" fillId="0" borderId="12" xfId="0" applyNumberFormat="1" applyBorder="1"/>
    <xf numFmtId="165" fontId="0" fillId="0" borderId="4" xfId="0" applyNumberFormat="1" applyBorder="1"/>
    <xf numFmtId="165" fontId="0" fillId="0" borderId="0" xfId="0" applyNumberFormat="1" applyBorder="1"/>
    <xf numFmtId="165" fontId="0" fillId="0" borderId="14" xfId="0" applyNumberFormat="1" applyBorder="1"/>
    <xf numFmtId="165" fontId="0" fillId="0" borderId="11" xfId="0" applyNumberFormat="1" applyBorder="1"/>
    <xf numFmtId="165" fontId="0" fillId="0" borderId="13" xfId="0" applyNumberFormat="1" applyBorder="1"/>
    <xf numFmtId="165" fontId="0" fillId="0" borderId="10" xfId="0" applyNumberFormat="1" applyBorder="1"/>
    <xf numFmtId="0" fontId="5" fillId="0" borderId="17" xfId="0" applyFont="1" applyFill="1" applyBorder="1"/>
    <xf numFmtId="165" fontId="0" fillId="0" borderId="15" xfId="0" applyNumberFormat="1" applyBorder="1"/>
    <xf numFmtId="165" fontId="0" fillId="0" borderId="16" xfId="0" applyNumberFormat="1" applyBorder="1"/>
    <xf numFmtId="165" fontId="0" fillId="0" borderId="2" xfId="0" applyNumberForma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164" fontId="0" fillId="0" borderId="17" xfId="1" applyNumberFormat="1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ill="1" applyBorder="1"/>
    <xf numFmtId="11" fontId="0" fillId="0" borderId="4" xfId="0" applyNumberFormat="1" applyBorder="1"/>
    <xf numFmtId="11" fontId="0" fillId="0" borderId="0" xfId="0" applyNumberFormat="1" applyBorder="1"/>
    <xf numFmtId="1" fontId="0" fillId="0" borderId="0" xfId="0" applyNumberFormat="1" applyBorder="1"/>
    <xf numFmtId="11" fontId="0" fillId="0" borderId="3" xfId="0" applyNumberFormat="1" applyBorder="1"/>
    <xf numFmtId="1" fontId="0" fillId="0" borderId="10" xfId="0" applyNumberFormat="1" applyBorder="1"/>
    <xf numFmtId="11" fontId="0" fillId="0" borderId="8" xfId="0" applyNumberFormat="1" applyBorder="1"/>
    <xf numFmtId="11" fontId="0" fillId="0" borderId="11" xfId="0" applyNumberFormat="1" applyBorder="1"/>
    <xf numFmtId="11" fontId="0" fillId="0" borderId="10" xfId="0" applyNumberFormat="1" applyBorder="1"/>
    <xf numFmtId="167" fontId="0" fillId="0" borderId="12" xfId="0" applyNumberFormat="1" applyBorder="1"/>
    <xf numFmtId="167" fontId="0" fillId="0" borderId="14" xfId="0" applyNumberFormat="1" applyBorder="1"/>
    <xf numFmtId="167" fontId="0" fillId="0" borderId="13" xfId="0" applyNumberFormat="1" applyBorder="1"/>
    <xf numFmtId="0" fontId="5" fillId="0" borderId="15" xfId="0" applyFont="1" applyBorder="1"/>
    <xf numFmtId="0" fontId="1" fillId="2" borderId="20" xfId="0" applyFont="1" applyFill="1" applyBorder="1"/>
    <xf numFmtId="0" fontId="1" fillId="2" borderId="21" xfId="0" applyFont="1" applyFill="1" applyBorder="1"/>
    <xf numFmtId="0" fontId="1" fillId="2" borderId="22" xfId="0" applyFont="1" applyFill="1" applyBorder="1"/>
    <xf numFmtId="0" fontId="2" fillId="0" borderId="23" xfId="0" applyFont="1" applyFill="1" applyBorder="1" applyAlignment="1">
      <alignment horizontal="justify"/>
    </xf>
    <xf numFmtId="0" fontId="1" fillId="2" borderId="0" xfId="0" applyFont="1" applyFill="1" applyBorder="1"/>
    <xf numFmtId="0" fontId="1" fillId="2" borderId="24" xfId="0" applyFont="1" applyFill="1" applyBorder="1"/>
    <xf numFmtId="0" fontId="3" fillId="0" borderId="25" xfId="0" applyFont="1" applyFill="1" applyBorder="1" applyAlignment="1">
      <alignment horizontal="justify"/>
    </xf>
    <xf numFmtId="0" fontId="3" fillId="0" borderId="26" xfId="0" applyFont="1" applyFill="1" applyBorder="1" applyAlignment="1">
      <alignment horizontal="justify"/>
    </xf>
    <xf numFmtId="0" fontId="3" fillId="0" borderId="27" xfId="0" applyFont="1" applyFill="1" applyBorder="1" applyAlignment="1">
      <alignment horizontal="justify"/>
    </xf>
    <xf numFmtId="0" fontId="1" fillId="2" borderId="26" xfId="0" applyFont="1" applyFill="1" applyBorder="1"/>
    <xf numFmtId="3" fontId="1" fillId="2" borderId="0" xfId="0" applyNumberFormat="1" applyFont="1" applyFill="1" applyBorder="1"/>
    <xf numFmtId="0" fontId="1" fillId="2" borderId="28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31" xfId="0" applyFont="1" applyFill="1" applyBorder="1"/>
    <xf numFmtId="0" fontId="1" fillId="2" borderId="32" xfId="0" applyFont="1" applyFill="1" applyBorder="1"/>
    <xf numFmtId="0" fontId="1" fillId="2" borderId="33" xfId="0" applyFont="1" applyFill="1" applyBorder="1"/>
    <xf numFmtId="0" fontId="0" fillId="2" borderId="0" xfId="0" applyFont="1" applyFill="1"/>
    <xf numFmtId="0" fontId="0" fillId="0" borderId="0" xfId="0" applyFont="1"/>
    <xf numFmtId="0" fontId="10" fillId="0" borderId="7" xfId="0" applyFont="1" applyFill="1" applyBorder="1" applyAlignment="1">
      <alignment horizontal="justify"/>
    </xf>
    <xf numFmtId="0" fontId="10" fillId="0" borderId="7" xfId="0" applyFont="1" applyFill="1" applyBorder="1" applyAlignment="1">
      <alignment horizontal="right"/>
    </xf>
    <xf numFmtId="0" fontId="8" fillId="0" borderId="7" xfId="0" applyFont="1" applyFill="1" applyBorder="1" applyAlignment="1">
      <alignment horizontal="justify"/>
    </xf>
    <xf numFmtId="3" fontId="8" fillId="0" borderId="7" xfId="0" applyNumberFormat="1" applyFont="1" applyFill="1" applyBorder="1" applyAlignment="1">
      <alignment horizontal="right"/>
    </xf>
    <xf numFmtId="0" fontId="8" fillId="0" borderId="7" xfId="0" applyFont="1" applyFill="1" applyBorder="1" applyAlignment="1">
      <alignment horizontal="right"/>
    </xf>
    <xf numFmtId="3" fontId="8" fillId="3" borderId="7" xfId="0" applyNumberFormat="1" applyFont="1" applyFill="1" applyBorder="1" applyAlignment="1">
      <alignment horizontal="right"/>
    </xf>
    <xf numFmtId="0" fontId="8" fillId="0" borderId="3" xfId="0" applyFont="1" applyFill="1" applyBorder="1" applyAlignment="1">
      <alignment horizontal="right"/>
    </xf>
    <xf numFmtId="0" fontId="8" fillId="0" borderId="10" xfId="0" applyFont="1" applyFill="1" applyBorder="1" applyAlignment="1">
      <alignment horizontal="right"/>
    </xf>
    <xf numFmtId="0" fontId="8" fillId="0" borderId="8" xfId="0" applyFont="1" applyFill="1" applyBorder="1" applyAlignment="1">
      <alignment horizontal="right"/>
    </xf>
    <xf numFmtId="0" fontId="8" fillId="0" borderId="11" xfId="0" applyFont="1" applyFill="1" applyBorder="1" applyAlignment="1">
      <alignment horizontal="right"/>
    </xf>
    <xf numFmtId="0" fontId="8" fillId="0" borderId="12" xfId="0" applyFont="1" applyFill="1" applyBorder="1" applyAlignment="1">
      <alignment horizontal="right"/>
    </xf>
    <xf numFmtId="0" fontId="8" fillId="0" borderId="13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justify"/>
    </xf>
    <xf numFmtId="0" fontId="8" fillId="0" borderId="4" xfId="0" applyFont="1" applyFill="1" applyBorder="1" applyAlignment="1">
      <alignment horizontal="justify"/>
    </xf>
    <xf numFmtId="0" fontId="8" fillId="0" borderId="3" xfId="0" applyFont="1" applyFill="1" applyBorder="1" applyAlignment="1">
      <alignment horizontal="justify"/>
    </xf>
    <xf numFmtId="0" fontId="8" fillId="0" borderId="10" xfId="0" applyFont="1" applyFill="1" applyBorder="1" applyAlignment="1">
      <alignment horizontal="justify"/>
    </xf>
    <xf numFmtId="0" fontId="8" fillId="3" borderId="7" xfId="0" applyFont="1" applyFill="1" applyBorder="1" applyAlignment="1">
      <alignment horizontal="right"/>
    </xf>
    <xf numFmtId="0" fontId="8" fillId="0" borderId="12" xfId="0" applyFont="1" applyFill="1" applyBorder="1" applyAlignment="1">
      <alignment horizontal="justify"/>
    </xf>
    <xf numFmtId="0" fontId="8" fillId="0" borderId="13" xfId="0" applyFont="1" applyFill="1" applyBorder="1" applyAlignment="1">
      <alignment horizontal="justify"/>
    </xf>
    <xf numFmtId="0" fontId="5" fillId="0" borderId="12" xfId="0" applyFont="1" applyBorder="1"/>
    <xf numFmtId="0" fontId="0" fillId="0" borderId="34" xfId="0" applyBorder="1"/>
    <xf numFmtId="11" fontId="0" fillId="0" borderId="2" xfId="0" applyNumberFormat="1" applyBorder="1"/>
    <xf numFmtId="11" fontId="0" fillId="0" borderId="16" xfId="0" applyNumberFormat="1" applyBorder="1"/>
    <xf numFmtId="0" fontId="7" fillId="0" borderId="0" xfId="0" applyFont="1" applyBorder="1"/>
    <xf numFmtId="0" fontId="5" fillId="0" borderId="3" xfId="0" applyFont="1" applyBorder="1"/>
    <xf numFmtId="0" fontId="0" fillId="0" borderId="4" xfId="0" applyFill="1" applyBorder="1"/>
    <xf numFmtId="0" fontId="0" fillId="0" borderId="14" xfId="0" applyFill="1" applyBorder="1"/>
    <xf numFmtId="0" fontId="0" fillId="0" borderId="7" xfId="0" applyBorder="1"/>
    <xf numFmtId="2" fontId="0" fillId="0" borderId="10" xfId="0" applyNumberFormat="1" applyBorder="1"/>
    <xf numFmtId="2" fontId="0" fillId="0" borderId="13" xfId="0" applyNumberFormat="1" applyBorder="1"/>
    <xf numFmtId="166" fontId="0" fillId="0" borderId="8" xfId="0" applyNumberFormat="1" applyBorder="1"/>
    <xf numFmtId="166" fontId="0" fillId="0" borderId="12" xfId="0" applyNumberFormat="1" applyBorder="1"/>
    <xf numFmtId="2" fontId="0" fillId="0" borderId="7" xfId="0" applyNumberFormat="1" applyBorder="1"/>
    <xf numFmtId="168" fontId="0" fillId="0" borderId="0" xfId="0" applyNumberFormat="1"/>
    <xf numFmtId="1" fontId="0" fillId="0" borderId="0" xfId="0" applyNumberFormat="1"/>
    <xf numFmtId="168" fontId="0" fillId="0" borderId="7" xfId="0" applyNumberFormat="1" applyBorder="1"/>
    <xf numFmtId="1" fontId="0" fillId="0" borderId="7" xfId="0" applyNumberFormat="1" applyBorder="1"/>
    <xf numFmtId="0" fontId="5" fillId="0" borderId="7" xfId="0" applyFon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6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7" xfId="0" applyFont="1" applyBorder="1" applyAlignment="1">
      <alignment horizont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1" xfId="0" applyNumberFormat="1" applyBorder="1"/>
    <xf numFmtId="0" fontId="11" fillId="5" borderId="0" xfId="0" applyFont="1" applyFill="1"/>
    <xf numFmtId="2" fontId="11" fillId="0" borderId="7" xfId="0" applyNumberFormat="1" applyFont="1" applyBorder="1"/>
    <xf numFmtId="2" fontId="8" fillId="0" borderId="7" xfId="0" applyNumberFormat="1" applyFont="1" applyBorder="1"/>
    <xf numFmtId="0" fontId="11" fillId="0" borderId="7" xfId="0" applyFont="1" applyBorder="1"/>
    <xf numFmtId="2" fontId="0" fillId="0" borderId="11" xfId="0" applyNumberFormat="1" applyFont="1" applyBorder="1"/>
    <xf numFmtId="0" fontId="0" fillId="0" borderId="7" xfId="0" applyFill="1" applyBorder="1"/>
    <xf numFmtId="0" fontId="0" fillId="0" borderId="7" xfId="0" applyFont="1" applyBorder="1"/>
    <xf numFmtId="0" fontId="8" fillId="0" borderId="7" xfId="0" applyFont="1" applyBorder="1"/>
    <xf numFmtId="2" fontId="5" fillId="0" borderId="7" xfId="0" applyNumberFormat="1" applyFont="1" applyBorder="1"/>
    <xf numFmtId="0" fontId="5" fillId="4" borderId="7" xfId="0" applyFont="1" applyFill="1" applyBorder="1"/>
    <xf numFmtId="0" fontId="5" fillId="0" borderId="7" xfId="0" applyFont="1" applyBorder="1" applyAlignment="1">
      <alignment horizontal="center"/>
    </xf>
    <xf numFmtId="0" fontId="5" fillId="4" borderId="3" xfId="0" applyFont="1" applyFill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7" xfId="0" applyFont="1" applyFill="1" applyBorder="1"/>
    <xf numFmtId="0" fontId="5" fillId="0" borderId="0" xfId="0" applyFont="1" applyBorder="1" applyAlignment="1"/>
    <xf numFmtId="2" fontId="0" fillId="0" borderId="7" xfId="0" applyNumberFormat="1" applyFont="1" applyBorder="1" applyAlignment="1"/>
    <xf numFmtId="2" fontId="0" fillId="0" borderId="0" xfId="0" applyNumberFormat="1" applyBorder="1"/>
    <xf numFmtId="1" fontId="0" fillId="0" borderId="7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/>
    </xf>
    <xf numFmtId="0" fontId="5" fillId="0" borderId="7" xfId="0" applyFont="1" applyBorder="1" applyAlignment="1">
      <alignment horizontal="center"/>
    </xf>
    <xf numFmtId="164" fontId="0" fillId="0" borderId="7" xfId="0" applyNumberFormat="1" applyBorder="1"/>
    <xf numFmtId="164" fontId="0" fillId="0" borderId="0" xfId="0" applyNumberFormat="1" applyBorder="1"/>
    <xf numFmtId="169" fontId="0" fillId="0" borderId="7" xfId="0" applyNumberFormat="1" applyBorder="1"/>
    <xf numFmtId="167" fontId="0" fillId="0" borderId="34" xfId="0" applyNumberFormat="1" applyBorder="1"/>
    <xf numFmtId="0" fontId="0" fillId="0" borderId="35" xfId="0" applyBorder="1"/>
    <xf numFmtId="167" fontId="0" fillId="0" borderId="8" xfId="0" applyNumberFormat="1" applyBorder="1"/>
    <xf numFmtId="167" fontId="0" fillId="0" borderId="35" xfId="0" applyNumberFormat="1" applyBorder="1"/>
    <xf numFmtId="167" fontId="0" fillId="0" borderId="36" xfId="0" applyNumberFormat="1" applyBorder="1"/>
    <xf numFmtId="167" fontId="0" fillId="0" borderId="37" xfId="0" applyNumberFormat="1" applyBorder="1"/>
    <xf numFmtId="2" fontId="0" fillId="0" borderId="8" xfId="0" applyNumberFormat="1" applyBorder="1"/>
    <xf numFmtId="2" fontId="0" fillId="0" borderId="17" xfId="0" applyNumberFormat="1" applyBorder="1"/>
    <xf numFmtId="2" fontId="0" fillId="0" borderId="12" xfId="0" applyNumberFormat="1" applyBorder="1"/>
    <xf numFmtId="2" fontId="0" fillId="0" borderId="18" xfId="0" applyNumberFormat="1" applyBorder="1"/>
    <xf numFmtId="167" fontId="0" fillId="0" borderId="0" xfId="0" applyNumberFormat="1"/>
    <xf numFmtId="0" fontId="0" fillId="6" borderId="0" xfId="0" applyFill="1"/>
    <xf numFmtId="166" fontId="0" fillId="0" borderId="3" xfId="0" applyNumberFormat="1" applyBorder="1"/>
    <xf numFmtId="166" fontId="0" fillId="0" borderId="4" xfId="0" applyNumberFormat="1" applyBorder="1"/>
    <xf numFmtId="166" fontId="0" fillId="0" borderId="10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2" xfId="0" applyNumberFormat="1" applyBorder="1"/>
    <xf numFmtId="11" fontId="0" fillId="0" borderId="7" xfId="0" applyNumberForma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7" xfId="0" applyFont="1" applyFill="1" applyBorder="1" applyAlignment="1"/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29268137214564"/>
          <c:y val="5.5555555555555552E-2"/>
          <c:w val="0.87021381394049735"/>
          <c:h val="0.84167468649752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'Q2 Q3'!$H$39</c:f>
              <c:strCache>
                <c:ptCount val="1"/>
                <c:pt idx="0">
                  <c:v>CO2 emissions kg/hh/y</c:v>
                </c:pt>
              </c:strCache>
            </c:strRef>
          </c:tx>
          <c:spPr>
            <a:pattFill prst="wdDnDiag">
              <a:fgClr>
                <a:schemeClr val="accent1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'Q2 Q3'!$I$36:$K$36</c:f>
              <c:strCache>
                <c:ptCount val="3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</c:strCache>
            </c:strRef>
          </c:cat>
          <c:val>
            <c:numRef>
              <c:f>'Q2 Q3'!$I$39:$K$39</c:f>
              <c:numCache>
                <c:formatCode>General</c:formatCode>
                <c:ptCount val="3"/>
                <c:pt idx="0">
                  <c:v>-2516.7972062858535</c:v>
                </c:pt>
                <c:pt idx="1">
                  <c:v>1971.8114242953361</c:v>
                </c:pt>
                <c:pt idx="2">
                  <c:v>7084.0209528560736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94-47D1-ACD3-6486EC6CEAA8}"/>
            </c:ext>
          </c:extLst>
        </c:ser>
        <c:ser>
          <c:idx val="1"/>
          <c:order val="1"/>
          <c:tx>
            <c:strRef>
              <c:f>'Q2 Q3'!$H$43</c:f>
              <c:strCache>
                <c:ptCount val="1"/>
                <c:pt idx="0">
                  <c:v>Emission reduction compared to reference</c:v>
                </c:pt>
              </c:strCache>
            </c:strRef>
          </c:tx>
          <c:spPr>
            <a:pattFill prst="dkUpDiag">
              <a:fgClr>
                <a:schemeClr val="tx2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'Q2 Q3'!$I$36:$K$36</c:f>
              <c:strCache>
                <c:ptCount val="3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</c:strCache>
            </c:strRef>
          </c:cat>
          <c:val>
            <c:numRef>
              <c:f>'Q2 Q3'!$I$43:$K$43</c:f>
              <c:numCache>
                <c:formatCode>General</c:formatCode>
                <c:ptCount val="3"/>
                <c:pt idx="0">
                  <c:v>9584.8939885258133</c:v>
                </c:pt>
                <c:pt idx="1">
                  <c:v>5096.2853579446237</c:v>
                </c:pt>
                <c:pt idx="2">
                  <c:v>-15.92417061611377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94-47D1-ACD3-6486EC6CE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20936912"/>
        <c:axId val="420937568"/>
      </c:barChart>
      <c:catAx>
        <c:axId val="42093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37568"/>
        <c:crosses val="autoZero"/>
        <c:auto val="1"/>
        <c:lblAlgn val="ctr"/>
        <c:lblOffset val="100"/>
        <c:noMultiLvlLbl val="0"/>
      </c:catAx>
      <c:valAx>
        <c:axId val="420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3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Emission reduction varying CO2 emissions in the grid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90096574383225"/>
          <c:y val="0.16672282567229535"/>
          <c:w val="0.71478827421492608"/>
          <c:h val="0.7492783649641156"/>
        </c:manualLayout>
      </c:layout>
      <c:lineChart>
        <c:grouping val="standard"/>
        <c:varyColors val="0"/>
        <c:ser>
          <c:idx val="0"/>
          <c:order val="0"/>
          <c:tx>
            <c:strRef>
              <c:f>'Q2 Q3'!$G$51</c:f>
              <c:strCache>
                <c:ptCount val="1"/>
                <c:pt idx="0">
                  <c:v>Scenario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'Q2 Q3'!$B$52:$B$62</c:f>
              <c:numCache>
                <c:formatCode>General</c:formatCode>
                <c:ptCount val="11"/>
                <c:pt idx="0" formatCode="0">
                  <c:v>222.37964579695685</c:v>
                </c:pt>
                <c:pt idx="1">
                  <c:v>200</c:v>
                </c:pt>
                <c:pt idx="2">
                  <c:v>180</c:v>
                </c:pt>
                <c:pt idx="3">
                  <c:v>160</c:v>
                </c:pt>
                <c:pt idx="4">
                  <c:v>140</c:v>
                </c:pt>
                <c:pt idx="5">
                  <c:v>120</c:v>
                </c:pt>
                <c:pt idx="6">
                  <c:v>100</c:v>
                </c:pt>
                <c:pt idx="7">
                  <c:v>80</c:v>
                </c:pt>
                <c:pt idx="8">
                  <c:v>60</c:v>
                </c:pt>
                <c:pt idx="9">
                  <c:v>40</c:v>
                </c:pt>
                <c:pt idx="10" formatCode="0.0">
                  <c:v>20.85</c:v>
                </c:pt>
              </c:numCache>
            </c:numRef>
          </c:cat>
          <c:val>
            <c:numRef>
              <c:f>'Q2 Q3'!$G$52:$G$62</c:f>
              <c:numCache>
                <c:formatCode>General</c:formatCode>
                <c:ptCount val="11"/>
                <c:pt idx="0">
                  <c:v>9584.8939885258133</c:v>
                </c:pt>
                <c:pt idx="1">
                  <c:v>7922.4060150375917</c:v>
                </c:pt>
                <c:pt idx="2">
                  <c:v>6436.6917293233055</c:v>
                </c:pt>
                <c:pt idx="3">
                  <c:v>4950.9774436090211</c:v>
                </c:pt>
                <c:pt idx="4">
                  <c:v>3465.2631578947357</c:v>
                </c:pt>
                <c:pt idx="5">
                  <c:v>1979.5488721804504</c:v>
                </c:pt>
                <c:pt idx="6">
                  <c:v>493.83458646616509</c:v>
                </c:pt>
                <c:pt idx="7">
                  <c:v>-991.87969924812023</c:v>
                </c:pt>
                <c:pt idx="8">
                  <c:v>-2477.5939849624056</c:v>
                </c:pt>
                <c:pt idx="9">
                  <c:v>-3963.3082706766909</c:v>
                </c:pt>
                <c:pt idx="10">
                  <c:v>-5385.8796992481193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EC-4BCB-8500-36D980BD7B3B}"/>
            </c:ext>
          </c:extLst>
        </c:ser>
        <c:ser>
          <c:idx val="1"/>
          <c:order val="1"/>
          <c:tx>
            <c:strRef>
              <c:f>'Q2 Q3'!$H$51</c:f>
              <c:strCache>
                <c:ptCount val="1"/>
                <c:pt idx="0">
                  <c:v>Scenario 2</c:v>
                </c:pt>
              </c:strCache>
            </c:strRef>
          </c:tx>
          <c:spPr>
            <a:ln w="28575" cap="rnd">
              <a:solidFill>
                <a:schemeClr val="tx2">
                  <a:lumMod val="40000"/>
                  <a:lumOff val="6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'Q2 Q3'!$B$52:$B$62</c:f>
              <c:numCache>
                <c:formatCode>General</c:formatCode>
                <c:ptCount val="11"/>
                <c:pt idx="0" formatCode="0">
                  <c:v>222.37964579695685</c:v>
                </c:pt>
                <c:pt idx="1">
                  <c:v>200</c:v>
                </c:pt>
                <c:pt idx="2">
                  <c:v>180</c:v>
                </c:pt>
                <c:pt idx="3">
                  <c:v>160</c:v>
                </c:pt>
                <c:pt idx="4">
                  <c:v>140</c:v>
                </c:pt>
                <c:pt idx="5">
                  <c:v>120</c:v>
                </c:pt>
                <c:pt idx="6">
                  <c:v>100</c:v>
                </c:pt>
                <c:pt idx="7">
                  <c:v>80</c:v>
                </c:pt>
                <c:pt idx="8">
                  <c:v>60</c:v>
                </c:pt>
                <c:pt idx="9">
                  <c:v>40</c:v>
                </c:pt>
                <c:pt idx="10" formatCode="0.0">
                  <c:v>20.85</c:v>
                </c:pt>
              </c:numCache>
            </c:numRef>
          </c:cat>
          <c:val>
            <c:numRef>
              <c:f>'Q2 Q3'!$H$52:$H$62</c:f>
              <c:numCache>
                <c:formatCode>General</c:formatCode>
                <c:ptCount val="11"/>
                <c:pt idx="0">
                  <c:v>5096.2853579446237</c:v>
                </c:pt>
                <c:pt idx="1">
                  <c:v>3845.2631578947367</c:v>
                </c:pt>
                <c:pt idx="2">
                  <c:v>2727.2631578947367</c:v>
                </c:pt>
                <c:pt idx="3">
                  <c:v>1609.2631578947367</c:v>
                </c:pt>
                <c:pt idx="4">
                  <c:v>491.26315789473665</c:v>
                </c:pt>
                <c:pt idx="5">
                  <c:v>-626.73684210526335</c:v>
                </c:pt>
                <c:pt idx="6">
                  <c:v>-1744.7368421052633</c:v>
                </c:pt>
                <c:pt idx="7">
                  <c:v>-2862.7368421052633</c:v>
                </c:pt>
                <c:pt idx="8">
                  <c:v>-3980.7368421052633</c:v>
                </c:pt>
                <c:pt idx="9">
                  <c:v>-5098.7368421052633</c:v>
                </c:pt>
                <c:pt idx="10">
                  <c:v>-6169.221842105263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EC-4BCB-8500-36D980BD7B3B}"/>
            </c:ext>
          </c:extLst>
        </c:ser>
        <c:ser>
          <c:idx val="2"/>
          <c:order val="2"/>
          <c:tx>
            <c:strRef>
              <c:f>'Q2 Q3'!$I$51</c:f>
              <c:strCache>
                <c:ptCount val="1"/>
                <c:pt idx="0">
                  <c:v>Scenario 3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'Q2 Q3'!$B$52:$B$62</c:f>
              <c:numCache>
                <c:formatCode>General</c:formatCode>
                <c:ptCount val="11"/>
                <c:pt idx="0" formatCode="0">
                  <c:v>222.37964579695685</c:v>
                </c:pt>
                <c:pt idx="1">
                  <c:v>200</c:v>
                </c:pt>
                <c:pt idx="2">
                  <c:v>180</c:v>
                </c:pt>
                <c:pt idx="3">
                  <c:v>160</c:v>
                </c:pt>
                <c:pt idx="4">
                  <c:v>140</c:v>
                </c:pt>
                <c:pt idx="5">
                  <c:v>120</c:v>
                </c:pt>
                <c:pt idx="6">
                  <c:v>100</c:v>
                </c:pt>
                <c:pt idx="7">
                  <c:v>80</c:v>
                </c:pt>
                <c:pt idx="8">
                  <c:v>60</c:v>
                </c:pt>
                <c:pt idx="9">
                  <c:v>40</c:v>
                </c:pt>
                <c:pt idx="10" formatCode="0.0">
                  <c:v>20.85</c:v>
                </c:pt>
              </c:numCache>
            </c:numRef>
          </c:cat>
          <c:val>
            <c:numRef>
              <c:f>'Q2 Q3'!$I$52:$I$62</c:f>
              <c:numCache>
                <c:formatCode>General</c:formatCode>
                <c:ptCount val="11"/>
                <c:pt idx="0">
                  <c:v>-15.92417061611377</c:v>
                </c:pt>
                <c:pt idx="1">
                  <c:v>252.63157894736833</c:v>
                </c:pt>
                <c:pt idx="2">
                  <c:v>492.63157894736833</c:v>
                </c:pt>
                <c:pt idx="3">
                  <c:v>732.63157894736833</c:v>
                </c:pt>
                <c:pt idx="4">
                  <c:v>972.63157894736833</c:v>
                </c:pt>
                <c:pt idx="5">
                  <c:v>1212.6315789473683</c:v>
                </c:pt>
                <c:pt idx="6">
                  <c:v>1452.6315789473683</c:v>
                </c:pt>
                <c:pt idx="7">
                  <c:v>1692.6315789473683</c:v>
                </c:pt>
                <c:pt idx="8">
                  <c:v>1932.6315789473683</c:v>
                </c:pt>
                <c:pt idx="9">
                  <c:v>2172.6315789473683</c:v>
                </c:pt>
                <c:pt idx="10">
                  <c:v>2402.4315789473685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EC-4BCB-8500-36D980BD7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3490016"/>
        <c:axId val="423490672"/>
      </c:lineChart>
      <c:catAx>
        <c:axId val="42349001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90672"/>
        <c:crosses val="autoZero"/>
        <c:auto val="1"/>
        <c:lblAlgn val="ctr"/>
        <c:lblOffset val="100"/>
        <c:noMultiLvlLbl val="0"/>
      </c:catAx>
      <c:valAx>
        <c:axId val="42349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Kg CO2/hh/y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9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Emission</a:t>
            </a:r>
            <a:r>
              <a:rPr lang="en-GB" baseline="0"/>
              <a:t> reduction changing the fuel cell efficiency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74063308100678"/>
          <c:y val="0.16708333333333336"/>
          <c:w val="0.69299458111014745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'Q2 Q3'!$B$74:$D$74</c:f>
              <c:strCache>
                <c:ptCount val="1"/>
                <c:pt idx="0">
                  <c:v>Scenario 1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'Q2 Q3'!$A$76:$A$85</c:f>
              <c:numCache>
                <c:formatCode>General</c:formatCode>
                <c:ptCount val="10"/>
                <c:pt idx="0">
                  <c:v>1.7000000000000004</c:v>
                </c:pt>
                <c:pt idx="1">
                  <c:v>1.6000000000000003</c:v>
                </c:pt>
                <c:pt idx="2">
                  <c:v>1.5000000000000002</c:v>
                </c:pt>
                <c:pt idx="3">
                  <c:v>1.4000000000000001</c:v>
                </c:pt>
                <c:pt idx="4">
                  <c:v>1.3</c:v>
                </c:pt>
                <c:pt idx="5">
                  <c:v>1.2</c:v>
                </c:pt>
                <c:pt idx="6">
                  <c:v>1.0999999999999999</c:v>
                </c:pt>
                <c:pt idx="7">
                  <c:v>0.99999999999999989</c:v>
                </c:pt>
                <c:pt idx="8">
                  <c:v>0.89999999999999991</c:v>
                </c:pt>
                <c:pt idx="9">
                  <c:v>0.79999999999999993</c:v>
                </c:pt>
              </c:numCache>
            </c:numRef>
          </c:cat>
          <c:val>
            <c:numRef>
              <c:f>'Q2 Q3'!$D$76:$D$85</c:f>
              <c:numCache>
                <c:formatCode>General</c:formatCode>
                <c:ptCount val="10"/>
                <c:pt idx="0">
                  <c:v>13702.541047349347</c:v>
                </c:pt>
                <c:pt idx="1">
                  <c:v>13334.893988525819</c:v>
                </c:pt>
                <c:pt idx="2">
                  <c:v>12918.227321859151</c:v>
                </c:pt>
                <c:pt idx="3">
                  <c:v>12442.036845668674</c:v>
                </c:pt>
                <c:pt idx="4">
                  <c:v>11892.586296218122</c:v>
                </c:pt>
                <c:pt idx="5">
                  <c:v>11251.560655192481</c:v>
                </c:pt>
                <c:pt idx="6">
                  <c:v>10493.984897616725</c:v>
                </c:pt>
                <c:pt idx="7">
                  <c:v>9584.8939885258151</c:v>
                </c:pt>
                <c:pt idx="8">
                  <c:v>8473.7828774147056</c:v>
                </c:pt>
                <c:pt idx="9">
                  <c:v>7084.8939885258169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F35-4DCF-82BB-BA0EBA737782}"/>
            </c:ext>
          </c:extLst>
        </c:ser>
        <c:ser>
          <c:idx val="1"/>
          <c:order val="1"/>
          <c:tx>
            <c:strRef>
              <c:f>'Q2 Q3'!$E$74:$G$74</c:f>
              <c:strCache>
                <c:ptCount val="1"/>
                <c:pt idx="0">
                  <c:v>Scenario 2</c:v>
                </c:pt>
              </c:strCache>
            </c:strRef>
          </c:tx>
          <c:spPr>
            <a:ln w="28575" cap="rnd">
              <a:solidFill>
                <a:schemeClr val="tx2">
                  <a:lumMod val="40000"/>
                  <a:lumOff val="6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'Q2 Q3'!$A$76:$A$85</c:f>
              <c:numCache>
                <c:formatCode>General</c:formatCode>
                <c:ptCount val="10"/>
                <c:pt idx="0">
                  <c:v>1.7000000000000004</c:v>
                </c:pt>
                <c:pt idx="1">
                  <c:v>1.6000000000000003</c:v>
                </c:pt>
                <c:pt idx="2">
                  <c:v>1.5000000000000002</c:v>
                </c:pt>
                <c:pt idx="3">
                  <c:v>1.4000000000000001</c:v>
                </c:pt>
                <c:pt idx="4">
                  <c:v>1.3</c:v>
                </c:pt>
                <c:pt idx="5">
                  <c:v>1.2</c:v>
                </c:pt>
                <c:pt idx="6">
                  <c:v>1.0999999999999999</c:v>
                </c:pt>
                <c:pt idx="7">
                  <c:v>0.99999999999999989</c:v>
                </c:pt>
                <c:pt idx="8">
                  <c:v>0.89999999999999991</c:v>
                </c:pt>
                <c:pt idx="9">
                  <c:v>0.79999999999999993</c:v>
                </c:pt>
              </c:numCache>
            </c:numRef>
          </c:cat>
          <c:val>
            <c:numRef>
              <c:f>'Q2 Q3'!$G$76:$G$85</c:f>
              <c:numCache>
                <c:formatCode>General</c:formatCode>
                <c:ptCount val="10"/>
                <c:pt idx="0">
                  <c:v>9378.6382991210976</c:v>
                </c:pt>
                <c:pt idx="1">
                  <c:v>8996.2853579446237</c:v>
                </c:pt>
                <c:pt idx="2">
                  <c:v>8562.9520246112934</c:v>
                </c:pt>
                <c:pt idx="3">
                  <c:v>8067.7139293731971</c:v>
                </c:pt>
                <c:pt idx="4">
                  <c:v>7496.2853579446237</c:v>
                </c:pt>
                <c:pt idx="5">
                  <c:v>6829.6186912779576</c:v>
                </c:pt>
                <c:pt idx="6">
                  <c:v>6041.7399033991696</c:v>
                </c:pt>
                <c:pt idx="7">
                  <c:v>5096.2853579446219</c:v>
                </c:pt>
                <c:pt idx="8">
                  <c:v>3940.7298023890671</c:v>
                </c:pt>
                <c:pt idx="9">
                  <c:v>2496.2853579446219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F35-4DCF-82BB-BA0EBA737782}"/>
            </c:ext>
          </c:extLst>
        </c:ser>
        <c:ser>
          <c:idx val="2"/>
          <c:order val="2"/>
          <c:tx>
            <c:strRef>
              <c:f>'Q2 Q3'!$H$74:$I$74</c:f>
              <c:strCache>
                <c:ptCount val="1"/>
                <c:pt idx="0">
                  <c:v>Scenario 3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'Q2 Q3'!$A$76:$A$85</c:f>
              <c:numCache>
                <c:formatCode>General</c:formatCode>
                <c:ptCount val="10"/>
                <c:pt idx="0">
                  <c:v>1.7000000000000004</c:v>
                </c:pt>
                <c:pt idx="1">
                  <c:v>1.6000000000000003</c:v>
                </c:pt>
                <c:pt idx="2">
                  <c:v>1.5000000000000002</c:v>
                </c:pt>
                <c:pt idx="3">
                  <c:v>1.4000000000000001</c:v>
                </c:pt>
                <c:pt idx="4">
                  <c:v>1.3</c:v>
                </c:pt>
                <c:pt idx="5">
                  <c:v>1.2</c:v>
                </c:pt>
                <c:pt idx="6">
                  <c:v>1.0999999999999999</c:v>
                </c:pt>
                <c:pt idx="7">
                  <c:v>0.99999999999999989</c:v>
                </c:pt>
                <c:pt idx="8">
                  <c:v>0.89999999999999991</c:v>
                </c:pt>
                <c:pt idx="9">
                  <c:v>0.79999999999999993</c:v>
                </c:pt>
              </c:numCache>
            </c:numRef>
          </c:cat>
          <c:val>
            <c:numRef>
              <c:f>'Q2 Q3'!$I$76:$I$85</c:f>
              <c:numCache>
                <c:formatCode>General</c:formatCode>
                <c:ptCount val="10"/>
                <c:pt idx="0">
                  <c:v>1082.8929027335562</c:v>
                </c:pt>
                <c:pt idx="1">
                  <c:v>984.78423547019156</c:v>
                </c:pt>
                <c:pt idx="2">
                  <c:v>873.59441257171329</c:v>
                </c:pt>
                <c:pt idx="3">
                  <c:v>746.52032925916683</c:v>
                </c:pt>
                <c:pt idx="4">
                  <c:v>599.89638697545888</c:v>
                </c:pt>
                <c:pt idx="5">
                  <c:v>428.83512097779931</c:v>
                </c:pt>
                <c:pt idx="6">
                  <c:v>226.67180661692873</c:v>
                </c:pt>
                <c:pt idx="7">
                  <c:v>-15.92417061611377</c:v>
                </c:pt>
                <c:pt idx="8">
                  <c:v>-312.43036501205734</c:v>
                </c:pt>
                <c:pt idx="9">
                  <c:v>-683.06310800698429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F35-4DCF-82BB-BA0EBA737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205032"/>
        <c:axId val="464203720"/>
      </c:lineChart>
      <c:catAx>
        <c:axId val="464205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203720"/>
        <c:crosses val="autoZero"/>
        <c:auto val="1"/>
        <c:lblAlgn val="ctr"/>
        <c:lblOffset val="100"/>
        <c:noMultiLvlLbl val="0"/>
      </c:catAx>
      <c:valAx>
        <c:axId val="46420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kg CO2/hh/y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205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2259679959551923"/>
          <c:y val="0.33796077573636618"/>
          <c:w val="0.17709887708796637"/>
          <c:h val="0.226273694954797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Amount of NG and electricity per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 Q3'!$S$16</c:f>
              <c:strCache>
                <c:ptCount val="1"/>
                <c:pt idx="0">
                  <c:v>Natural gas (GJ/hh/y)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'Q2 Q3'!$T$15:$W$15</c:f>
              <c:strCache>
                <c:ptCount val="4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reference</c:v>
                </c:pt>
              </c:strCache>
            </c:strRef>
          </c:cat>
          <c:val>
            <c:numRef>
              <c:f>'Q2 Q3'!$T$16:$W$16</c:f>
              <c:numCache>
                <c:formatCode>0.00</c:formatCode>
                <c:ptCount val="4"/>
                <c:pt idx="0">
                  <c:v>178.57142857142853</c:v>
                </c:pt>
                <c:pt idx="1">
                  <c:v>185.71428571428572</c:v>
                </c:pt>
                <c:pt idx="2">
                  <c:v>7.3684210526315796</c:v>
                </c:pt>
                <c:pt idx="3">
                  <c:v>54.736842105263158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7E-4DF8-8B5D-E35DA23BEC47}"/>
            </c:ext>
          </c:extLst>
        </c:ser>
        <c:ser>
          <c:idx val="1"/>
          <c:order val="1"/>
          <c:tx>
            <c:strRef>
              <c:f>'Q2 Q3'!$S$17</c:f>
              <c:strCache>
                <c:ptCount val="1"/>
                <c:pt idx="0">
                  <c:v>Electricity used (GJ/hh/y)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'Q2 Q3'!$T$15:$W$15</c:f>
              <c:strCache>
                <c:ptCount val="4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reference</c:v>
                </c:pt>
              </c:strCache>
            </c:strRef>
          </c:cat>
          <c:val>
            <c:numRef>
              <c:f>'Q2 Q3'!$T$17:$W$17</c:f>
              <c:numCache>
                <c:formatCode>0.00</c:formatCode>
                <c:ptCount val="4"/>
                <c:pt idx="0">
                  <c:v>-56.285714285714263</c:v>
                </c:pt>
                <c:pt idx="1">
                  <c:v>-37.9</c:v>
                </c:pt>
                <c:pt idx="2">
                  <c:v>31.578947368421055</c:v>
                </c:pt>
                <c:pt idx="3">
                  <c:v>18.947368421052634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7E-4DF8-8B5D-E35DA23BE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0506255"/>
        <c:axId val="530490447"/>
      </c:barChart>
      <c:catAx>
        <c:axId val="530506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490447"/>
        <c:crosses val="autoZero"/>
        <c:auto val="1"/>
        <c:lblAlgn val="ctr"/>
        <c:lblOffset val="100"/>
        <c:noMultiLvlLbl val="0"/>
      </c:catAx>
      <c:valAx>
        <c:axId val="53049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GJ/hh/y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50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Emission reduction</a:t>
            </a:r>
            <a:r>
              <a:rPr lang="en-GB" baseline="0"/>
              <a:t> with change in CF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'Q4'!$AA$1:$AB$1</c:f>
              <c:strCache>
                <c:ptCount val="1"/>
                <c:pt idx="0">
                  <c:v>Scenario 1</c:v>
                </c:pt>
              </c:strCache>
            </c:strRef>
          </c:tx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'Q4'!$Z$3:$Z$10</c:f>
              <c:numCache>
                <c:formatCode>General</c:formatCode>
                <c:ptCount val="8"/>
                <c:pt idx="0">
                  <c:v>0.1</c:v>
                </c:pt>
                <c:pt idx="1">
                  <c:v>0.25</c:v>
                </c:pt>
                <c:pt idx="2">
                  <c:v>0.375</c:v>
                </c:pt>
                <c:pt idx="3" formatCode="0.000">
                  <c:v>0.42857142857142855</c:v>
                </c:pt>
                <c:pt idx="4">
                  <c:v>0.5</c:v>
                </c:pt>
                <c:pt idx="5">
                  <c:v>0.67500000000000004</c:v>
                </c:pt>
                <c:pt idx="6">
                  <c:v>0.75</c:v>
                </c:pt>
                <c:pt idx="7">
                  <c:v>0.9</c:v>
                </c:pt>
              </c:numCache>
            </c:numRef>
          </c:cat>
          <c:val>
            <c:numRef>
              <c:f>'Q4'!$AB$3:$AB$10</c:f>
              <c:numCache>
                <c:formatCode>0.00</c:formatCode>
                <c:ptCount val="8"/>
                <c:pt idx="0">
                  <c:v>1821.1298578199039</c:v>
                </c:pt>
                <c:pt idx="1">
                  <c:v>4193.3911199800441</c:v>
                </c:pt>
                <c:pt idx="2">
                  <c:v>5840.7947742579199</c:v>
                </c:pt>
                <c:pt idx="3">
                  <c:v>6455.1326861500411</c:v>
                </c:pt>
                <c:pt idx="4">
                  <c:v>7188.6704913943631</c:v>
                </c:pt>
                <c:pt idx="5">
                  <c:v>8572.4895609877785</c:v>
                </c:pt>
                <c:pt idx="6">
                  <c:v>8985.8381142429516</c:v>
                </c:pt>
                <c:pt idx="7">
                  <c:v>9489.0450486405589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97-47CF-802E-0E7D68D3F867}"/>
            </c:ext>
          </c:extLst>
        </c:ser>
        <c:ser>
          <c:idx val="1"/>
          <c:order val="1"/>
          <c:tx>
            <c:strRef>
              <c:f>'Q4'!$AC$1:$AD$1</c:f>
              <c:strCache>
                <c:ptCount val="1"/>
                <c:pt idx="0">
                  <c:v>Scenario 2</c:v>
                </c:pt>
              </c:strCache>
            </c:strRef>
          </c:tx>
          <c:spPr>
            <a:ln w="28575" cap="rnd">
              <a:solidFill>
                <a:schemeClr val="dk1">
                  <a:tint val="5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'Q4'!$Z$3:$Z$10</c:f>
              <c:numCache>
                <c:formatCode>General</c:formatCode>
                <c:ptCount val="8"/>
                <c:pt idx="0">
                  <c:v>0.1</c:v>
                </c:pt>
                <c:pt idx="1">
                  <c:v>0.25</c:v>
                </c:pt>
                <c:pt idx="2">
                  <c:v>0.375</c:v>
                </c:pt>
                <c:pt idx="3" formatCode="0.000">
                  <c:v>0.42857142857142855</c:v>
                </c:pt>
                <c:pt idx="4">
                  <c:v>0.5</c:v>
                </c:pt>
                <c:pt idx="5">
                  <c:v>0.67500000000000004</c:v>
                </c:pt>
                <c:pt idx="6">
                  <c:v>0.75</c:v>
                </c:pt>
                <c:pt idx="7">
                  <c:v>0.9</c:v>
                </c:pt>
              </c:numCache>
            </c:numRef>
          </c:cat>
          <c:val>
            <c:numRef>
              <c:f>'Q4'!$AD$3:$AD$10</c:f>
              <c:numCache>
                <c:formatCode>0.00</c:formatCode>
                <c:ptCount val="8"/>
                <c:pt idx="0">
                  <c:v>968.29421800947785</c:v>
                </c:pt>
                <c:pt idx="1">
                  <c:v>2229.624844100772</c:v>
                </c:pt>
                <c:pt idx="2">
                  <c:v>3105.5488899975048</c:v>
                </c:pt>
                <c:pt idx="3">
                  <c:v>3432.1921798402573</c:v>
                </c:pt>
                <c:pt idx="4">
                  <c:v>3822.2140184584669</c:v>
                </c:pt>
                <c:pt idx="5">
                  <c:v>4557.990217011723</c:v>
                </c:pt>
                <c:pt idx="6">
                  <c:v>4777.7675230730847</c:v>
                </c:pt>
                <c:pt idx="7">
                  <c:v>5045.3225043651764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97-47CF-802E-0E7D68D3F867}"/>
            </c:ext>
          </c:extLst>
        </c:ser>
        <c:ser>
          <c:idx val="2"/>
          <c:order val="2"/>
          <c:tx>
            <c:strRef>
              <c:f>'Q4'!$AE$1:$AF$1</c:f>
              <c:strCache>
                <c:ptCount val="1"/>
                <c:pt idx="0">
                  <c:v>Scenario 3</c:v>
                </c:pt>
              </c:strCache>
            </c:strRef>
          </c:tx>
          <c:spPr>
            <a:ln w="28575" cap="rnd">
              <a:solidFill>
                <a:schemeClr val="dk1">
                  <a:tint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'Q4'!$Z$3:$Z$10</c:f>
              <c:numCache>
                <c:formatCode>General</c:formatCode>
                <c:ptCount val="8"/>
                <c:pt idx="0">
                  <c:v>0.1</c:v>
                </c:pt>
                <c:pt idx="1">
                  <c:v>0.25</c:v>
                </c:pt>
                <c:pt idx="2">
                  <c:v>0.375</c:v>
                </c:pt>
                <c:pt idx="3" formatCode="0.000">
                  <c:v>0.42857142857142855</c:v>
                </c:pt>
                <c:pt idx="4">
                  <c:v>0.5</c:v>
                </c:pt>
                <c:pt idx="5">
                  <c:v>0.67500000000000004</c:v>
                </c:pt>
                <c:pt idx="6">
                  <c:v>0.75</c:v>
                </c:pt>
                <c:pt idx="7">
                  <c:v>0.9</c:v>
                </c:pt>
              </c:numCache>
            </c:numRef>
          </c:cat>
          <c:val>
            <c:numRef>
              <c:f>'Q4'!$AF$3:$AF$10</c:f>
              <c:numCache>
                <c:formatCode>0.00</c:formatCode>
                <c:ptCount val="8"/>
                <c:pt idx="0">
                  <c:v>-3.0255924170633079</c:v>
                </c:pt>
                <c:pt idx="1">
                  <c:v>-6.966824644549888</c:v>
                </c:pt>
                <c:pt idx="2">
                  <c:v>-9.7037914691945844</c:v>
                </c:pt>
                <c:pt idx="3">
                  <c:v>-10.724441435343579</c:v>
                </c:pt>
                <c:pt idx="4">
                  <c:v>-11.943127962085782</c:v>
                </c:pt>
                <c:pt idx="5">
                  <c:v>-14.242180094787727</c:v>
                </c:pt>
                <c:pt idx="6">
                  <c:v>-14.928909952607682</c:v>
                </c:pt>
                <c:pt idx="7">
                  <c:v>-15.764928909953596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97-47CF-802E-0E7D68D3F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524143"/>
        <c:axId val="530522479"/>
      </c:lineChart>
      <c:catAx>
        <c:axId val="530524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522479"/>
        <c:crosses val="autoZero"/>
        <c:auto val="1"/>
        <c:lblAlgn val="ctr"/>
        <c:lblOffset val="100"/>
        <c:noMultiLvlLbl val="0"/>
      </c:catAx>
      <c:valAx>
        <c:axId val="53052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0" i="0" baseline="0">
                    <a:effectLst/>
                  </a:rPr>
                  <a:t>CO2 reduction (kgCO2/hh/y)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52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annual cost of scenarios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'Q5'!$A$33</c:f>
              <c:strCache>
                <c:ptCount val="1"/>
                <c:pt idx="0">
                  <c:v>Fuel cell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'Q5'!$B$32:$E$32</c:f>
              <c:strCache>
                <c:ptCount val="4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ref</c:v>
                </c:pt>
              </c:strCache>
            </c:strRef>
          </c:cat>
          <c:val>
            <c:numRef>
              <c:f>'Q5'!$B$33:$E$33</c:f>
              <c:numCache>
                <c:formatCode>0.00</c:formatCode>
                <c:ptCount val="4"/>
                <c:pt idx="0">
                  <c:v>672.88470258085101</c:v>
                </c:pt>
                <c:pt idx="1">
                  <c:v>1233.3260601117306</c:v>
                </c:pt>
                <c:pt idx="2" formatCode="0">
                  <c:v>0</c:v>
                </c:pt>
                <c:pt idx="3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E3-406B-8280-232CA870D767}"/>
            </c:ext>
          </c:extLst>
        </c:ser>
        <c:ser>
          <c:idx val="1"/>
          <c:order val="1"/>
          <c:tx>
            <c:strRef>
              <c:f>'Q5'!$A$34</c:f>
              <c:strCache>
                <c:ptCount val="1"/>
                <c:pt idx="0">
                  <c:v>Heat pump</c:v>
                </c:pt>
              </c:strCache>
            </c:strRef>
          </c:tx>
          <c:spPr>
            <a:pattFill prst="lgCheck">
              <a:fgClr>
                <a:schemeClr val="accent5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'Q5'!$B$32:$E$32</c:f>
              <c:strCache>
                <c:ptCount val="4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ref</c:v>
                </c:pt>
              </c:strCache>
            </c:strRef>
          </c:cat>
          <c:val>
            <c:numRef>
              <c:f>'Q5'!$B$34:$E$34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 formatCode="0.00">
                  <c:v>881.05105142941488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E3-406B-8280-232CA870D767}"/>
            </c:ext>
          </c:extLst>
        </c:ser>
        <c:ser>
          <c:idx val="2"/>
          <c:order val="2"/>
          <c:tx>
            <c:strRef>
              <c:f>'Q5'!$A$35</c:f>
              <c:strCache>
                <c:ptCount val="1"/>
                <c:pt idx="0">
                  <c:v>Boiler</c:v>
                </c:pt>
              </c:strCache>
            </c:strRef>
          </c:tx>
          <c:spPr>
            <a:pattFill prst="narVert">
              <a:fgClr>
                <a:schemeClr val="accent1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'Q5'!$B$32:$E$32</c:f>
              <c:strCache>
                <c:ptCount val="4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ref</c:v>
                </c:pt>
              </c:strCache>
            </c:strRef>
          </c:cat>
          <c:val>
            <c:numRef>
              <c:f>'Q5'!$B$35:$E$35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E3-406B-8280-232CA870D767}"/>
            </c:ext>
          </c:extLst>
        </c:ser>
        <c:ser>
          <c:idx val="3"/>
          <c:order val="3"/>
          <c:tx>
            <c:strRef>
              <c:f>'Q5'!$A$36</c:f>
              <c:strCache>
                <c:ptCount val="1"/>
                <c:pt idx="0">
                  <c:v>Reformer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'Q5'!$B$32:$E$32</c:f>
              <c:strCache>
                <c:ptCount val="4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ref</c:v>
                </c:pt>
              </c:strCache>
            </c:strRef>
          </c:cat>
          <c:val>
            <c:numRef>
              <c:f>'Q5'!$B$36:$E$36</c:f>
              <c:numCache>
                <c:formatCode>0.00</c:formatCode>
                <c:ptCount val="4"/>
                <c:pt idx="0">
                  <c:v>992.79167640104777</c:v>
                </c:pt>
                <c:pt idx="1">
                  <c:v>5201.6265827626712</c:v>
                </c:pt>
                <c:pt idx="2" formatCode="0">
                  <c:v>0</c:v>
                </c:pt>
                <c:pt idx="3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E3-406B-8280-232CA870D767}"/>
            </c:ext>
          </c:extLst>
        </c:ser>
        <c:ser>
          <c:idx val="4"/>
          <c:order val="4"/>
          <c:tx>
            <c:strRef>
              <c:f>'Q5'!$A$37</c:f>
              <c:strCache>
                <c:ptCount val="1"/>
                <c:pt idx="0">
                  <c:v>Heat dist system</c:v>
                </c:pt>
              </c:strCache>
            </c:strRef>
          </c:tx>
          <c:spPr>
            <a:pattFill prst="wdDnDiag">
              <a:fgClr>
                <a:srgbClr val="00B0F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'Q5'!$B$32:$E$32</c:f>
              <c:strCache>
                <c:ptCount val="4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ref</c:v>
                </c:pt>
              </c:strCache>
            </c:strRef>
          </c:cat>
          <c:val>
            <c:numRef>
              <c:f>'Q5'!$B$37:$E$37</c:f>
              <c:numCache>
                <c:formatCode>0</c:formatCode>
                <c:ptCount val="4"/>
                <c:pt idx="0" formatCode="0.00">
                  <c:v>234.91924954509153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E3-406B-8280-232CA870D767}"/>
            </c:ext>
          </c:extLst>
        </c:ser>
        <c:ser>
          <c:idx val="5"/>
          <c:order val="5"/>
          <c:tx>
            <c:strRef>
              <c:f>'Q5'!$A$38</c:f>
              <c:strCache>
                <c:ptCount val="1"/>
                <c:pt idx="0">
                  <c:v>Low T heat distribution</c:v>
                </c:pt>
              </c:strCache>
            </c:strRef>
          </c:tx>
          <c:spPr>
            <a:pattFill prst="dkHorz">
              <a:fgClr>
                <a:srgbClr val="00B0F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'Q5'!$B$32:$E$32</c:f>
              <c:strCache>
                <c:ptCount val="4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ref</c:v>
                </c:pt>
              </c:strCache>
            </c:strRef>
          </c:cat>
          <c:val>
            <c:numRef>
              <c:f>'Q5'!$B$38:$E$38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 formatCode="0.00">
                  <c:v>587.29812386272886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E3-406B-8280-232CA870D767}"/>
            </c:ext>
          </c:extLst>
        </c:ser>
        <c:ser>
          <c:idx val="6"/>
          <c:order val="6"/>
          <c:tx>
            <c:strRef>
              <c:f>'Q5'!$A$39</c:f>
              <c:strCache>
                <c:ptCount val="1"/>
                <c:pt idx="0">
                  <c:v>O&amp;M Fuel cell</c:v>
                </c:pt>
              </c:strCache>
            </c:strRef>
          </c:tx>
          <c:spPr>
            <a:pattFill prst="ltVert">
              <a:fgClr>
                <a:schemeClr val="tx2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'Q5'!$B$32:$E$32</c:f>
              <c:strCache>
                <c:ptCount val="4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ref</c:v>
                </c:pt>
              </c:strCache>
            </c:strRef>
          </c:cat>
          <c:val>
            <c:numRef>
              <c:f>'Q5'!$B$39:$E$39</c:f>
              <c:numCache>
                <c:formatCode>0.00</c:formatCode>
                <c:ptCount val="4"/>
                <c:pt idx="0">
                  <c:v>458.29174331782923</c:v>
                </c:pt>
                <c:pt idx="1">
                  <c:v>840</c:v>
                </c:pt>
                <c:pt idx="2" formatCode="0">
                  <c:v>0</c:v>
                </c:pt>
                <c:pt idx="3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AE3-406B-8280-232CA870D767}"/>
            </c:ext>
          </c:extLst>
        </c:ser>
        <c:ser>
          <c:idx val="7"/>
          <c:order val="7"/>
          <c:tx>
            <c:strRef>
              <c:f>'Q5'!$A$40</c:f>
              <c:strCache>
                <c:ptCount val="1"/>
                <c:pt idx="0">
                  <c:v>O&amp;M Heat pump</c:v>
                </c:pt>
              </c:strCache>
            </c:strRef>
          </c:tx>
          <c:spPr>
            <a:pattFill prst="pct20">
              <a:fgClr>
                <a:schemeClr val="tx2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'Q5'!$B$32:$E$32</c:f>
              <c:strCache>
                <c:ptCount val="4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ref</c:v>
                </c:pt>
              </c:strCache>
            </c:strRef>
          </c:cat>
          <c:val>
            <c:numRef>
              <c:f>'Q5'!$B$40:$E$40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 formatCode="0.00">
                  <c:v>125.00884266704605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AE3-406B-8280-232CA870D767}"/>
            </c:ext>
          </c:extLst>
        </c:ser>
        <c:ser>
          <c:idx val="8"/>
          <c:order val="8"/>
          <c:tx>
            <c:strRef>
              <c:f>'Q5'!$A$41</c:f>
              <c:strCache>
                <c:ptCount val="1"/>
                <c:pt idx="0">
                  <c:v>O&amp;M Boiler</c:v>
                </c:pt>
              </c:strCache>
            </c:strRef>
          </c:tx>
          <c:spPr>
            <a:pattFill prst="wdDnDiag">
              <a:fgClr>
                <a:schemeClr val="tx2">
                  <a:lumMod val="40000"/>
                  <a:lumOff val="6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'Q5'!$B$32:$E$32</c:f>
              <c:strCache>
                <c:ptCount val="4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ref</c:v>
                </c:pt>
              </c:strCache>
            </c:strRef>
          </c:cat>
          <c:val>
            <c:numRef>
              <c:f>'Q5'!$B$41:$E$41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 formatCode="0.00">
                  <c:v>40.6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AE3-406B-8280-232CA870D767}"/>
            </c:ext>
          </c:extLst>
        </c:ser>
        <c:ser>
          <c:idx val="9"/>
          <c:order val="9"/>
          <c:tx>
            <c:strRef>
              <c:f>'Q5'!$A$42</c:f>
              <c:strCache>
                <c:ptCount val="1"/>
                <c:pt idx="0">
                  <c:v>O&amp;M Other</c:v>
                </c:pt>
              </c:strCache>
            </c:strRef>
          </c:tx>
          <c:spPr>
            <a:pattFill prst="wdUpDiag">
              <a:fgClr>
                <a:schemeClr val="tx2">
                  <a:lumMod val="40000"/>
                  <a:lumOff val="6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'Q5'!$B$32:$E$32</c:f>
              <c:strCache>
                <c:ptCount val="4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ref</c:v>
                </c:pt>
              </c:strCache>
            </c:strRef>
          </c:cat>
          <c:val>
            <c:numRef>
              <c:f>'Q5'!$B$42:$E$42</c:f>
              <c:numCache>
                <c:formatCode>0.00</c:formatCode>
                <c:ptCount val="4"/>
                <c:pt idx="0">
                  <c:v>418.08780789944984</c:v>
                </c:pt>
                <c:pt idx="1">
                  <c:v>1771.3751743496</c:v>
                </c:pt>
                <c:pt idx="2" formatCode="0">
                  <c:v>0</c:v>
                </c:pt>
                <c:pt idx="3">
                  <c:v>40.6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AE3-406B-8280-232CA870D767}"/>
            </c:ext>
          </c:extLst>
        </c:ser>
        <c:ser>
          <c:idx val="10"/>
          <c:order val="10"/>
          <c:tx>
            <c:strRef>
              <c:f>'Q5'!$A$43</c:f>
              <c:strCache>
                <c:ptCount val="1"/>
                <c:pt idx="0">
                  <c:v>CH4 cost</c:v>
                </c:pt>
              </c:strCache>
            </c:strRef>
          </c:tx>
          <c:spPr>
            <a:pattFill prst="dkDnDiag">
              <a:fgClr>
                <a:schemeClr val="tx2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'Q5'!$B$32:$E$32</c:f>
              <c:strCache>
                <c:ptCount val="4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ref</c:v>
                </c:pt>
              </c:strCache>
            </c:strRef>
          </c:cat>
          <c:val>
            <c:numRef>
              <c:f>'Q5'!$B$43:$E$43</c:f>
              <c:numCache>
                <c:formatCode>0.00</c:formatCode>
                <c:ptCount val="4"/>
                <c:pt idx="0">
                  <c:v>1785.7142857142853</c:v>
                </c:pt>
                <c:pt idx="1">
                  <c:v>1857.1428571428573</c:v>
                </c:pt>
                <c:pt idx="2">
                  <c:v>147.36842105263159</c:v>
                </c:pt>
                <c:pt idx="3">
                  <c:v>1094.7368421052631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AE3-406B-8280-232CA870D767}"/>
            </c:ext>
          </c:extLst>
        </c:ser>
        <c:ser>
          <c:idx val="11"/>
          <c:order val="11"/>
          <c:tx>
            <c:strRef>
              <c:f>'Q5'!$A$44</c:f>
              <c:strCache>
                <c:ptCount val="1"/>
                <c:pt idx="0">
                  <c:v>Electricity cost</c:v>
                </c:pt>
              </c:strCache>
            </c:strRef>
          </c:tx>
          <c:spPr>
            <a:pattFill prst="dkUpDiag">
              <a:fgClr>
                <a:srgbClr val="00206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'Q5'!$B$32:$E$32</c:f>
              <c:strCache>
                <c:ptCount val="4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ref</c:v>
                </c:pt>
              </c:strCache>
            </c:strRef>
          </c:cat>
          <c:val>
            <c:numRef>
              <c:f>'Q5'!$B$44:$E$44</c:f>
              <c:numCache>
                <c:formatCode>0.00</c:formatCode>
                <c:ptCount val="4"/>
                <c:pt idx="0">
                  <c:v>-1125.7142857142853</c:v>
                </c:pt>
                <c:pt idx="1">
                  <c:v>-758</c:v>
                </c:pt>
                <c:pt idx="2">
                  <c:v>1800</c:v>
                </c:pt>
                <c:pt idx="3">
                  <c:v>1080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AE3-406B-8280-232CA870D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2081992"/>
        <c:axId val="602080024"/>
      </c:barChart>
      <c:catAx>
        <c:axId val="602081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080024"/>
        <c:crosses val="autoZero"/>
        <c:auto val="1"/>
        <c:lblAlgn val="ctr"/>
        <c:lblOffset val="100"/>
        <c:noMultiLvlLbl val="0"/>
      </c:catAx>
      <c:valAx>
        <c:axId val="60208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annual cost [€]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081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'Q6'!$F$53</c:f>
              <c:strCache>
                <c:ptCount val="1"/>
                <c:pt idx="0">
                  <c:v>Fuel cell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'Q6'!$G$52:$I$52</c:f>
              <c:strCache>
                <c:ptCount val="3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</c:strCache>
            </c:strRef>
          </c:cat>
          <c:val>
            <c:numRef>
              <c:f>'Q6'!$G$53:$I$53</c:f>
              <c:numCache>
                <c:formatCode>0.00</c:formatCode>
                <c:ptCount val="3"/>
                <c:pt idx="0">
                  <c:v>160.86156085227023</c:v>
                </c:pt>
                <c:pt idx="1">
                  <c:v>137.53411103943503</c:v>
                </c:pt>
                <c:pt idx="2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82-498B-A75F-40637ACA40F5}"/>
            </c:ext>
          </c:extLst>
        </c:ser>
        <c:ser>
          <c:idx val="1"/>
          <c:order val="1"/>
          <c:tx>
            <c:strRef>
              <c:f>'Q6'!$F$54</c:f>
              <c:strCache>
                <c:ptCount val="1"/>
                <c:pt idx="0">
                  <c:v>Heat pump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'Q6'!$G$52:$I$52</c:f>
              <c:strCache>
                <c:ptCount val="3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</c:strCache>
            </c:strRef>
          </c:cat>
          <c:val>
            <c:numRef>
              <c:f>'Q6'!$G$54:$I$54</c:f>
              <c:numCache>
                <c:formatCode>0</c:formatCode>
                <c:ptCount val="3"/>
                <c:pt idx="0">
                  <c:v>0</c:v>
                </c:pt>
                <c:pt idx="1">
                  <c:v>0</c:v>
                </c:pt>
                <c:pt idx="2" formatCode="0.00">
                  <c:v>359.49750173571852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82-498B-A75F-40637ACA40F5}"/>
            </c:ext>
          </c:extLst>
        </c:ser>
        <c:ser>
          <c:idx val="2"/>
          <c:order val="2"/>
          <c:tx>
            <c:strRef>
              <c:f>'Q6'!$F$55</c:f>
              <c:strCache>
                <c:ptCount val="1"/>
                <c:pt idx="0">
                  <c:v>Boiler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'Q6'!$G$52:$I$52</c:f>
              <c:strCache>
                <c:ptCount val="3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</c:strCache>
            </c:strRef>
          </c:cat>
          <c:val>
            <c:numRef>
              <c:f>'Q6'!$G$55:$I$55</c:f>
              <c:numCache>
                <c:formatCode>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82-498B-A75F-40637ACA40F5}"/>
            </c:ext>
          </c:extLst>
        </c:ser>
        <c:ser>
          <c:idx val="3"/>
          <c:order val="3"/>
          <c:tx>
            <c:strRef>
              <c:f>'Q6'!$F$56</c:f>
              <c:strCache>
                <c:ptCount val="1"/>
                <c:pt idx="0">
                  <c:v>Reformer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'Q6'!$G$52:$I$52</c:f>
              <c:strCache>
                <c:ptCount val="3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</c:strCache>
            </c:strRef>
          </c:cat>
          <c:val>
            <c:numRef>
              <c:f>'Q6'!$G$56:$I$56</c:f>
              <c:numCache>
                <c:formatCode>0.00</c:formatCode>
                <c:ptCount val="3"/>
                <c:pt idx="0">
                  <c:v>237.33935108715815</c:v>
                </c:pt>
                <c:pt idx="1">
                  <c:v>658.67048914353529</c:v>
                </c:pt>
                <c:pt idx="2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E82-498B-A75F-40637ACA40F5}"/>
            </c:ext>
          </c:extLst>
        </c:ser>
        <c:ser>
          <c:idx val="4"/>
          <c:order val="4"/>
          <c:tx>
            <c:strRef>
              <c:f>'Q6'!$F$57</c:f>
              <c:strCache>
                <c:ptCount val="1"/>
                <c:pt idx="0">
                  <c:v>Heat dist system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'Q6'!$G$52:$I$52</c:f>
              <c:strCache>
                <c:ptCount val="3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</c:strCache>
            </c:strRef>
          </c:cat>
          <c:val>
            <c:numRef>
              <c:f>'Q6'!$G$57:$I$57</c:f>
              <c:numCache>
                <c:formatCode>0</c:formatCode>
                <c:ptCount val="3"/>
                <c:pt idx="0" formatCode="0.00">
                  <c:v>187.93539963607321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E82-498B-A75F-40637ACA40F5}"/>
            </c:ext>
          </c:extLst>
        </c:ser>
        <c:ser>
          <c:idx val="5"/>
          <c:order val="5"/>
          <c:tx>
            <c:strRef>
              <c:f>'Q6'!$F$58</c:f>
              <c:strCache>
                <c:ptCount val="1"/>
                <c:pt idx="0">
                  <c:v>Low T heat distribution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'Q6'!$G$52:$I$52</c:f>
              <c:strCache>
                <c:ptCount val="3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</c:strCache>
            </c:strRef>
          </c:cat>
          <c:val>
            <c:numRef>
              <c:f>'Q6'!$G$58:$I$58</c:f>
              <c:numCache>
                <c:formatCode>0</c:formatCode>
                <c:ptCount val="3"/>
                <c:pt idx="0">
                  <c:v>0</c:v>
                </c:pt>
                <c:pt idx="1">
                  <c:v>0</c:v>
                </c:pt>
                <c:pt idx="2" formatCode="0.00">
                  <c:v>587.29812386272886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E82-498B-A75F-40637ACA40F5}"/>
            </c:ext>
          </c:extLst>
        </c:ser>
        <c:ser>
          <c:idx val="6"/>
          <c:order val="6"/>
          <c:tx>
            <c:strRef>
              <c:f>'Q6'!$F$59</c:f>
              <c:strCache>
                <c:ptCount val="1"/>
                <c:pt idx="0">
                  <c:v>O&amp;M Fuel cell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'Q6'!$G$52:$I$52</c:f>
              <c:strCache>
                <c:ptCount val="3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</c:strCache>
            </c:strRef>
          </c:cat>
          <c:val>
            <c:numRef>
              <c:f>'Q6'!$G$59:$I$59</c:f>
              <c:numCache>
                <c:formatCode>0.00</c:formatCode>
                <c:ptCount val="3"/>
                <c:pt idx="0">
                  <c:v>109.56041187004982</c:v>
                </c:pt>
                <c:pt idx="1">
                  <c:v>93.672433437966419</c:v>
                </c:pt>
                <c:pt idx="2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E82-498B-A75F-40637ACA40F5}"/>
            </c:ext>
          </c:extLst>
        </c:ser>
        <c:ser>
          <c:idx val="7"/>
          <c:order val="7"/>
          <c:tx>
            <c:strRef>
              <c:f>'Q6'!$F$60</c:f>
              <c:strCache>
                <c:ptCount val="1"/>
                <c:pt idx="0">
                  <c:v>O&amp;M Heat pump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'Q6'!$G$52:$I$52</c:f>
              <c:strCache>
                <c:ptCount val="3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</c:strCache>
            </c:strRef>
          </c:cat>
          <c:val>
            <c:numRef>
              <c:f>'Q6'!$G$60:$I$60</c:f>
              <c:numCache>
                <c:formatCode>0</c:formatCode>
                <c:ptCount val="3"/>
                <c:pt idx="0">
                  <c:v>0</c:v>
                </c:pt>
                <c:pt idx="1">
                  <c:v>0</c:v>
                </c:pt>
                <c:pt idx="2" formatCode="0.00">
                  <c:v>80.606048881210555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E82-498B-A75F-40637ACA40F5}"/>
            </c:ext>
          </c:extLst>
        </c:ser>
        <c:ser>
          <c:idx val="8"/>
          <c:order val="8"/>
          <c:tx>
            <c:strRef>
              <c:f>'Q6'!$F$61</c:f>
              <c:strCache>
                <c:ptCount val="1"/>
                <c:pt idx="0">
                  <c:v>O&amp;M Boiler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'Q6'!$G$52:$I$52</c:f>
              <c:strCache>
                <c:ptCount val="3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</c:strCache>
            </c:strRef>
          </c:cat>
          <c:val>
            <c:numRef>
              <c:f>'Q6'!$G$61:$I$61</c:f>
              <c:numCache>
                <c:formatCode>0</c:formatCode>
                <c:ptCount val="3"/>
                <c:pt idx="0">
                  <c:v>0</c:v>
                </c:pt>
                <c:pt idx="1">
                  <c:v>0</c:v>
                </c:pt>
                <c:pt idx="2" formatCode="0.00">
                  <c:v>40.6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E82-498B-A75F-40637ACA40F5}"/>
            </c:ext>
          </c:extLst>
        </c:ser>
        <c:ser>
          <c:idx val="9"/>
          <c:order val="9"/>
          <c:tx>
            <c:strRef>
              <c:f>'Q6'!$F$62</c:f>
              <c:strCache>
                <c:ptCount val="1"/>
                <c:pt idx="0">
                  <c:v>O&amp;M Other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'Q6'!$G$52:$I$52</c:f>
              <c:strCache>
                <c:ptCount val="3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</c:strCache>
            </c:strRef>
          </c:cat>
          <c:val>
            <c:numRef>
              <c:f>'Q6'!$G$62:$I$62</c:f>
              <c:numCache>
                <c:formatCode>0.00</c:formatCode>
                <c:ptCount val="3"/>
                <c:pt idx="0">
                  <c:v>144.82414754746682</c:v>
                </c:pt>
                <c:pt idx="1">
                  <c:v>224.30532718592121</c:v>
                </c:pt>
                <c:pt idx="2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E82-498B-A75F-40637ACA40F5}"/>
            </c:ext>
          </c:extLst>
        </c:ser>
        <c:ser>
          <c:idx val="10"/>
          <c:order val="10"/>
          <c:tx>
            <c:strRef>
              <c:f>'Q6'!$F$63</c:f>
              <c:strCache>
                <c:ptCount val="1"/>
                <c:pt idx="0">
                  <c:v>CH4 cost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'Q6'!$G$52:$I$52</c:f>
              <c:strCache>
                <c:ptCount val="3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</c:strCache>
            </c:strRef>
          </c:cat>
          <c:val>
            <c:numRef>
              <c:f>'Q6'!$G$63:$I$63</c:f>
              <c:numCache>
                <c:formatCode>0.00</c:formatCode>
                <c:ptCount val="3"/>
                <c:pt idx="0">
                  <c:v>1381.3564523553782</c:v>
                </c:pt>
                <c:pt idx="1">
                  <c:v>1429.4614086236002</c:v>
                </c:pt>
                <c:pt idx="2">
                  <c:v>456.71321160042964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E82-498B-A75F-40637ACA40F5}"/>
            </c:ext>
          </c:extLst>
        </c:ser>
        <c:ser>
          <c:idx val="11"/>
          <c:order val="11"/>
          <c:tx>
            <c:strRef>
              <c:f>'Q6'!$F$64</c:f>
              <c:strCache>
                <c:ptCount val="1"/>
                <c:pt idx="0">
                  <c:v>Electricity cost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'Q6'!$G$52:$I$52</c:f>
              <c:strCache>
                <c:ptCount val="3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</c:strCache>
            </c:strRef>
          </c:cat>
          <c:val>
            <c:numRef>
              <c:f>'Q6'!$G$64:$I$64</c:f>
              <c:numCache>
                <c:formatCode>0.00</c:formatCode>
                <c:ptCount val="3"/>
                <c:pt idx="0">
                  <c:v>-640.58309037900881</c:v>
                </c:pt>
                <c:pt idx="1">
                  <c:v>-392.93877551020415</c:v>
                </c:pt>
                <c:pt idx="2">
                  <c:v>1564.8979591836737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E82-498B-A75F-40637ACA4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06064335"/>
        <c:axId val="606070575"/>
      </c:barChart>
      <c:catAx>
        <c:axId val="60606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070575"/>
        <c:crosses val="autoZero"/>
        <c:auto val="1"/>
        <c:lblAlgn val="ctr"/>
        <c:lblOffset val="100"/>
        <c:noMultiLvlLbl val="0"/>
      </c:catAx>
      <c:valAx>
        <c:axId val="60607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06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126625</xdr:colOff>
      <xdr:row>40</xdr:row>
      <xdr:rowOff>145116</xdr:rowOff>
    </xdr:from>
    <xdr:to>
      <xdr:col>21</xdr:col>
      <xdr:colOff>205067</xdr:colOff>
      <xdr:row>53</xdr:row>
      <xdr:rowOff>30816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691A8FE-BA05-4B1B-AB47-12FDD1BEDD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577102</xdr:colOff>
      <xdr:row>49</xdr:row>
      <xdr:rowOff>158000</xdr:rowOff>
    </xdr:from>
    <xdr:to>
      <xdr:col>18</xdr:col>
      <xdr:colOff>11206</xdr:colOff>
      <xdr:row>66</xdr:row>
      <xdr:rowOff>190499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C58206E-C420-4E66-9EE2-A759C3EC8C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349251</xdr:colOff>
      <xdr:row>70</xdr:row>
      <xdr:rowOff>131232</xdr:rowOff>
    </xdr:from>
    <xdr:to>
      <xdr:col>16</xdr:col>
      <xdr:colOff>560917</xdr:colOff>
      <xdr:row>85</xdr:row>
      <xdr:rowOff>16932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DB3CD4D-2667-42D7-B929-EBC188BEFF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762000</xdr:colOff>
      <xdr:row>17</xdr:row>
      <xdr:rowOff>119063</xdr:rowOff>
    </xdr:from>
    <xdr:to>
      <xdr:col>25</xdr:col>
      <xdr:colOff>504825</xdr:colOff>
      <xdr:row>31</xdr:row>
      <xdr:rowOff>147638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0F56FD3-DA56-4D14-82AA-27B0E5BA7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561975</xdr:colOff>
      <xdr:row>18</xdr:row>
      <xdr:rowOff>33338</xdr:rowOff>
    </xdr:from>
    <xdr:to>
      <xdr:col>22</xdr:col>
      <xdr:colOff>333375</xdr:colOff>
      <xdr:row>33</xdr:row>
      <xdr:rowOff>61913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6AA0AC5-A581-46E0-A07F-CB46DCFDA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95249</xdr:colOff>
      <xdr:row>32</xdr:row>
      <xdr:rowOff>61912</xdr:rowOff>
    </xdr:from>
    <xdr:to>
      <xdr:col>12</xdr:col>
      <xdr:colOff>447674</xdr:colOff>
      <xdr:row>46</xdr:row>
      <xdr:rowOff>104775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5E6C9C5-9FFE-452E-A3F4-E04A32FA63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206828</xdr:colOff>
      <xdr:row>49</xdr:row>
      <xdr:rowOff>43543</xdr:rowOff>
    </xdr:from>
    <xdr:to>
      <xdr:col>19</xdr:col>
      <xdr:colOff>119742</xdr:colOff>
      <xdr:row>73</xdr:row>
      <xdr:rowOff>87086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7A766B-24A1-4F3E-8DF5-DAF0BD0D8D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E099-3EBF-47BE-A4B4-2C1F0B7D7F62}">
  <dimension ref="A1:W143"/>
  <sheetViews>
    <sheetView topLeftCell="A64" zoomScale="80" zoomScaleNormal="80" workbookViewId="0">
      <selection activeCell="A83" sqref="A83"/>
    </sheetView>
  </sheetViews>
  <sheetFormatPr defaultRowHeight="14.4" x14ac:dyDescent="0.3"/>
  <cols>
    <col min="1" max="1" width="43.109375" customWidth="1"/>
    <col min="2" max="2" width="26" bestFit="1" customWidth="1"/>
    <col min="3" max="3" width="23.109375" bestFit="1" customWidth="1"/>
    <col min="4" max="4" width="21.44140625" bestFit="1" customWidth="1"/>
    <col min="5" max="5" width="24" customWidth="1"/>
    <col min="6" max="6" width="18" bestFit="1" customWidth="1"/>
    <col min="7" max="7" width="21.44140625" bestFit="1" customWidth="1"/>
    <col min="8" max="8" width="23.6640625" customWidth="1"/>
    <col min="9" max="9" width="21.109375" customWidth="1"/>
    <col min="10" max="10" width="21.44140625" bestFit="1" customWidth="1"/>
    <col min="11" max="11" width="14.5546875" customWidth="1"/>
    <col min="12" max="12" width="13.33203125" customWidth="1"/>
    <col min="18" max="18" width="12.77734375" customWidth="1"/>
    <col min="19" max="19" width="16" customWidth="1"/>
    <col min="20" max="20" width="14.33203125" bestFit="1" customWidth="1"/>
    <col min="21" max="22" width="13.6640625" bestFit="1" customWidth="1"/>
    <col min="23" max="23" width="11.109375" customWidth="1"/>
  </cols>
  <sheetData>
    <row r="1" spans="1:23" x14ac:dyDescent="0.3">
      <c r="A1" s="23" t="s">
        <v>42</v>
      </c>
      <c r="B1" s="23" t="s">
        <v>43</v>
      </c>
      <c r="C1" s="23" t="s">
        <v>44</v>
      </c>
      <c r="D1" s="23" t="s">
        <v>45</v>
      </c>
      <c r="E1" s="23" t="s">
        <v>46</v>
      </c>
    </row>
    <row r="2" spans="1:23" x14ac:dyDescent="0.3">
      <c r="A2" s="23">
        <v>1</v>
      </c>
      <c r="B2" s="23">
        <v>0.8</v>
      </c>
      <c r="C2" s="23">
        <v>0.52</v>
      </c>
      <c r="D2" s="23">
        <v>0.4</v>
      </c>
      <c r="E2" s="23" t="s">
        <v>48</v>
      </c>
    </row>
    <row r="3" spans="1:23" x14ac:dyDescent="0.3">
      <c r="A3" s="23">
        <v>2</v>
      </c>
      <c r="B3" s="23">
        <v>0.7</v>
      </c>
      <c r="C3" s="23">
        <v>0.43</v>
      </c>
      <c r="D3" s="23">
        <v>0.4</v>
      </c>
      <c r="E3" s="23" t="s">
        <v>48</v>
      </c>
    </row>
    <row r="4" spans="1:23" x14ac:dyDescent="0.3">
      <c r="A4" s="23">
        <v>3</v>
      </c>
      <c r="B4" s="23" t="s">
        <v>48</v>
      </c>
      <c r="C4" s="23" t="s">
        <v>48</v>
      </c>
      <c r="D4" s="23" t="s">
        <v>48</v>
      </c>
      <c r="E4" s="23">
        <v>0.95</v>
      </c>
    </row>
    <row r="5" spans="1:23" x14ac:dyDescent="0.3">
      <c r="A5" s="23" t="s">
        <v>47</v>
      </c>
      <c r="B5" s="23" t="s">
        <v>48</v>
      </c>
      <c r="C5" s="23" t="s">
        <v>48</v>
      </c>
      <c r="D5" s="23" t="s">
        <v>48</v>
      </c>
      <c r="E5" s="23">
        <v>0.95</v>
      </c>
    </row>
    <row r="6" spans="1:23" x14ac:dyDescent="0.3">
      <c r="A6" s="23"/>
      <c r="B6" s="23"/>
      <c r="C6" s="23"/>
      <c r="D6" s="23"/>
      <c r="E6" s="23"/>
    </row>
    <row r="8" spans="1:23" x14ac:dyDescent="0.3">
      <c r="A8" s="18" t="s">
        <v>55</v>
      </c>
    </row>
    <row r="9" spans="1:23" ht="28.8" x14ac:dyDescent="0.3">
      <c r="A9" t="s">
        <v>51</v>
      </c>
      <c r="B9">
        <v>10</v>
      </c>
      <c r="C9" t="s">
        <v>53</v>
      </c>
      <c r="S9" s="166"/>
      <c r="T9" s="170" t="s">
        <v>76</v>
      </c>
      <c r="U9" s="170" t="s">
        <v>77</v>
      </c>
      <c r="V9" s="170" t="s">
        <v>78</v>
      </c>
      <c r="W9" s="170" t="s">
        <v>253</v>
      </c>
    </row>
    <row r="10" spans="1:23" ht="25.2" customHeight="1" x14ac:dyDescent="0.3">
      <c r="A10" t="s">
        <v>49</v>
      </c>
      <c r="B10">
        <v>40</v>
      </c>
      <c r="C10" t="s">
        <v>53</v>
      </c>
      <c r="S10" s="162" t="s">
        <v>256</v>
      </c>
      <c r="T10" s="163">
        <v>-2516.7972062858535</v>
      </c>
      <c r="U10" s="163">
        <v>1971.8114242953361</v>
      </c>
      <c r="V10" s="163">
        <v>7084.0209528560736</v>
      </c>
      <c r="W10" s="163">
        <v>7068.0967822399598</v>
      </c>
    </row>
    <row r="11" spans="1:23" ht="72" x14ac:dyDescent="0.3">
      <c r="A11" t="s">
        <v>82</v>
      </c>
      <c r="B11">
        <v>10</v>
      </c>
      <c r="C11" t="s">
        <v>53</v>
      </c>
      <c r="S11" s="162" t="s">
        <v>257</v>
      </c>
      <c r="T11" s="163">
        <v>9584.8939885258133</v>
      </c>
      <c r="U11" s="163">
        <v>5096.2853579446237</v>
      </c>
      <c r="V11" s="163">
        <v>-15.92417061611377</v>
      </c>
      <c r="W11" s="163" t="s">
        <v>48</v>
      </c>
    </row>
    <row r="12" spans="1:23" x14ac:dyDescent="0.3">
      <c r="A12" t="s">
        <v>52</v>
      </c>
      <c r="B12">
        <v>0.8</v>
      </c>
      <c r="C12" t="s">
        <v>24</v>
      </c>
    </row>
    <row r="13" spans="1:23" x14ac:dyDescent="0.3">
      <c r="A13" t="s">
        <v>50</v>
      </c>
      <c r="B13">
        <v>0.5</v>
      </c>
      <c r="C13" t="s">
        <v>54</v>
      </c>
    </row>
    <row r="15" spans="1:23" ht="28.8" x14ac:dyDescent="0.3">
      <c r="S15" s="164"/>
      <c r="T15" s="170" t="s">
        <v>76</v>
      </c>
      <c r="U15" s="170" t="s">
        <v>77</v>
      </c>
      <c r="V15" s="170" t="s">
        <v>78</v>
      </c>
      <c r="W15" s="170" t="s">
        <v>253</v>
      </c>
    </row>
    <row r="16" spans="1:23" ht="28.8" x14ac:dyDescent="0.3">
      <c r="A16" s="18" t="s">
        <v>14</v>
      </c>
      <c r="B16">
        <v>307</v>
      </c>
      <c r="C16" t="s">
        <v>22</v>
      </c>
      <c r="D16" s="19">
        <f t="shared" ref="D16:D17" si="0">B16*10^6</f>
        <v>307000000</v>
      </c>
      <c r="E16" t="s">
        <v>27</v>
      </c>
      <c r="G16" t="s">
        <v>33</v>
      </c>
      <c r="H16" t="s">
        <v>104</v>
      </c>
      <c r="I16" s="20">
        <f>(D16-D17)*B42</f>
        <v>200450000</v>
      </c>
      <c r="J16" t="s">
        <v>34</v>
      </c>
      <c r="S16" s="162" t="s">
        <v>254</v>
      </c>
      <c r="T16" s="163">
        <v>178.57142857142853</v>
      </c>
      <c r="U16" s="163">
        <v>185.71428571428572</v>
      </c>
      <c r="V16" s="163">
        <v>7.3684210526315796</v>
      </c>
      <c r="W16" s="163">
        <v>54.736842105263158</v>
      </c>
    </row>
    <row r="17" spans="1:23" ht="28.8" x14ac:dyDescent="0.3">
      <c r="A17" t="s">
        <v>15</v>
      </c>
      <c r="B17">
        <v>96</v>
      </c>
      <c r="C17" t="s">
        <v>22</v>
      </c>
      <c r="D17" s="19">
        <f t="shared" si="0"/>
        <v>96000000</v>
      </c>
      <c r="E17" t="s">
        <v>27</v>
      </c>
      <c r="I17" s="21"/>
      <c r="S17" s="162" t="s">
        <v>255</v>
      </c>
      <c r="T17" s="163">
        <v>-56.285714285714263</v>
      </c>
      <c r="U17" s="163">
        <v>-37.9</v>
      </c>
      <c r="V17" s="163">
        <v>31.578947368421055</v>
      </c>
      <c r="W17" s="163">
        <v>18.947368421052634</v>
      </c>
    </row>
    <row r="18" spans="1:23" x14ac:dyDescent="0.3">
      <c r="D18" s="19"/>
      <c r="H18" t="s">
        <v>38</v>
      </c>
      <c r="S18" s="173"/>
      <c r="T18" s="38"/>
      <c r="U18" s="38"/>
      <c r="V18" s="173"/>
      <c r="W18" s="174"/>
    </row>
    <row r="19" spans="1:23" x14ac:dyDescent="0.3">
      <c r="A19" s="18" t="s">
        <v>16</v>
      </c>
      <c r="D19" s="19"/>
      <c r="H19" t="s">
        <v>17</v>
      </c>
      <c r="I19" s="20">
        <f>B26*D20</f>
        <v>20868000000</v>
      </c>
      <c r="J19" t="s">
        <v>40</v>
      </c>
    </row>
    <row r="20" spans="1:23" x14ac:dyDescent="0.3">
      <c r="A20" t="s">
        <v>17</v>
      </c>
      <c r="B20">
        <v>222</v>
      </c>
      <c r="C20" t="s">
        <v>23</v>
      </c>
      <c r="D20" s="19">
        <f>B20*10^6</f>
        <v>222000000</v>
      </c>
      <c r="E20" t="s">
        <v>26</v>
      </c>
      <c r="H20" t="s">
        <v>18</v>
      </c>
      <c r="I20" s="20">
        <f>B27*D21</f>
        <v>18032000000</v>
      </c>
      <c r="J20" t="s">
        <v>40</v>
      </c>
    </row>
    <row r="21" spans="1:23" x14ac:dyDescent="0.3">
      <c r="A21" t="s">
        <v>18</v>
      </c>
      <c r="B21">
        <v>322</v>
      </c>
      <c r="C21" t="s">
        <v>23</v>
      </c>
      <c r="D21" s="19">
        <f t="shared" ref="D21:D22" si="1">B21*10^6</f>
        <v>322000000</v>
      </c>
      <c r="E21" t="s">
        <v>26</v>
      </c>
      <c r="H21" t="s">
        <v>19</v>
      </c>
      <c r="I21" s="20">
        <f>B28*D22</f>
        <v>5676000000</v>
      </c>
      <c r="J21" t="s">
        <v>40</v>
      </c>
    </row>
    <row r="22" spans="1:23" x14ac:dyDescent="0.3">
      <c r="A22" t="s">
        <v>19</v>
      </c>
      <c r="B22">
        <v>129</v>
      </c>
      <c r="C22" t="s">
        <v>23</v>
      </c>
      <c r="D22" s="19">
        <f t="shared" si="1"/>
        <v>129000000</v>
      </c>
      <c r="E22" t="s">
        <v>26</v>
      </c>
      <c r="H22" t="s">
        <v>12</v>
      </c>
      <c r="I22" s="20">
        <f>SUM(I19:I21)</f>
        <v>44576000000</v>
      </c>
      <c r="J22" t="s">
        <v>40</v>
      </c>
    </row>
    <row r="23" spans="1:23" x14ac:dyDescent="0.3">
      <c r="A23" t="s">
        <v>20</v>
      </c>
      <c r="B23">
        <v>0.95</v>
      </c>
      <c r="C23" t="s">
        <v>24</v>
      </c>
    </row>
    <row r="24" spans="1:23" x14ac:dyDescent="0.3">
      <c r="H24" t="s">
        <v>69</v>
      </c>
      <c r="I24" s="28">
        <f>I22/I16</f>
        <v>222.37964579695685</v>
      </c>
      <c r="J24" t="s">
        <v>25</v>
      </c>
    </row>
    <row r="25" spans="1:23" x14ac:dyDescent="0.3">
      <c r="A25" s="18" t="s">
        <v>21</v>
      </c>
      <c r="I25" s="22">
        <f>I24/B39</f>
        <v>0.80058914136500292</v>
      </c>
      <c r="J25" t="s">
        <v>39</v>
      </c>
    </row>
    <row r="26" spans="1:23" x14ac:dyDescent="0.3">
      <c r="A26" t="s">
        <v>17</v>
      </c>
      <c r="B26">
        <v>94</v>
      </c>
      <c r="C26" t="s">
        <v>25</v>
      </c>
    </row>
    <row r="27" spans="1:23" ht="28.8" x14ac:dyDescent="0.3">
      <c r="A27" t="s">
        <v>18</v>
      </c>
      <c r="B27">
        <v>56</v>
      </c>
      <c r="C27" t="s">
        <v>25</v>
      </c>
      <c r="G27" t="s">
        <v>41</v>
      </c>
      <c r="I27" s="24" t="s">
        <v>56</v>
      </c>
      <c r="J27" s="24" t="s">
        <v>57</v>
      </c>
      <c r="K27" s="24" t="s">
        <v>58</v>
      </c>
      <c r="L27" s="24" t="s">
        <v>59</v>
      </c>
    </row>
    <row r="28" spans="1:23" x14ac:dyDescent="0.3">
      <c r="A28" t="s">
        <v>19</v>
      </c>
      <c r="B28">
        <v>44</v>
      </c>
      <c r="C28" t="s">
        <v>25</v>
      </c>
      <c r="H28" t="s">
        <v>61</v>
      </c>
      <c r="I28" s="28">
        <f>B34/(B2*D2*B41)</f>
        <v>178.57142857142853</v>
      </c>
      <c r="J28" s="28">
        <f>B34/(D3*B3)</f>
        <v>185.71428571428572</v>
      </c>
      <c r="K28">
        <f>(B34-B35)/E4</f>
        <v>7.3684210526315796</v>
      </c>
      <c r="L28" s="28">
        <f>B34/(E5)</f>
        <v>54.736842105263158</v>
      </c>
      <c r="O28" t="s">
        <v>79</v>
      </c>
    </row>
    <row r="29" spans="1:23" x14ac:dyDescent="0.3">
      <c r="A29" t="s">
        <v>86</v>
      </c>
      <c r="B29">
        <f>B32/(B30*B31)</f>
        <v>54.862842892768079</v>
      </c>
      <c r="C29" t="s">
        <v>25</v>
      </c>
      <c r="H29" t="s">
        <v>62</v>
      </c>
      <c r="I29" s="28">
        <f>I28*C2*B2*B43</f>
        <v>74.285714285714263</v>
      </c>
      <c r="J29">
        <f>J28*C3*B3*B43</f>
        <v>55.9</v>
      </c>
      <c r="K29">
        <f>((B35/B46)+B37)/E4</f>
        <v>31.578947368421055</v>
      </c>
      <c r="L29" s="28">
        <f>B37/E5</f>
        <v>18.947368421052634</v>
      </c>
      <c r="O29" t="s">
        <v>80</v>
      </c>
    </row>
    <row r="30" spans="1:23" x14ac:dyDescent="0.3">
      <c r="A30" t="s">
        <v>71</v>
      </c>
      <c r="B30">
        <v>16.04</v>
      </c>
      <c r="C30" t="s">
        <v>125</v>
      </c>
    </row>
    <row r="31" spans="1:23" x14ac:dyDescent="0.3">
      <c r="A31" t="s">
        <v>70</v>
      </c>
      <c r="B31" s="27">
        <f>50*10^(-3)</f>
        <v>0.05</v>
      </c>
      <c r="C31" t="s">
        <v>72</v>
      </c>
      <c r="H31" t="s">
        <v>64</v>
      </c>
      <c r="I31" s="28">
        <f>$B$37-I29</f>
        <v>-56.285714285714263</v>
      </c>
      <c r="J31">
        <f>$B$37-J29</f>
        <v>-37.9</v>
      </c>
      <c r="L31" s="28"/>
      <c r="N31" t="s">
        <v>63</v>
      </c>
    </row>
    <row r="32" spans="1:23" x14ac:dyDescent="0.3">
      <c r="A32" t="s">
        <v>73</v>
      </c>
      <c r="B32">
        <v>44</v>
      </c>
      <c r="C32" t="s">
        <v>125</v>
      </c>
      <c r="H32" t="s">
        <v>74</v>
      </c>
      <c r="I32">
        <f>I31/($B$43*$B$2*$C$2)</f>
        <v>-135.30219780219772</v>
      </c>
      <c r="J32">
        <f>J31/($B$43*$B$2*$C$2)</f>
        <v>-91.105769230769226</v>
      </c>
      <c r="K32">
        <f>K31/($B$43*$B$2*$C$2)</f>
        <v>0</v>
      </c>
      <c r="L32">
        <f>L31/($B$43*$B$2*$C$2)</f>
        <v>0</v>
      </c>
    </row>
    <row r="33" spans="1:14" x14ac:dyDescent="0.3">
      <c r="H33" t="s">
        <v>101</v>
      </c>
      <c r="K33">
        <f>(B35/B46)+B37</f>
        <v>30</v>
      </c>
      <c r="N33" t="s">
        <v>81</v>
      </c>
    </row>
    <row r="34" spans="1:14" x14ac:dyDescent="0.3">
      <c r="A34" t="s">
        <v>28</v>
      </c>
      <c r="B34">
        <v>52</v>
      </c>
      <c r="C34" t="s">
        <v>60</v>
      </c>
    </row>
    <row r="35" spans="1:14" x14ac:dyDescent="0.3">
      <c r="A35" t="s">
        <v>29</v>
      </c>
      <c r="B35">
        <v>45</v>
      </c>
      <c r="C35" t="s">
        <v>60</v>
      </c>
      <c r="H35" t="s">
        <v>89</v>
      </c>
    </row>
    <row r="36" spans="1:14" x14ac:dyDescent="0.3">
      <c r="G36" t="s">
        <v>65</v>
      </c>
      <c r="I36" t="s">
        <v>76</v>
      </c>
      <c r="J36" t="s">
        <v>77</v>
      </c>
      <c r="K36" t="s">
        <v>78</v>
      </c>
      <c r="L36" t="s">
        <v>88</v>
      </c>
    </row>
    <row r="37" spans="1:14" x14ac:dyDescent="0.3">
      <c r="A37" t="s">
        <v>30</v>
      </c>
      <c r="B37">
        <v>18</v>
      </c>
      <c r="C37" t="s">
        <v>60</v>
      </c>
      <c r="H37" t="s">
        <v>87</v>
      </c>
      <c r="I37">
        <f>I28*$B$27</f>
        <v>9999.9999999999982</v>
      </c>
      <c r="J37">
        <f>J28*$B$27</f>
        <v>10400</v>
      </c>
      <c r="K37">
        <f>K28*B27</f>
        <v>412.63157894736844</v>
      </c>
      <c r="L37">
        <f>L28*$B$27</f>
        <v>3065.2631578947367</v>
      </c>
    </row>
    <row r="38" spans="1:14" x14ac:dyDescent="0.3">
      <c r="H38" t="s">
        <v>103</v>
      </c>
      <c r="I38">
        <f>I31*$I$24</f>
        <v>-12516.797206285852</v>
      </c>
      <c r="J38">
        <f>J31*$I$24</f>
        <v>-8428.1885757046639</v>
      </c>
      <c r="K38">
        <f>K33*$I$24</f>
        <v>6671.3893739087052</v>
      </c>
      <c r="L38">
        <f>B37*$I$24</f>
        <v>4002.8336243452231</v>
      </c>
    </row>
    <row r="39" spans="1:14" x14ac:dyDescent="0.3">
      <c r="A39" t="s">
        <v>31</v>
      </c>
      <c r="B39">
        <v>277.77</v>
      </c>
      <c r="C39" t="s">
        <v>32</v>
      </c>
      <c r="H39" t="s">
        <v>90</v>
      </c>
      <c r="I39">
        <f>I37+I38</f>
        <v>-2516.7972062858535</v>
      </c>
      <c r="J39">
        <f>J37+J38</f>
        <v>1971.8114242953361</v>
      </c>
      <c r="K39">
        <f>K37+K38</f>
        <v>7084.0209528560736</v>
      </c>
      <c r="L39">
        <f>L37+L38</f>
        <v>7068.0967822399598</v>
      </c>
    </row>
    <row r="41" spans="1:14" x14ac:dyDescent="0.3">
      <c r="A41" t="s">
        <v>36</v>
      </c>
      <c r="B41">
        <v>0.91</v>
      </c>
    </row>
    <row r="42" spans="1:14" ht="28.8" x14ac:dyDescent="0.3">
      <c r="A42" t="s">
        <v>35</v>
      </c>
      <c r="B42">
        <v>0.95</v>
      </c>
      <c r="I42" s="26" t="s">
        <v>66</v>
      </c>
      <c r="J42" s="26" t="s">
        <v>67</v>
      </c>
      <c r="K42" s="26" t="s">
        <v>68</v>
      </c>
    </row>
    <row r="43" spans="1:14" ht="28.8" x14ac:dyDescent="0.3">
      <c r="A43" t="s">
        <v>37</v>
      </c>
      <c r="B43">
        <v>1</v>
      </c>
      <c r="H43" s="25" t="s">
        <v>91</v>
      </c>
      <c r="I43">
        <f>$L$39-I39</f>
        <v>9584.8939885258133</v>
      </c>
      <c r="J43">
        <f t="shared" ref="J43" si="2">$L$39-J39</f>
        <v>5096.2853579446237</v>
      </c>
      <c r="K43">
        <f>$L$39-K39</f>
        <v>-15.92417061611377</v>
      </c>
      <c r="L43" s="26"/>
    </row>
    <row r="45" spans="1:14" x14ac:dyDescent="0.3">
      <c r="A45" s="32" t="s">
        <v>100</v>
      </c>
      <c r="B45" s="153">
        <f>4.25</f>
        <v>4.25</v>
      </c>
    </row>
    <row r="46" spans="1:14" x14ac:dyDescent="0.3">
      <c r="A46" s="36" t="s">
        <v>102</v>
      </c>
      <c r="B46" s="154">
        <f>B45-B13</f>
        <v>3.75</v>
      </c>
    </row>
    <row r="49" spans="1:15" x14ac:dyDescent="0.3">
      <c r="J49" s="26"/>
      <c r="K49" s="26"/>
      <c r="L49" s="26"/>
      <c r="O49" s="26"/>
    </row>
    <row r="50" spans="1:15" x14ac:dyDescent="0.3">
      <c r="A50" t="s">
        <v>75</v>
      </c>
      <c r="C50" s="225" t="s">
        <v>94</v>
      </c>
      <c r="D50" s="225"/>
      <c r="E50" s="225"/>
      <c r="F50" s="225"/>
      <c r="G50" s="225" t="s">
        <v>91</v>
      </c>
      <c r="H50" s="225"/>
      <c r="I50" s="225"/>
    </row>
    <row r="51" spans="1:15" x14ac:dyDescent="0.3">
      <c r="A51" t="s">
        <v>93</v>
      </c>
      <c r="B51" t="s">
        <v>92</v>
      </c>
      <c r="C51" t="s">
        <v>76</v>
      </c>
      <c r="D51" t="s">
        <v>77</v>
      </c>
      <c r="E51" t="s">
        <v>78</v>
      </c>
      <c r="F51" t="s">
        <v>88</v>
      </c>
      <c r="G51" t="s">
        <v>76</v>
      </c>
      <c r="H51" t="s">
        <v>77</v>
      </c>
      <c r="I51" t="s">
        <v>78</v>
      </c>
    </row>
    <row r="52" spans="1:15" x14ac:dyDescent="0.3">
      <c r="A52">
        <v>0</v>
      </c>
      <c r="B52" s="159">
        <f t="shared" ref="B52" si="3">$I$24+A52</f>
        <v>222.37964579695685</v>
      </c>
      <c r="C52">
        <f t="shared" ref="C52:C61" si="4">I$37+I$31*$B52</f>
        <v>-2516.7972062858535</v>
      </c>
      <c r="D52">
        <f t="shared" ref="D52:D62" si="5">J$37+J$31*$B52</f>
        <v>1971.8114242953361</v>
      </c>
      <c r="E52">
        <f>B52*$K$33+$K$37</f>
        <v>7084.0209528560736</v>
      </c>
      <c r="F52">
        <f t="shared" ref="F52:F62" si="6">B52*$B$37+$L$37</f>
        <v>7068.0967822399598</v>
      </c>
      <c r="G52">
        <f>$F52-C52</f>
        <v>9584.8939885258133</v>
      </c>
      <c r="H52">
        <f t="shared" ref="H52:I62" si="7">$F52-D52</f>
        <v>5096.2853579446237</v>
      </c>
      <c r="I52">
        <f>$F52-E52</f>
        <v>-15.92417061611377</v>
      </c>
    </row>
    <row r="53" spans="1:15" x14ac:dyDescent="0.3">
      <c r="A53">
        <v>-10</v>
      </c>
      <c r="B53">
        <v>200</v>
      </c>
      <c r="C53">
        <f t="shared" si="4"/>
        <v>-1257.1428571428551</v>
      </c>
      <c r="D53">
        <f t="shared" si="5"/>
        <v>2820</v>
      </c>
      <c r="E53">
        <f t="shared" ref="E53:E62" si="8">B53*$K$33+$K$37</f>
        <v>6412.6315789473683</v>
      </c>
      <c r="F53">
        <f t="shared" si="6"/>
        <v>6665.2631578947367</v>
      </c>
      <c r="G53">
        <f t="shared" ref="G53:G62" si="9">$F53-C53</f>
        <v>7922.4060150375917</v>
      </c>
      <c r="H53">
        <f t="shared" si="7"/>
        <v>3845.2631578947367</v>
      </c>
      <c r="I53">
        <f t="shared" si="7"/>
        <v>252.63157894736833</v>
      </c>
    </row>
    <row r="54" spans="1:15" x14ac:dyDescent="0.3">
      <c r="A54">
        <v>-20</v>
      </c>
      <c r="B54">
        <v>180</v>
      </c>
      <c r="C54">
        <f t="shared" si="4"/>
        <v>-131.42857142856883</v>
      </c>
      <c r="D54">
        <f t="shared" si="5"/>
        <v>3578</v>
      </c>
      <c r="E54">
        <f t="shared" si="8"/>
        <v>5812.6315789473683</v>
      </c>
      <c r="F54">
        <f t="shared" si="6"/>
        <v>6305.2631578947367</v>
      </c>
      <c r="G54">
        <f t="shared" si="9"/>
        <v>6436.6917293233055</v>
      </c>
      <c r="H54">
        <f t="shared" si="7"/>
        <v>2727.2631578947367</v>
      </c>
      <c r="I54">
        <f t="shared" si="7"/>
        <v>492.63157894736833</v>
      </c>
    </row>
    <row r="55" spans="1:15" x14ac:dyDescent="0.3">
      <c r="A55">
        <v>-30</v>
      </c>
      <c r="B55">
        <v>160</v>
      </c>
      <c r="C55">
        <f t="shared" si="4"/>
        <v>994.28571428571558</v>
      </c>
      <c r="D55">
        <f t="shared" si="5"/>
        <v>4336</v>
      </c>
      <c r="E55">
        <f t="shared" si="8"/>
        <v>5212.6315789473683</v>
      </c>
      <c r="F55">
        <f t="shared" si="6"/>
        <v>5945.2631578947367</v>
      </c>
      <c r="G55">
        <f t="shared" si="9"/>
        <v>4950.9774436090211</v>
      </c>
      <c r="H55">
        <f t="shared" si="7"/>
        <v>1609.2631578947367</v>
      </c>
      <c r="I55">
        <f t="shared" si="7"/>
        <v>732.63157894736833</v>
      </c>
    </row>
    <row r="56" spans="1:15" x14ac:dyDescent="0.3">
      <c r="A56">
        <v>-40</v>
      </c>
      <c r="B56">
        <v>140</v>
      </c>
      <c r="C56">
        <f t="shared" si="4"/>
        <v>2120.0000000000009</v>
      </c>
      <c r="D56">
        <f t="shared" si="5"/>
        <v>5094</v>
      </c>
      <c r="E56">
        <f t="shared" si="8"/>
        <v>4612.6315789473683</v>
      </c>
      <c r="F56">
        <f t="shared" si="6"/>
        <v>5585.2631578947367</v>
      </c>
      <c r="G56">
        <f t="shared" si="9"/>
        <v>3465.2631578947357</v>
      </c>
      <c r="H56">
        <f t="shared" si="7"/>
        <v>491.26315789473665</v>
      </c>
      <c r="I56">
        <f t="shared" si="7"/>
        <v>972.63157894736833</v>
      </c>
    </row>
    <row r="57" spans="1:15" x14ac:dyDescent="0.3">
      <c r="A57">
        <v>-50</v>
      </c>
      <c r="B57">
        <v>120</v>
      </c>
      <c r="C57">
        <f t="shared" si="4"/>
        <v>3245.7142857142862</v>
      </c>
      <c r="D57">
        <f t="shared" si="5"/>
        <v>5852</v>
      </c>
      <c r="E57">
        <f t="shared" si="8"/>
        <v>4012.6315789473683</v>
      </c>
      <c r="F57">
        <f t="shared" si="6"/>
        <v>5225.2631578947367</v>
      </c>
      <c r="G57">
        <f t="shared" si="9"/>
        <v>1979.5488721804504</v>
      </c>
      <c r="H57">
        <f t="shared" si="7"/>
        <v>-626.73684210526335</v>
      </c>
      <c r="I57">
        <f t="shared" si="7"/>
        <v>1212.6315789473683</v>
      </c>
    </row>
    <row r="58" spans="1:15" x14ac:dyDescent="0.3">
      <c r="A58">
        <v>-60</v>
      </c>
      <c r="B58">
        <v>100</v>
      </c>
      <c r="C58">
        <f t="shared" si="4"/>
        <v>4371.4285714285716</v>
      </c>
      <c r="D58">
        <f t="shared" si="5"/>
        <v>6610</v>
      </c>
      <c r="E58">
        <f t="shared" si="8"/>
        <v>3412.6315789473683</v>
      </c>
      <c r="F58">
        <f t="shared" si="6"/>
        <v>4865.2631578947367</v>
      </c>
      <c r="G58">
        <f t="shared" si="9"/>
        <v>493.83458646616509</v>
      </c>
      <c r="H58">
        <f t="shared" si="7"/>
        <v>-1744.7368421052633</v>
      </c>
      <c r="I58">
        <f t="shared" si="7"/>
        <v>1452.6315789473683</v>
      </c>
    </row>
    <row r="59" spans="1:15" ht="10.8" customHeight="1" x14ac:dyDescent="0.3">
      <c r="A59">
        <v>-70</v>
      </c>
      <c r="B59">
        <v>80</v>
      </c>
      <c r="C59">
        <f t="shared" si="4"/>
        <v>5497.1428571428569</v>
      </c>
      <c r="D59">
        <f t="shared" si="5"/>
        <v>7368</v>
      </c>
      <c r="E59">
        <f t="shared" si="8"/>
        <v>2812.6315789473683</v>
      </c>
      <c r="F59">
        <f t="shared" si="6"/>
        <v>4505.2631578947367</v>
      </c>
      <c r="G59">
        <f t="shared" si="9"/>
        <v>-991.87969924812023</v>
      </c>
      <c r="H59">
        <f t="shared" si="7"/>
        <v>-2862.7368421052633</v>
      </c>
      <c r="I59">
        <f t="shared" si="7"/>
        <v>1692.6315789473683</v>
      </c>
    </row>
    <row r="60" spans="1:15" x14ac:dyDescent="0.3">
      <c r="A60">
        <v>-80</v>
      </c>
      <c r="B60">
        <v>60</v>
      </c>
      <c r="C60">
        <f t="shared" si="4"/>
        <v>6622.8571428571422</v>
      </c>
      <c r="D60">
        <f t="shared" si="5"/>
        <v>8126</v>
      </c>
      <c r="E60">
        <f t="shared" si="8"/>
        <v>2212.6315789473683</v>
      </c>
      <c r="F60">
        <f t="shared" si="6"/>
        <v>4145.2631578947367</v>
      </c>
      <c r="G60">
        <f t="shared" si="9"/>
        <v>-2477.5939849624056</v>
      </c>
      <c r="H60">
        <f t="shared" si="7"/>
        <v>-3980.7368421052633</v>
      </c>
      <c r="I60">
        <f t="shared" si="7"/>
        <v>1932.6315789473683</v>
      </c>
    </row>
    <row r="61" spans="1:15" x14ac:dyDescent="0.3">
      <c r="A61">
        <v>-90</v>
      </c>
      <c r="B61">
        <v>40</v>
      </c>
      <c r="C61">
        <f t="shared" si="4"/>
        <v>7748.5714285714275</v>
      </c>
      <c r="D61">
        <f t="shared" si="5"/>
        <v>8884</v>
      </c>
      <c r="E61">
        <f t="shared" si="8"/>
        <v>1612.6315789473683</v>
      </c>
      <c r="F61">
        <f t="shared" si="6"/>
        <v>3785.2631578947367</v>
      </c>
      <c r="G61">
        <f t="shared" si="9"/>
        <v>-3963.3082706766909</v>
      </c>
      <c r="H61">
        <f t="shared" si="7"/>
        <v>-5098.7368421052633</v>
      </c>
      <c r="I61">
        <f t="shared" si="7"/>
        <v>2172.6315789473683</v>
      </c>
    </row>
    <row r="62" spans="1:15" x14ac:dyDescent="0.3">
      <c r="A62">
        <v>-100</v>
      </c>
      <c r="B62" s="158">
        <v>20.85</v>
      </c>
      <c r="C62">
        <f>I$37+I$31*$B62</f>
        <v>8826.4428571428562</v>
      </c>
      <c r="D62">
        <f t="shared" si="5"/>
        <v>9609.7849999999999</v>
      </c>
      <c r="E62">
        <f t="shared" si="8"/>
        <v>1038.1315789473683</v>
      </c>
      <c r="F62">
        <f t="shared" si="6"/>
        <v>3440.5631578947368</v>
      </c>
      <c r="G62">
        <f t="shared" si="9"/>
        <v>-5385.8796992481193</v>
      </c>
      <c r="H62">
        <f t="shared" si="7"/>
        <v>-6169.221842105263</v>
      </c>
      <c r="I62">
        <f t="shared" si="7"/>
        <v>2402.4315789473685</v>
      </c>
    </row>
    <row r="71" spans="1:9" x14ac:dyDescent="0.3">
      <c r="A71" t="s">
        <v>84</v>
      </c>
      <c r="E71" t="s">
        <v>83</v>
      </c>
    </row>
    <row r="72" spans="1:9" x14ac:dyDescent="0.3">
      <c r="A72" t="s">
        <v>85</v>
      </c>
    </row>
    <row r="74" spans="1:9" x14ac:dyDescent="0.3">
      <c r="B74" s="226" t="s">
        <v>76</v>
      </c>
      <c r="C74" s="227"/>
      <c r="D74" s="228"/>
      <c r="E74" s="226" t="s">
        <v>77</v>
      </c>
      <c r="F74" s="227"/>
      <c r="G74" s="228"/>
      <c r="H74" s="226" t="s">
        <v>78</v>
      </c>
      <c r="I74" s="228"/>
    </row>
    <row r="75" spans="1:9" x14ac:dyDescent="0.3">
      <c r="A75" t="s">
        <v>95</v>
      </c>
      <c r="B75" s="34" t="s">
        <v>96</v>
      </c>
      <c r="C75" s="38" t="s">
        <v>97</v>
      </c>
      <c r="D75" s="35" t="s">
        <v>98</v>
      </c>
      <c r="E75" s="34" t="s">
        <v>96</v>
      </c>
      <c r="F75" s="38" t="s">
        <v>97</v>
      </c>
      <c r="G75" s="35" t="s">
        <v>98</v>
      </c>
      <c r="H75" s="34" t="s">
        <v>99</v>
      </c>
      <c r="I75" s="35" t="s">
        <v>98</v>
      </c>
    </row>
    <row r="76" spans="1:9" x14ac:dyDescent="0.3">
      <c r="A76">
        <f t="shared" ref="A76:A79" si="10">A77+0.1</f>
        <v>1.7000000000000004</v>
      </c>
      <c r="B76" s="34">
        <f t="shared" ref="B76:B80" si="11">$C$2*$B$2*A76</f>
        <v>0.70720000000000027</v>
      </c>
      <c r="C76" s="38">
        <f t="shared" ref="C76:C80" si="12">$D$2*$B$2*A76</f>
        <v>0.54400000000000026</v>
      </c>
      <c r="D76" s="35">
        <f>$L$39-$B$34/$B$41/C76*$B$27+($B$34/$B$41/C76*B76-$B$37)*$I$24</f>
        <v>13702.541047349347</v>
      </c>
      <c r="E76" s="34">
        <f t="shared" ref="E76" si="13">$B$3*$C$3*A76</f>
        <v>0.51170000000000015</v>
      </c>
      <c r="F76" s="38">
        <f t="shared" ref="F76" si="14">$B$3*$D$3*A76</f>
        <v>0.47600000000000009</v>
      </c>
      <c r="G76" s="35">
        <f>$L$39-$B$34/F76*$B$27+($B$34/F76*E76-$B$37)*$I$24</f>
        <v>9378.6382991210976</v>
      </c>
      <c r="H76" s="155">
        <f t="shared" ref="H76:H80" si="15">$B$46*A76</f>
        <v>6.3750000000000018</v>
      </c>
      <c r="I76" s="35">
        <f t="shared" ref="I76:I80" si="16">$L$39-$K$37-(B$37+$B$35/H76)*$I$24</f>
        <v>1082.8929027335562</v>
      </c>
    </row>
    <row r="77" spans="1:9" x14ac:dyDescent="0.3">
      <c r="A77">
        <f t="shared" si="10"/>
        <v>1.6000000000000003</v>
      </c>
      <c r="B77" s="34">
        <f t="shared" si="11"/>
        <v>0.66560000000000019</v>
      </c>
      <c r="C77" s="38">
        <f t="shared" si="12"/>
        <v>0.51200000000000023</v>
      </c>
      <c r="D77" s="35">
        <f t="shared" ref="D77:D80" si="17">$L$39-$B$34/$B$41/C77*$B$27+($B$34/$B$41/C77*B77-$B$37)*$I$24</f>
        <v>13334.893988525819</v>
      </c>
      <c r="E77" s="34">
        <f t="shared" ref="E77:E80" si="18">$B$3*$C$3*A77</f>
        <v>0.48160000000000008</v>
      </c>
      <c r="F77" s="38">
        <f t="shared" ref="F77:F80" si="19">$B$3*$D$3*A77</f>
        <v>0.44800000000000006</v>
      </c>
      <c r="G77" s="35">
        <f t="shared" ref="G77:G80" si="20">$L$39-$B$34/F77*$B$27+($B$34/F77*E77-$B$37)*$I$24</f>
        <v>8996.2853579446237</v>
      </c>
      <c r="H77" s="155">
        <f t="shared" si="15"/>
        <v>6.0000000000000009</v>
      </c>
      <c r="I77" s="35">
        <f t="shared" si="16"/>
        <v>984.78423547019156</v>
      </c>
    </row>
    <row r="78" spans="1:9" x14ac:dyDescent="0.3">
      <c r="A78">
        <f t="shared" si="10"/>
        <v>1.5000000000000002</v>
      </c>
      <c r="B78" s="34">
        <f t="shared" si="11"/>
        <v>0.62400000000000011</v>
      </c>
      <c r="C78" s="38">
        <f t="shared" si="12"/>
        <v>0.48000000000000015</v>
      </c>
      <c r="D78" s="35">
        <f t="shared" si="17"/>
        <v>12918.227321859151</v>
      </c>
      <c r="E78" s="34">
        <f t="shared" si="18"/>
        <v>0.45150000000000007</v>
      </c>
      <c r="F78" s="38">
        <f t="shared" si="19"/>
        <v>0.42000000000000004</v>
      </c>
      <c r="G78" s="35">
        <f t="shared" si="20"/>
        <v>8562.9520246112934</v>
      </c>
      <c r="H78" s="155">
        <f t="shared" si="15"/>
        <v>5.6250000000000009</v>
      </c>
      <c r="I78" s="35">
        <f t="shared" si="16"/>
        <v>873.59441257171329</v>
      </c>
    </row>
    <row r="79" spans="1:9" x14ac:dyDescent="0.3">
      <c r="A79">
        <f t="shared" si="10"/>
        <v>1.4000000000000001</v>
      </c>
      <c r="B79" s="34">
        <f t="shared" si="11"/>
        <v>0.58240000000000014</v>
      </c>
      <c r="C79" s="38">
        <f t="shared" si="12"/>
        <v>0.44800000000000012</v>
      </c>
      <c r="D79" s="35">
        <f t="shared" si="17"/>
        <v>12442.036845668674</v>
      </c>
      <c r="E79" s="34">
        <f t="shared" si="18"/>
        <v>0.42140000000000005</v>
      </c>
      <c r="F79" s="38">
        <f t="shared" si="19"/>
        <v>0.39200000000000002</v>
      </c>
      <c r="G79" s="35">
        <f t="shared" si="20"/>
        <v>8067.7139293731971</v>
      </c>
      <c r="H79" s="155">
        <f t="shared" si="15"/>
        <v>5.2500000000000009</v>
      </c>
      <c r="I79" s="35">
        <f t="shared" si="16"/>
        <v>746.52032925916683</v>
      </c>
    </row>
    <row r="80" spans="1:9" x14ac:dyDescent="0.3">
      <c r="A80">
        <f>A81+0.1</f>
        <v>1.3</v>
      </c>
      <c r="B80" s="34">
        <f t="shared" si="11"/>
        <v>0.54080000000000006</v>
      </c>
      <c r="C80" s="38">
        <f t="shared" si="12"/>
        <v>0.41600000000000009</v>
      </c>
      <c r="D80" s="35">
        <f t="shared" si="17"/>
        <v>11892.586296218122</v>
      </c>
      <c r="E80" s="34">
        <f t="shared" si="18"/>
        <v>0.39129999999999998</v>
      </c>
      <c r="F80" s="38">
        <f t="shared" si="19"/>
        <v>0.36399999999999999</v>
      </c>
      <c r="G80" s="35">
        <f t="shared" si="20"/>
        <v>7496.2853579446237</v>
      </c>
      <c r="H80" s="155">
        <f t="shared" si="15"/>
        <v>4.875</v>
      </c>
      <c r="I80" s="35">
        <f t="shared" si="16"/>
        <v>599.89638697545888</v>
      </c>
    </row>
    <row r="81" spans="1:9" x14ac:dyDescent="0.3">
      <c r="A81">
        <v>1.2</v>
      </c>
      <c r="B81" s="34">
        <f>$C$2*$B$2*A81</f>
        <v>0.49920000000000003</v>
      </c>
      <c r="C81" s="38">
        <f>$D$2*$B$2*A81</f>
        <v>0.38400000000000006</v>
      </c>
      <c r="D81" s="35">
        <f>$L$39-$B$34/$B$41/C81*$B$27+($B$34/$B$41/C81*B81-$B$37)*$I$24</f>
        <v>11251.560655192481</v>
      </c>
      <c r="E81" s="34">
        <f>$B$3*$C$3*A81</f>
        <v>0.36119999999999997</v>
      </c>
      <c r="F81" s="38">
        <f>$B$3*$D$3*A81</f>
        <v>0.33599999999999997</v>
      </c>
      <c r="G81" s="35">
        <f>$L$39-$B$34/F81*$B$27+($B$34/F81*E81-$B$37)*$I$24</f>
        <v>6829.6186912779576</v>
      </c>
      <c r="H81" s="155">
        <f>$B$46*A81</f>
        <v>4.5</v>
      </c>
      <c r="I81" s="35">
        <f>$L$39-$K$37-(B$37+$B$35/H81)*$I$24</f>
        <v>428.83512097779931</v>
      </c>
    </row>
    <row r="82" spans="1:9" x14ac:dyDescent="0.3">
      <c r="A82">
        <f>A81-0.1</f>
        <v>1.0999999999999999</v>
      </c>
      <c r="B82" s="34">
        <f t="shared" ref="B82:B85" si="21">$C$2*$B$2*A82</f>
        <v>0.45760000000000001</v>
      </c>
      <c r="C82" s="38">
        <f t="shared" ref="C82:C85" si="22">$D$2*$B$2*A82</f>
        <v>0.35200000000000004</v>
      </c>
      <c r="D82" s="35">
        <f t="shared" ref="D82:D85" si="23">$L$39-$B$34/$B$41/C82*$B$27+($B$34/$B$41/C82*B82-$B$37)*$I$24</f>
        <v>10493.984897616725</v>
      </c>
      <c r="E82" s="34">
        <f t="shared" ref="E82:E85" si="24">$B$3*$C$3*A82</f>
        <v>0.33109999999999995</v>
      </c>
      <c r="F82" s="38">
        <f t="shared" ref="F82:F85" si="25">$B$3*$D$3*A82</f>
        <v>0.30799999999999994</v>
      </c>
      <c r="G82" s="35">
        <f t="shared" ref="G82:G85" si="26">$L$39-$B$34/F82*$B$27+($B$34/F82*E82-$B$37)*$I$24</f>
        <v>6041.7399033991696</v>
      </c>
      <c r="H82" s="155">
        <f t="shared" ref="H82:H85" si="27">$B$46*A82</f>
        <v>4.1249999999999991</v>
      </c>
      <c r="I82" s="35">
        <f>$L$39-$K$37-(B$37+$B$35/H82)*$I$24</f>
        <v>226.67180661692873</v>
      </c>
    </row>
    <row r="83" spans="1:9" x14ac:dyDescent="0.3">
      <c r="A83">
        <f t="shared" ref="A83:A85" si="28">A82-0.1</f>
        <v>0.99999999999999989</v>
      </c>
      <c r="B83" s="34">
        <f t="shared" si="21"/>
        <v>0.41599999999999998</v>
      </c>
      <c r="C83" s="38">
        <f t="shared" si="22"/>
        <v>0.32</v>
      </c>
      <c r="D83" s="35">
        <f t="shared" si="23"/>
        <v>9584.8939885258151</v>
      </c>
      <c r="E83" s="34">
        <f t="shared" si="24"/>
        <v>0.30099999999999993</v>
      </c>
      <c r="F83" s="38">
        <f t="shared" si="25"/>
        <v>0.27999999999999992</v>
      </c>
      <c r="G83" s="35">
        <f t="shared" si="26"/>
        <v>5096.2853579446219</v>
      </c>
      <c r="H83" s="155">
        <f t="shared" si="27"/>
        <v>3.7499999999999996</v>
      </c>
      <c r="I83" s="35">
        <f>$L$39-$K$37-(B$37+$B$35/H83)*$I$24</f>
        <v>-15.92417061611377</v>
      </c>
    </row>
    <row r="84" spans="1:9" x14ac:dyDescent="0.3">
      <c r="A84">
        <f t="shared" si="28"/>
        <v>0.89999999999999991</v>
      </c>
      <c r="B84" s="34">
        <f t="shared" si="21"/>
        <v>0.37440000000000001</v>
      </c>
      <c r="C84" s="38">
        <f t="shared" si="22"/>
        <v>0.28800000000000003</v>
      </c>
      <c r="D84" s="35">
        <f t="shared" si="23"/>
        <v>8473.7828774147056</v>
      </c>
      <c r="E84" s="34">
        <f t="shared" si="24"/>
        <v>0.27089999999999997</v>
      </c>
      <c r="F84" s="38">
        <f t="shared" si="25"/>
        <v>0.25199999999999995</v>
      </c>
      <c r="G84" s="35">
        <f t="shared" si="26"/>
        <v>3940.7298023890671</v>
      </c>
      <c r="H84" s="155">
        <f t="shared" si="27"/>
        <v>3.3749999999999996</v>
      </c>
      <c r="I84" s="35">
        <f>$L$39-$K$37-(B$37+$B$35/H84)*$I$24</f>
        <v>-312.43036501205734</v>
      </c>
    </row>
    <row r="85" spans="1:9" x14ac:dyDescent="0.3">
      <c r="A85">
        <f t="shared" si="28"/>
        <v>0.79999999999999993</v>
      </c>
      <c r="B85" s="34">
        <f t="shared" si="21"/>
        <v>0.33279999999999998</v>
      </c>
      <c r="C85" s="38">
        <f t="shared" si="22"/>
        <v>0.25600000000000001</v>
      </c>
      <c r="D85" s="35">
        <f t="shared" si="23"/>
        <v>7084.8939885258169</v>
      </c>
      <c r="E85" s="34">
        <f t="shared" si="24"/>
        <v>0.24079999999999996</v>
      </c>
      <c r="F85" s="38">
        <f t="shared" si="25"/>
        <v>0.22399999999999995</v>
      </c>
      <c r="G85" s="35">
        <f t="shared" si="26"/>
        <v>2496.2853579446219</v>
      </c>
      <c r="H85" s="155">
        <f t="shared" si="27"/>
        <v>2.9999999999999996</v>
      </c>
      <c r="I85" s="35">
        <f>$L$39-$K$37-(B$37+$B$35/H85)*$I$24</f>
        <v>-683.06310800698429</v>
      </c>
    </row>
    <row r="86" spans="1:9" x14ac:dyDescent="0.3">
      <c r="B86" s="34"/>
      <c r="C86" s="38"/>
      <c r="D86" s="35"/>
      <c r="E86" s="34"/>
      <c r="F86" s="38"/>
      <c r="G86" s="35"/>
      <c r="H86" s="155"/>
      <c r="I86" s="35"/>
    </row>
    <row r="87" spans="1:9" x14ac:dyDescent="0.3">
      <c r="B87" s="36"/>
      <c r="C87" s="39"/>
      <c r="D87" s="35"/>
      <c r="E87" s="36"/>
      <c r="F87" s="39"/>
      <c r="G87" s="35"/>
      <c r="H87" s="156"/>
      <c r="I87" s="35"/>
    </row>
    <row r="88" spans="1:9" x14ac:dyDescent="0.3">
      <c r="B88" s="36"/>
      <c r="C88" s="39"/>
      <c r="D88" s="35"/>
      <c r="E88" s="36"/>
      <c r="F88" s="39"/>
      <c r="G88" s="35"/>
      <c r="H88" s="156"/>
      <c r="I88" s="35"/>
    </row>
    <row r="89" spans="1:9" x14ac:dyDescent="0.3">
      <c r="B89" s="36"/>
      <c r="C89" s="39"/>
      <c r="D89" s="35"/>
      <c r="E89" s="36"/>
      <c r="F89" s="39"/>
      <c r="G89" s="35"/>
      <c r="H89" s="156"/>
      <c r="I89" s="35">
        <f>$K$37-(B$37+$B$35/H76)*$I$24</f>
        <v>-5159.940721611667</v>
      </c>
    </row>
    <row r="92" spans="1:9" x14ac:dyDescent="0.3">
      <c r="A92" s="152" t="s">
        <v>92</v>
      </c>
      <c r="B92" s="152" t="s">
        <v>76</v>
      </c>
      <c r="C92" s="152" t="s">
        <v>77</v>
      </c>
      <c r="D92" s="152" t="s">
        <v>78</v>
      </c>
    </row>
    <row r="93" spans="1:9" x14ac:dyDescent="0.3">
      <c r="A93" s="161">
        <v>222.37964579695685</v>
      </c>
      <c r="B93" s="157">
        <v>9584.8939885258133</v>
      </c>
      <c r="C93" s="157">
        <v>5096.2853579446237</v>
      </c>
      <c r="D93" s="157">
        <v>-15.92417061611377</v>
      </c>
    </row>
    <row r="94" spans="1:9" x14ac:dyDescent="0.3">
      <c r="A94" s="161">
        <v>200</v>
      </c>
      <c r="B94" s="157">
        <v>7922.4060150375917</v>
      </c>
      <c r="C94" s="157">
        <v>3845.2631578947367</v>
      </c>
      <c r="D94" s="157">
        <v>252.63157894736833</v>
      </c>
    </row>
    <row r="95" spans="1:9" x14ac:dyDescent="0.3">
      <c r="A95" s="161">
        <v>180</v>
      </c>
      <c r="B95" s="157">
        <v>6436.6917293233055</v>
      </c>
      <c r="C95" s="157">
        <v>2727.2631578947367</v>
      </c>
      <c r="D95" s="157">
        <v>492.63157894736833</v>
      </c>
    </row>
    <row r="96" spans="1:9" x14ac:dyDescent="0.3">
      <c r="A96" s="161">
        <v>160</v>
      </c>
      <c r="B96" s="157">
        <v>4950.9774436090211</v>
      </c>
      <c r="C96" s="157">
        <v>1609.2631578947367</v>
      </c>
      <c r="D96" s="157">
        <v>732.63157894736833</v>
      </c>
    </row>
    <row r="97" spans="1:5" x14ac:dyDescent="0.3">
      <c r="A97" s="161">
        <v>140</v>
      </c>
      <c r="B97" s="157">
        <v>3465.2631578947357</v>
      </c>
      <c r="C97" s="157">
        <v>491.26315789473665</v>
      </c>
      <c r="D97" s="157">
        <v>972.63157894736833</v>
      </c>
    </row>
    <row r="98" spans="1:5" x14ac:dyDescent="0.3">
      <c r="A98" s="161">
        <v>120</v>
      </c>
      <c r="B98" s="157">
        <v>1979.5488721804504</v>
      </c>
      <c r="C98" s="157">
        <v>-626.73684210526335</v>
      </c>
      <c r="D98" s="157">
        <v>1212.6315789473683</v>
      </c>
    </row>
    <row r="99" spans="1:5" x14ac:dyDescent="0.3">
      <c r="A99" s="161">
        <v>100</v>
      </c>
      <c r="B99" s="157">
        <v>493.83458646616509</v>
      </c>
      <c r="C99" s="157">
        <v>-1744.7368421052633</v>
      </c>
      <c r="D99" s="157">
        <v>1452.6315789473683</v>
      </c>
    </row>
    <row r="100" spans="1:5" x14ac:dyDescent="0.3">
      <c r="A100" s="161">
        <v>80</v>
      </c>
      <c r="B100" s="157">
        <v>-991.87969924812023</v>
      </c>
      <c r="C100" s="157">
        <v>-2862.7368421052633</v>
      </c>
      <c r="D100" s="157">
        <v>1692.6315789473683</v>
      </c>
    </row>
    <row r="101" spans="1:5" x14ac:dyDescent="0.3">
      <c r="A101" s="161">
        <v>60</v>
      </c>
      <c r="B101" s="157">
        <v>-2477.5939849624056</v>
      </c>
      <c r="C101" s="157">
        <v>-3980.7368421052633</v>
      </c>
      <c r="D101" s="157">
        <v>1932.6315789473683</v>
      </c>
    </row>
    <row r="102" spans="1:5" x14ac:dyDescent="0.3">
      <c r="A102" s="161">
        <v>40</v>
      </c>
      <c r="B102" s="157">
        <v>-3963.3082706766909</v>
      </c>
      <c r="C102" s="157">
        <v>-5098.7368421052633</v>
      </c>
      <c r="D102" s="157">
        <v>2172.6315789473683</v>
      </c>
    </row>
    <row r="103" spans="1:5" x14ac:dyDescent="0.3">
      <c r="A103" s="160">
        <v>20.85</v>
      </c>
      <c r="B103" s="157">
        <v>-5385.8796992481193</v>
      </c>
      <c r="C103" s="157">
        <v>-6169.221842105263</v>
      </c>
      <c r="D103" s="157">
        <v>2402.4315789473685</v>
      </c>
    </row>
    <row r="109" spans="1:5" x14ac:dyDescent="0.3">
      <c r="A109" s="164" t="s">
        <v>247</v>
      </c>
      <c r="B109" s="164" t="s">
        <v>76</v>
      </c>
      <c r="C109" s="164" t="s">
        <v>77</v>
      </c>
      <c r="D109" s="164" t="s">
        <v>99</v>
      </c>
      <c r="E109" s="164" t="s">
        <v>78</v>
      </c>
    </row>
    <row r="110" spans="1:5" x14ac:dyDescent="0.3">
      <c r="A110" s="164">
        <f t="shared" ref="A110:A113" si="29">A111+0.1</f>
        <v>1.7000000000000004</v>
      </c>
      <c r="B110" s="163">
        <v>13702.541047349347</v>
      </c>
      <c r="C110" s="163">
        <v>9378.6382991210976</v>
      </c>
      <c r="D110" s="164">
        <v>6.3750000000000018</v>
      </c>
      <c r="E110" s="163">
        <v>1082.8929027335562</v>
      </c>
    </row>
    <row r="111" spans="1:5" x14ac:dyDescent="0.3">
      <c r="A111" s="164">
        <f t="shared" si="29"/>
        <v>1.6000000000000003</v>
      </c>
      <c r="B111" s="163">
        <v>13334.893988525819</v>
      </c>
      <c r="C111" s="163">
        <v>8996.2853579446237</v>
      </c>
      <c r="D111" s="164">
        <v>6.0000000000000009</v>
      </c>
      <c r="E111" s="163">
        <v>984.78423547019156</v>
      </c>
    </row>
    <row r="112" spans="1:5" x14ac:dyDescent="0.3">
      <c r="A112" s="164">
        <f t="shared" si="29"/>
        <v>1.5000000000000002</v>
      </c>
      <c r="B112" s="163">
        <v>12918.227321859151</v>
      </c>
      <c r="C112" s="163">
        <v>8562.9520246112934</v>
      </c>
      <c r="D112" s="164">
        <v>5.6250000000000009</v>
      </c>
      <c r="E112" s="163">
        <v>873.59441257171329</v>
      </c>
    </row>
    <row r="113" spans="1:21" x14ac:dyDescent="0.3">
      <c r="A113" s="164">
        <f t="shared" si="29"/>
        <v>1.4000000000000001</v>
      </c>
      <c r="B113" s="163">
        <v>12442.036845668674</v>
      </c>
      <c r="C113" s="163">
        <v>8067.7139293731971</v>
      </c>
      <c r="D113" s="164">
        <v>5.2500000000000009</v>
      </c>
      <c r="E113" s="163">
        <v>746.52032925916683</v>
      </c>
    </row>
    <row r="114" spans="1:21" x14ac:dyDescent="0.3">
      <c r="A114" s="164">
        <f>A115+0.1</f>
        <v>1.3</v>
      </c>
      <c r="B114" s="163">
        <v>11892.586296218122</v>
      </c>
      <c r="C114" s="163">
        <v>7496.2853579446237</v>
      </c>
      <c r="D114" s="164">
        <v>4.875</v>
      </c>
      <c r="E114" s="163">
        <v>599.89638697545888</v>
      </c>
    </row>
    <row r="115" spans="1:21" x14ac:dyDescent="0.3">
      <c r="A115" s="164">
        <v>1.2</v>
      </c>
      <c r="B115" s="163">
        <v>11251.560655192481</v>
      </c>
      <c r="C115" s="163">
        <v>6829.6186912779576</v>
      </c>
      <c r="D115" s="164">
        <v>4.5</v>
      </c>
      <c r="E115" s="163">
        <v>428.83512097779931</v>
      </c>
    </row>
    <row r="116" spans="1:21" x14ac:dyDescent="0.3">
      <c r="A116" s="164">
        <f>A115-0.1</f>
        <v>1.0999999999999999</v>
      </c>
      <c r="B116" s="163">
        <v>10493.984897616725</v>
      </c>
      <c r="C116" s="163">
        <v>6041.7399033991696</v>
      </c>
      <c r="D116" s="164">
        <v>4.1249999999999991</v>
      </c>
      <c r="E116" s="163">
        <v>226.67180661692873</v>
      </c>
    </row>
    <row r="117" spans="1:21" ht="13.8" customHeight="1" x14ac:dyDescent="0.3">
      <c r="A117" s="164">
        <f t="shared" ref="A117:A119" si="30">A116-0.1</f>
        <v>0.99999999999999989</v>
      </c>
      <c r="B117" s="163">
        <v>9584.8939885258151</v>
      </c>
      <c r="C117" s="163">
        <v>5096.2853579446219</v>
      </c>
      <c r="D117" s="164">
        <v>3.7499999999999996</v>
      </c>
      <c r="E117" s="163">
        <v>-15.92417061611377</v>
      </c>
      <c r="R117" s="162" t="s">
        <v>92</v>
      </c>
      <c r="S117" s="170" t="s">
        <v>76</v>
      </c>
      <c r="T117" s="170" t="s">
        <v>77</v>
      </c>
      <c r="U117" s="170" t="s">
        <v>78</v>
      </c>
    </row>
    <row r="118" spans="1:21" x14ac:dyDescent="0.3">
      <c r="A118" s="164">
        <f t="shared" si="30"/>
        <v>0.89999999999999991</v>
      </c>
      <c r="B118" s="163">
        <v>8473.7828774147056</v>
      </c>
      <c r="C118" s="163">
        <v>3940.7298023890671</v>
      </c>
      <c r="D118" s="164">
        <v>3.3749999999999996</v>
      </c>
      <c r="E118" s="163">
        <v>-312.43036501205734</v>
      </c>
      <c r="R118" s="163">
        <v>222.37964579695685</v>
      </c>
      <c r="S118" s="163">
        <v>9584.8939885258133</v>
      </c>
      <c r="T118" s="163">
        <v>5096.2853579446237</v>
      </c>
      <c r="U118" s="163">
        <v>-15.92417061611377</v>
      </c>
    </row>
    <row r="119" spans="1:21" x14ac:dyDescent="0.3">
      <c r="A119" s="164">
        <f t="shared" si="30"/>
        <v>0.79999999999999993</v>
      </c>
      <c r="B119" s="163">
        <v>7084.8939885258169</v>
      </c>
      <c r="C119" s="163">
        <v>2496.2853579446219</v>
      </c>
      <c r="D119" s="164">
        <v>2.9999999999999996</v>
      </c>
      <c r="E119" s="163">
        <v>-683.06310800698429</v>
      </c>
      <c r="R119" s="164">
        <v>200</v>
      </c>
      <c r="S119" s="163">
        <v>7922.4060150375917</v>
      </c>
      <c r="T119" s="163">
        <v>3845.2631578947367</v>
      </c>
      <c r="U119" s="163">
        <v>252.63157894736833</v>
      </c>
    </row>
    <row r="120" spans="1:21" x14ac:dyDescent="0.3">
      <c r="R120" s="164">
        <v>180</v>
      </c>
      <c r="S120" s="163">
        <v>6436.6917293233055</v>
      </c>
      <c r="T120" s="163">
        <v>2727.2631578947367</v>
      </c>
      <c r="U120" s="163">
        <v>492.63157894736833</v>
      </c>
    </row>
    <row r="121" spans="1:21" x14ac:dyDescent="0.3">
      <c r="R121" s="164">
        <v>160</v>
      </c>
      <c r="S121" s="163">
        <v>4950.9774436090211</v>
      </c>
      <c r="T121" s="163">
        <v>1609.2631578947367</v>
      </c>
      <c r="U121" s="163">
        <v>732.63157894736833</v>
      </c>
    </row>
    <row r="122" spans="1:21" x14ac:dyDescent="0.3">
      <c r="R122" s="164">
        <v>140</v>
      </c>
      <c r="S122" s="163">
        <v>3465.2631578947357</v>
      </c>
      <c r="T122" s="163">
        <v>491.26315789473665</v>
      </c>
      <c r="U122" s="163">
        <v>972.63157894736833</v>
      </c>
    </row>
    <row r="123" spans="1:21" x14ac:dyDescent="0.3">
      <c r="R123" s="164">
        <v>120</v>
      </c>
      <c r="S123" s="163">
        <v>1979.5488721804504</v>
      </c>
      <c r="T123" s="163">
        <v>-626.73684210526335</v>
      </c>
      <c r="U123" s="163">
        <v>1212.6315789473683</v>
      </c>
    </row>
    <row r="124" spans="1:21" x14ac:dyDescent="0.3">
      <c r="R124" s="164">
        <v>100</v>
      </c>
      <c r="S124" s="163">
        <v>493.83458646616509</v>
      </c>
      <c r="T124" s="163">
        <v>-1744.7368421052633</v>
      </c>
      <c r="U124" s="163">
        <v>1452.6315789473683</v>
      </c>
    </row>
    <row r="125" spans="1:21" x14ac:dyDescent="0.3">
      <c r="R125" s="164">
        <v>80</v>
      </c>
      <c r="S125" s="163">
        <v>-991.87969924812023</v>
      </c>
      <c r="T125" s="163">
        <v>-2862.7368421052633</v>
      </c>
      <c r="U125" s="163">
        <v>1692.6315789473683</v>
      </c>
    </row>
    <row r="126" spans="1:21" x14ac:dyDescent="0.3">
      <c r="R126" s="164">
        <v>60</v>
      </c>
      <c r="S126" s="163">
        <v>-2477.5939849624056</v>
      </c>
      <c r="T126" s="163">
        <v>-3980.7368421052633</v>
      </c>
      <c r="U126" s="163">
        <v>1932.6315789473683</v>
      </c>
    </row>
    <row r="127" spans="1:21" x14ac:dyDescent="0.3">
      <c r="R127" s="164">
        <v>40</v>
      </c>
      <c r="S127" s="163">
        <v>-3963.3082706766909</v>
      </c>
      <c r="T127" s="163">
        <v>-5098.7368421052633</v>
      </c>
      <c r="U127" s="163">
        <v>2172.6315789473683</v>
      </c>
    </row>
    <row r="128" spans="1:21" x14ac:dyDescent="0.3">
      <c r="R128" s="165">
        <v>20.85</v>
      </c>
      <c r="S128" s="163">
        <v>-5385.8796992481193</v>
      </c>
      <c r="T128" s="163">
        <v>-6169.221842105263</v>
      </c>
      <c r="U128" s="163">
        <v>2402.4315789473685</v>
      </c>
    </row>
    <row r="133" spans="18:22" ht="43.2" x14ac:dyDescent="0.3">
      <c r="R133" s="162" t="s">
        <v>247</v>
      </c>
      <c r="S133" s="171" t="s">
        <v>76</v>
      </c>
      <c r="T133" s="171" t="s">
        <v>77</v>
      </c>
      <c r="U133" s="171" t="s">
        <v>99</v>
      </c>
      <c r="V133" s="171" t="s">
        <v>78</v>
      </c>
    </row>
    <row r="134" spans="18:22" x14ac:dyDescent="0.3">
      <c r="R134" s="164">
        <v>1.7000000000000004</v>
      </c>
      <c r="S134" s="163">
        <v>13702.541047349347</v>
      </c>
      <c r="T134" s="163">
        <v>9378.6382991210976</v>
      </c>
      <c r="U134" s="164">
        <v>6.3750000000000018</v>
      </c>
      <c r="V134" s="163">
        <v>1082.8929027335562</v>
      </c>
    </row>
    <row r="135" spans="18:22" x14ac:dyDescent="0.3">
      <c r="R135" s="164">
        <v>1.6000000000000003</v>
      </c>
      <c r="S135" s="163">
        <v>13334.893988525819</v>
      </c>
      <c r="T135" s="163">
        <v>8996.2853579446237</v>
      </c>
      <c r="U135" s="164">
        <v>6.0000000000000009</v>
      </c>
      <c r="V135" s="163">
        <v>984.78423547019156</v>
      </c>
    </row>
    <row r="136" spans="18:22" x14ac:dyDescent="0.3">
      <c r="R136" s="164">
        <v>1.5000000000000002</v>
      </c>
      <c r="S136" s="163">
        <v>12918.227321859151</v>
      </c>
      <c r="T136" s="163">
        <v>8562.9520246112934</v>
      </c>
      <c r="U136" s="164">
        <v>5.6250000000000009</v>
      </c>
      <c r="V136" s="163">
        <v>873.59441257171329</v>
      </c>
    </row>
    <row r="137" spans="18:22" x14ac:dyDescent="0.3">
      <c r="R137" s="164">
        <v>1.4000000000000001</v>
      </c>
      <c r="S137" s="163">
        <v>12442.036845668674</v>
      </c>
      <c r="T137" s="163">
        <v>8067.7139293731971</v>
      </c>
      <c r="U137" s="164">
        <v>5.2500000000000009</v>
      </c>
      <c r="V137" s="163">
        <v>746.52032925916683</v>
      </c>
    </row>
    <row r="138" spans="18:22" x14ac:dyDescent="0.3">
      <c r="R138" s="164">
        <v>1.3</v>
      </c>
      <c r="S138" s="163">
        <v>11892.586296218122</v>
      </c>
      <c r="T138" s="163">
        <v>7496.2853579446237</v>
      </c>
      <c r="U138" s="164">
        <v>4.875</v>
      </c>
      <c r="V138" s="163">
        <v>599.89638697545888</v>
      </c>
    </row>
    <row r="139" spans="18:22" x14ac:dyDescent="0.3">
      <c r="R139" s="164">
        <v>1.2</v>
      </c>
      <c r="S139" s="163">
        <v>11251.560655192481</v>
      </c>
      <c r="T139" s="163">
        <v>6829.6186912779576</v>
      </c>
      <c r="U139" s="164">
        <v>4.5</v>
      </c>
      <c r="V139" s="163">
        <v>428.83512097779931</v>
      </c>
    </row>
    <row r="140" spans="18:22" x14ac:dyDescent="0.3">
      <c r="R140" s="164">
        <v>1.0999999999999999</v>
      </c>
      <c r="S140" s="163">
        <v>10493.984897616725</v>
      </c>
      <c r="T140" s="163">
        <v>6041.7399033991696</v>
      </c>
      <c r="U140" s="164">
        <v>4.1249999999999991</v>
      </c>
      <c r="V140" s="163">
        <v>226.67180661692873</v>
      </c>
    </row>
    <row r="141" spans="18:22" x14ac:dyDescent="0.3">
      <c r="R141" s="164">
        <v>0.99999999999999989</v>
      </c>
      <c r="S141" s="163">
        <v>9584.8939885258151</v>
      </c>
      <c r="T141" s="163">
        <v>5096.2853579446219</v>
      </c>
      <c r="U141" s="164">
        <v>3.7499999999999996</v>
      </c>
      <c r="V141" s="163">
        <v>-15.92417061611377</v>
      </c>
    </row>
    <row r="142" spans="18:22" x14ac:dyDescent="0.3">
      <c r="R142" s="164">
        <v>0.89999999999999991</v>
      </c>
      <c r="S142" s="163">
        <v>8473.7828774147056</v>
      </c>
      <c r="T142" s="163">
        <v>3940.7298023890671</v>
      </c>
      <c r="U142" s="164">
        <v>3.3749999999999996</v>
      </c>
      <c r="V142" s="163">
        <v>-312.43036501205734</v>
      </c>
    </row>
    <row r="143" spans="18:22" x14ac:dyDescent="0.3">
      <c r="R143" s="164">
        <v>0.79999999999999993</v>
      </c>
      <c r="S143" s="163">
        <v>7084.8939885258169</v>
      </c>
      <c r="T143" s="163">
        <v>2496.2853579446219</v>
      </c>
      <c r="U143" s="164">
        <v>2.9999999999999996</v>
      </c>
      <c r="V143" s="163">
        <v>-683.06310800698429</v>
      </c>
    </row>
  </sheetData>
  <mergeCells count="5">
    <mergeCell ref="C50:F50"/>
    <mergeCell ref="G50:I50"/>
    <mergeCell ref="B74:D74"/>
    <mergeCell ref="E74:G74"/>
    <mergeCell ref="H74:I74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8230-E838-473E-AE08-A7E99DC3F582}">
  <dimension ref="A1:AF63"/>
  <sheetViews>
    <sheetView tabSelected="1" topLeftCell="T1" zoomScale="80" zoomScaleNormal="80" workbookViewId="0">
      <selection activeCell="AJ21" sqref="AJ21"/>
    </sheetView>
  </sheetViews>
  <sheetFormatPr defaultRowHeight="14.4" x14ac:dyDescent="0.3"/>
  <cols>
    <col min="1" max="1" width="20.33203125" bestFit="1" customWidth="1"/>
    <col min="3" max="3" width="17.44140625" bestFit="1" customWidth="1"/>
    <col min="5" max="5" width="9.6640625" bestFit="1" customWidth="1"/>
    <col min="6" max="6" width="33.109375" bestFit="1" customWidth="1"/>
    <col min="8" max="8" width="17.44140625" bestFit="1" customWidth="1"/>
    <col min="11" max="11" width="33.109375" bestFit="1" customWidth="1"/>
    <col min="13" max="13" width="10.6640625" customWidth="1"/>
    <col min="14" max="14" width="10.44140625" customWidth="1"/>
    <col min="15" max="15" width="10.33203125" customWidth="1"/>
    <col min="16" max="16" width="9.44140625" customWidth="1"/>
    <col min="17" max="17" width="11.5546875" customWidth="1"/>
    <col min="18" max="18" width="9.88671875" customWidth="1"/>
    <col min="20" max="20" width="10.88671875" customWidth="1"/>
    <col min="22" max="22" width="10.5546875" customWidth="1"/>
    <col min="27" max="27" width="11.21875" customWidth="1"/>
    <col min="28" max="28" width="12" customWidth="1"/>
    <col min="29" max="29" width="11.77734375" customWidth="1"/>
    <col min="30" max="30" width="11.44140625" customWidth="1"/>
    <col min="31" max="31" width="11.77734375" customWidth="1"/>
    <col min="32" max="32" width="12.21875" customWidth="1"/>
  </cols>
  <sheetData>
    <row r="1" spans="1:32" x14ac:dyDescent="0.3">
      <c r="G1" t="s">
        <v>127</v>
      </c>
      <c r="H1" t="s">
        <v>128</v>
      </c>
      <c r="I1" t="s">
        <v>129</v>
      </c>
      <c r="O1" s="230" t="s">
        <v>76</v>
      </c>
      <c r="P1" s="230"/>
      <c r="Q1" s="230"/>
      <c r="R1" s="230" t="s">
        <v>77</v>
      </c>
      <c r="S1" s="230"/>
      <c r="T1" s="230"/>
      <c r="U1" s="230" t="s">
        <v>78</v>
      </c>
      <c r="V1" s="230"/>
      <c r="Z1" s="168"/>
      <c r="AA1" s="229" t="s">
        <v>76</v>
      </c>
      <c r="AB1" s="229"/>
      <c r="AC1" s="229" t="s">
        <v>77</v>
      </c>
      <c r="AD1" s="229"/>
      <c r="AE1" s="229" t="s">
        <v>78</v>
      </c>
      <c r="AF1" s="229"/>
    </row>
    <row r="2" spans="1:32" ht="28.8" x14ac:dyDescent="0.3">
      <c r="A2" s="18" t="s">
        <v>105</v>
      </c>
      <c r="B2" s="18">
        <v>0.25</v>
      </c>
      <c r="E2" t="s">
        <v>108</v>
      </c>
      <c r="F2" t="s">
        <v>109</v>
      </c>
      <c r="G2">
        <v>0.8</v>
      </c>
      <c r="H2">
        <v>0.7</v>
      </c>
      <c r="I2" s="30" t="s">
        <v>48</v>
      </c>
      <c r="L2" s="166" t="s">
        <v>105</v>
      </c>
      <c r="M2" s="166" t="s">
        <v>106</v>
      </c>
      <c r="N2" s="166" t="s">
        <v>107</v>
      </c>
      <c r="O2" s="162" t="s">
        <v>248</v>
      </c>
      <c r="P2" s="162" t="s">
        <v>249</v>
      </c>
      <c r="Q2" s="162" t="s">
        <v>126</v>
      </c>
      <c r="R2" s="162" t="s">
        <v>248</v>
      </c>
      <c r="S2" s="162" t="s">
        <v>249</v>
      </c>
      <c r="T2" s="162" t="s">
        <v>126</v>
      </c>
      <c r="U2" s="162" t="s">
        <v>249</v>
      </c>
      <c r="V2" s="162" t="s">
        <v>126</v>
      </c>
      <c r="Z2" s="162" t="s">
        <v>105</v>
      </c>
      <c r="AA2" s="169" t="s">
        <v>251</v>
      </c>
      <c r="AB2" s="169" t="s">
        <v>252</v>
      </c>
      <c r="AC2" s="169" t="s">
        <v>251</v>
      </c>
      <c r="AD2" s="169" t="s">
        <v>252</v>
      </c>
      <c r="AE2" s="169" t="s">
        <v>251</v>
      </c>
      <c r="AF2" s="169" t="s">
        <v>252</v>
      </c>
    </row>
    <row r="3" spans="1:32" x14ac:dyDescent="0.3">
      <c r="A3" t="s">
        <v>106</v>
      </c>
      <c r="B3">
        <f>1-(1-B2)^2</f>
        <v>0.4375</v>
      </c>
      <c r="F3" t="s">
        <v>110</v>
      </c>
      <c r="G3">
        <v>0.52</v>
      </c>
      <c r="H3">
        <v>0.43</v>
      </c>
      <c r="I3" s="30" t="s">
        <v>48</v>
      </c>
      <c r="L3" s="168">
        <v>0.1</v>
      </c>
      <c r="M3" s="163">
        <f>1-(1-L3)^2</f>
        <v>0.18999999999999995</v>
      </c>
      <c r="N3" s="163">
        <f>1-M3</f>
        <v>0.81</v>
      </c>
      <c r="O3" s="163">
        <f t="shared" ref="O3:O10" si="0">$B$11/$G$2/$G$4/$G$6*$M3</f>
        <v>33.928571428571416</v>
      </c>
      <c r="P3" s="163">
        <f t="shared" ref="P3:P10" si="1">$B$11*$N3/$G$8</f>
        <v>44.336842105263166</v>
      </c>
      <c r="Q3" s="163">
        <f t="shared" ref="Q3:Q10" si="2">$B$14-($O3*$G$2*$G$3)</f>
        <v>3.8857142857142897</v>
      </c>
      <c r="R3" s="163">
        <f t="shared" ref="R3:R10" si="3">$B$11/$H$2/$H$4*$M3</f>
        <v>35.285714285714278</v>
      </c>
      <c r="S3" s="163">
        <f t="shared" ref="S3:S10" si="4">$B$11*$N3/$H$8</f>
        <v>44.336842105263166</v>
      </c>
      <c r="T3" s="163">
        <f t="shared" ref="T3:T10" si="5">$B$14-($R3*$H$2*$H$3)</f>
        <v>7.3790000000000031</v>
      </c>
      <c r="U3" s="163">
        <f t="shared" ref="U3:U10" si="6">($B$12+$N3*$B$13)/$I$8</f>
        <v>45.736842105263165</v>
      </c>
      <c r="V3" s="163">
        <f>$B$14+($B$13*$M3/$I$9)</f>
        <v>20.28</v>
      </c>
      <c r="Z3" s="168">
        <v>0.1</v>
      </c>
      <c r="AA3" s="198">
        <f t="shared" ref="AA3:AA10" si="7">O3*$G$11+P3*$G$11+Q3*$G$12</f>
        <v>5246.9669244200559</v>
      </c>
      <c r="AB3" s="198">
        <f>'Q2 Q3'!$L$39-AA3</f>
        <v>1821.1298578199039</v>
      </c>
      <c r="AC3" s="198">
        <f t="shared" ref="AC3:AC10" si="8">R3*$G$11+S3*$G$11+T3*$G$12</f>
        <v>6099.8025642304819</v>
      </c>
      <c r="AD3" s="198">
        <f>'Q2 Q3'!$L$39-AC3</f>
        <v>968.29421800947785</v>
      </c>
      <c r="AE3" s="198">
        <f>U3*$G$11+V3*$G$12</f>
        <v>7071.1223746570231</v>
      </c>
      <c r="AF3" s="198">
        <f>'Q2 Q3'!$L$39-AE3</f>
        <v>-3.0255924170633079</v>
      </c>
    </row>
    <row r="4" spans="1:32" x14ac:dyDescent="0.3">
      <c r="A4" t="s">
        <v>107</v>
      </c>
      <c r="B4">
        <f>1-B3</f>
        <v>0.5625</v>
      </c>
      <c r="F4" t="s">
        <v>111</v>
      </c>
      <c r="G4">
        <v>0.4</v>
      </c>
      <c r="H4">
        <v>0.4</v>
      </c>
      <c r="I4" s="30" t="s">
        <v>48</v>
      </c>
      <c r="L4" s="164">
        <v>0.25</v>
      </c>
      <c r="M4" s="163">
        <f>1-(1-L4)^2</f>
        <v>0.4375</v>
      </c>
      <c r="N4" s="163">
        <f>1-M4</f>
        <v>0.5625</v>
      </c>
      <c r="O4" s="163">
        <f>$B$11/$G$2/$G$4/$G$6*$M4</f>
        <v>78.125</v>
      </c>
      <c r="P4" s="163">
        <f>$B$11*$N4/$G$8</f>
        <v>30.789473684210527</v>
      </c>
      <c r="Q4" s="163">
        <f t="shared" si="2"/>
        <v>-14.5</v>
      </c>
      <c r="R4" s="163">
        <f t="shared" si="3"/>
        <v>81.25</v>
      </c>
      <c r="S4" s="163">
        <f t="shared" si="4"/>
        <v>30.789473684210527</v>
      </c>
      <c r="T4" s="163">
        <f t="shared" si="5"/>
        <v>-6.4562499999999972</v>
      </c>
      <c r="U4" s="163">
        <f t="shared" si="6"/>
        <v>34.013157894736842</v>
      </c>
      <c r="V4" s="163">
        <f t="shared" ref="V4:V10" si="9">$B$14+($B$13*$M4/$I$9)</f>
        <v>23.25</v>
      </c>
      <c r="Z4" s="164">
        <v>0.25</v>
      </c>
      <c r="AA4" s="198">
        <f t="shared" si="7"/>
        <v>2874.7056622599157</v>
      </c>
      <c r="AB4" s="198">
        <f>'Q2 Q3'!$L$39-AA4</f>
        <v>4193.3911199800441</v>
      </c>
      <c r="AC4" s="198">
        <f t="shared" si="8"/>
        <v>4838.4719381391878</v>
      </c>
      <c r="AD4" s="198">
        <f>'Q2 Q3'!$L$39-AC4</f>
        <v>2229.624844100772</v>
      </c>
      <c r="AE4" s="198">
        <f t="shared" ref="AE4:AE10" si="10">U4*$G$11+V4*$G$12</f>
        <v>7075.0636068845097</v>
      </c>
      <c r="AF4" s="198">
        <f>'Q2 Q3'!$L$39-AE4</f>
        <v>-6.966824644549888</v>
      </c>
    </row>
    <row r="5" spans="1:32" x14ac:dyDescent="0.3">
      <c r="F5" t="s">
        <v>112</v>
      </c>
      <c r="G5">
        <f>G2*(G3+G4)</f>
        <v>0.7360000000000001</v>
      </c>
      <c r="H5" s="30" t="s">
        <v>48</v>
      </c>
      <c r="I5" s="30" t="s">
        <v>48</v>
      </c>
      <c r="L5" s="164">
        <v>0.375</v>
      </c>
      <c r="M5" s="163">
        <f>1-(1-L5)^2</f>
        <v>0.609375</v>
      </c>
      <c r="N5" s="163">
        <f t="shared" ref="N5:N9" si="11">1-M5</f>
        <v>0.390625</v>
      </c>
      <c r="O5" s="163">
        <f t="shared" si="0"/>
        <v>108.81696428571428</v>
      </c>
      <c r="P5" s="163">
        <f t="shared" si="1"/>
        <v>21.381578947368421</v>
      </c>
      <c r="Q5" s="163">
        <f t="shared" si="2"/>
        <v>-27.267857142857146</v>
      </c>
      <c r="R5" s="163">
        <f t="shared" si="3"/>
        <v>113.16964285714286</v>
      </c>
      <c r="S5" s="163">
        <f t="shared" si="4"/>
        <v>21.381578947368421</v>
      </c>
      <c r="T5" s="163">
        <f t="shared" si="5"/>
        <v>-16.064062499999999</v>
      </c>
      <c r="U5" s="163">
        <f t="shared" si="6"/>
        <v>25.871710526315791</v>
      </c>
      <c r="V5" s="163">
        <f>$B$14+($B$13*$M5/$I$9)</f>
        <v>25.3125</v>
      </c>
      <c r="Z5" s="164">
        <v>0.375</v>
      </c>
      <c r="AA5" s="198">
        <f t="shared" si="7"/>
        <v>1227.3020079820399</v>
      </c>
      <c r="AB5" s="198">
        <f>'Q2 Q3'!$L$39-AA5</f>
        <v>5840.7947742579199</v>
      </c>
      <c r="AC5" s="198">
        <f t="shared" si="8"/>
        <v>3962.547892242455</v>
      </c>
      <c r="AD5" s="198">
        <f>'Q2 Q3'!$L$39-AC5</f>
        <v>3105.5488899975048</v>
      </c>
      <c r="AE5" s="198">
        <f t="shared" si="10"/>
        <v>7077.8005737091544</v>
      </c>
      <c r="AF5" s="198">
        <f>'Q2 Q3'!$L$39-AE5</f>
        <v>-9.7037914691945844</v>
      </c>
    </row>
    <row r="6" spans="1:32" x14ac:dyDescent="0.3">
      <c r="F6" t="s">
        <v>113</v>
      </c>
      <c r="G6">
        <v>0.91</v>
      </c>
      <c r="H6" s="30" t="s">
        <v>48</v>
      </c>
      <c r="I6" s="30" t="s">
        <v>48</v>
      </c>
      <c r="L6" s="167">
        <f>3/7</f>
        <v>0.42857142857142855</v>
      </c>
      <c r="M6" s="163">
        <f>1-(1-L6)^2</f>
        <v>0.67346938775510212</v>
      </c>
      <c r="N6" s="163">
        <f t="shared" si="11"/>
        <v>0.32653061224489788</v>
      </c>
      <c r="O6" s="163">
        <f t="shared" si="0"/>
        <v>120.26239067055394</v>
      </c>
      <c r="P6" s="163">
        <f t="shared" si="1"/>
        <v>17.873254564983885</v>
      </c>
      <c r="Q6" s="163">
        <f t="shared" si="2"/>
        <v>-32.029154518950442</v>
      </c>
      <c r="R6" s="163">
        <f t="shared" si="3"/>
        <v>125.07288629737612</v>
      </c>
      <c r="S6" s="163">
        <f t="shared" si="4"/>
        <v>17.873254564983885</v>
      </c>
      <c r="T6" s="163">
        <f t="shared" si="5"/>
        <v>-19.646938775510208</v>
      </c>
      <c r="U6" s="163">
        <f t="shared" si="6"/>
        <v>22.835660580021482</v>
      </c>
      <c r="V6" s="163">
        <f t="shared" si="9"/>
        <v>26.081632653061227</v>
      </c>
      <c r="Z6" s="167">
        <f>3/7</f>
        <v>0.42857142857142855</v>
      </c>
      <c r="AA6" s="198">
        <f t="shared" si="7"/>
        <v>612.96409608991871</v>
      </c>
      <c r="AB6" s="198">
        <f>'Q2 Q3'!$L$39-AA6</f>
        <v>6455.1326861500411</v>
      </c>
      <c r="AC6" s="198">
        <f t="shared" si="8"/>
        <v>3635.9046023997025</v>
      </c>
      <c r="AD6" s="198">
        <f>'Q2 Q3'!$L$39-AC6</f>
        <v>3432.1921798402573</v>
      </c>
      <c r="AE6" s="198">
        <f t="shared" si="10"/>
        <v>7078.8212236753034</v>
      </c>
      <c r="AF6" s="198">
        <f>'Q2 Q3'!$L$39-AE6</f>
        <v>-10.724441435343579</v>
      </c>
    </row>
    <row r="7" spans="1:32" x14ac:dyDescent="0.3">
      <c r="F7" t="s">
        <v>114</v>
      </c>
      <c r="G7">
        <v>0.95</v>
      </c>
      <c r="H7" s="30" t="s">
        <v>48</v>
      </c>
      <c r="I7" s="30">
        <v>0.95</v>
      </c>
      <c r="L7" s="164">
        <v>0.5</v>
      </c>
      <c r="M7" s="163">
        <f t="shared" ref="M7:M9" si="12">1-(1-L7)^2</f>
        <v>0.75</v>
      </c>
      <c r="N7" s="163">
        <f t="shared" si="11"/>
        <v>0.25</v>
      </c>
      <c r="O7" s="163">
        <f t="shared" si="0"/>
        <v>133.92857142857142</v>
      </c>
      <c r="P7" s="163">
        <f t="shared" si="1"/>
        <v>13.684210526315789</v>
      </c>
      <c r="Q7" s="163">
        <f t="shared" si="2"/>
        <v>-37.714285714285715</v>
      </c>
      <c r="R7" s="163">
        <f t="shared" si="3"/>
        <v>139.28571428571428</v>
      </c>
      <c r="S7" s="163">
        <f t="shared" si="4"/>
        <v>13.684210526315789</v>
      </c>
      <c r="T7" s="163">
        <f t="shared" si="5"/>
        <v>-23.92499999999999</v>
      </c>
      <c r="U7" s="163">
        <f t="shared" si="6"/>
        <v>19.210526315789476</v>
      </c>
      <c r="V7" s="163">
        <f t="shared" si="9"/>
        <v>27</v>
      </c>
      <c r="Z7" s="164">
        <v>0.5</v>
      </c>
      <c r="AA7" s="198">
        <f t="shared" si="7"/>
        <v>-120.57370915440333</v>
      </c>
      <c r="AB7" s="198">
        <f>'Q2 Q3'!$L$39-AA7</f>
        <v>7188.6704913943631</v>
      </c>
      <c r="AC7" s="198">
        <f t="shared" si="8"/>
        <v>3245.8827637814929</v>
      </c>
      <c r="AD7" s="198">
        <f>'Q2 Q3'!$L$39-AC7</f>
        <v>3822.2140184584669</v>
      </c>
      <c r="AE7" s="198">
        <f t="shared" si="10"/>
        <v>7080.0399102020456</v>
      </c>
      <c r="AF7" s="198">
        <f>'Q2 Q3'!$L$39-AE7</f>
        <v>-11.943127962085782</v>
      </c>
    </row>
    <row r="8" spans="1:32" x14ac:dyDescent="0.3">
      <c r="F8" t="s">
        <v>115</v>
      </c>
      <c r="G8">
        <v>0.95</v>
      </c>
      <c r="H8">
        <v>0.95</v>
      </c>
      <c r="I8">
        <v>0.95</v>
      </c>
      <c r="L8" s="164">
        <v>0.67500000000000004</v>
      </c>
      <c r="M8" s="163">
        <f t="shared" si="12"/>
        <v>0.89437500000000003</v>
      </c>
      <c r="N8" s="163">
        <f t="shared" si="11"/>
        <v>0.10562499999999997</v>
      </c>
      <c r="O8" s="163">
        <f t="shared" si="0"/>
        <v>159.70982142857142</v>
      </c>
      <c r="P8" s="163">
        <f t="shared" si="1"/>
        <v>5.7815789473684189</v>
      </c>
      <c r="Q8" s="163">
        <f t="shared" si="2"/>
        <v>-48.439285714285717</v>
      </c>
      <c r="R8" s="163">
        <f t="shared" si="3"/>
        <v>166.09821428571431</v>
      </c>
      <c r="S8" s="163">
        <f t="shared" si="4"/>
        <v>5.7815789473684189</v>
      </c>
      <c r="T8" s="163">
        <f t="shared" si="5"/>
        <v>-31.995562500000005</v>
      </c>
      <c r="U8" s="163">
        <f t="shared" si="6"/>
        <v>12.371710526315789</v>
      </c>
      <c r="V8" s="163">
        <f t="shared" si="9"/>
        <v>28.732500000000002</v>
      </c>
      <c r="Z8" s="164">
        <v>0.67500000000000004</v>
      </c>
      <c r="AA8" s="198">
        <f t="shared" si="7"/>
        <v>-1504.3927787478187</v>
      </c>
      <c r="AB8" s="198">
        <f>'Q2 Q3'!$L$39-AA8</f>
        <v>8572.4895609877785</v>
      </c>
      <c r="AC8" s="198">
        <f t="shared" si="8"/>
        <v>2510.1065652282368</v>
      </c>
      <c r="AD8" s="198">
        <f>'Q2 Q3'!$L$39-AC8</f>
        <v>4557.990217011723</v>
      </c>
      <c r="AE8" s="198">
        <f t="shared" si="10"/>
        <v>7082.3389623347475</v>
      </c>
      <c r="AF8" s="198">
        <f>'Q2 Q3'!$L$39-AE8</f>
        <v>-14.242180094787727</v>
      </c>
    </row>
    <row r="9" spans="1:32" x14ac:dyDescent="0.3">
      <c r="F9" t="s">
        <v>99</v>
      </c>
      <c r="I9" s="28">
        <f>'Q2 Q3'!B46</f>
        <v>3.75</v>
      </c>
      <c r="L9" s="164">
        <v>0.75</v>
      </c>
      <c r="M9" s="163">
        <f t="shared" si="12"/>
        <v>0.9375</v>
      </c>
      <c r="N9" s="163">
        <f t="shared" si="11"/>
        <v>6.25E-2</v>
      </c>
      <c r="O9" s="163">
        <f t="shared" si="0"/>
        <v>167.41071428571428</v>
      </c>
      <c r="P9" s="163">
        <f t="shared" si="1"/>
        <v>3.4210526315789473</v>
      </c>
      <c r="Q9" s="163">
        <f t="shared" si="2"/>
        <v>-51.642857142857139</v>
      </c>
      <c r="R9" s="163">
        <f t="shared" si="3"/>
        <v>174.10714285714286</v>
      </c>
      <c r="S9" s="163">
        <f t="shared" si="4"/>
        <v>3.4210526315789473</v>
      </c>
      <c r="T9" s="163">
        <f t="shared" si="5"/>
        <v>-34.40625</v>
      </c>
      <c r="U9" s="163">
        <f t="shared" si="6"/>
        <v>10.328947368421053</v>
      </c>
      <c r="V9" s="163">
        <f t="shared" si="9"/>
        <v>29.25</v>
      </c>
      <c r="Z9" s="164">
        <v>0.75</v>
      </c>
      <c r="AA9" s="198">
        <f t="shared" si="7"/>
        <v>-1917.7413320029918</v>
      </c>
      <c r="AB9" s="198">
        <f>'Q2 Q3'!$L$39-AA9</f>
        <v>8985.8381142429516</v>
      </c>
      <c r="AC9" s="198">
        <f t="shared" si="8"/>
        <v>2290.3292591668751</v>
      </c>
      <c r="AD9" s="198">
        <f>'Q2 Q3'!$L$39-AC9</f>
        <v>4777.7675230730847</v>
      </c>
      <c r="AE9" s="198">
        <f t="shared" si="10"/>
        <v>7083.0256921925675</v>
      </c>
      <c r="AF9" s="198">
        <f>'Q2 Q3'!$L$39-AE9</f>
        <v>-14.928909952607682</v>
      </c>
    </row>
    <row r="10" spans="1:32" x14ac:dyDescent="0.3">
      <c r="L10" s="172">
        <v>0.9</v>
      </c>
      <c r="M10" s="163">
        <f t="shared" ref="M10" si="13">1-(1-L10)^2</f>
        <v>0.99</v>
      </c>
      <c r="N10" s="163">
        <f t="shared" ref="N10" si="14">1-M10</f>
        <v>1.0000000000000009E-2</v>
      </c>
      <c r="O10" s="163">
        <f t="shared" si="0"/>
        <v>176.78571428571428</v>
      </c>
      <c r="P10" s="163">
        <f t="shared" si="1"/>
        <v>0.54736842105263206</v>
      </c>
      <c r="Q10" s="163">
        <f t="shared" si="2"/>
        <v>-55.542857142857144</v>
      </c>
      <c r="R10" s="163">
        <f t="shared" si="3"/>
        <v>183.85714285714286</v>
      </c>
      <c r="S10" s="163">
        <f t="shared" si="4"/>
        <v>0.54736842105263206</v>
      </c>
      <c r="T10" s="163">
        <f t="shared" si="5"/>
        <v>-37.340999999999994</v>
      </c>
      <c r="U10" s="163">
        <f t="shared" si="6"/>
        <v>7.8421052631578956</v>
      </c>
      <c r="V10" s="163">
        <f t="shared" si="9"/>
        <v>29.88</v>
      </c>
      <c r="Z10" s="172">
        <v>0.9</v>
      </c>
      <c r="AA10" s="198">
        <f t="shared" si="7"/>
        <v>-2420.9482664005991</v>
      </c>
      <c r="AB10" s="198">
        <f>'Q2 Q3'!$L$39-AA10</f>
        <v>9489.0450486405589</v>
      </c>
      <c r="AC10" s="198">
        <f t="shared" si="8"/>
        <v>2022.7742778747834</v>
      </c>
      <c r="AD10" s="198">
        <f>'Q2 Q3'!$L$39-AC10</f>
        <v>5045.3225043651764</v>
      </c>
      <c r="AE10" s="198">
        <f t="shared" si="10"/>
        <v>7083.8617111499134</v>
      </c>
      <c r="AF10" s="198">
        <f>'Q2 Q3'!$L$39-AE10</f>
        <v>-15.764928909953596</v>
      </c>
    </row>
    <row r="11" spans="1:32" x14ac:dyDescent="0.3">
      <c r="A11" t="s">
        <v>28</v>
      </c>
      <c r="B11">
        <v>52</v>
      </c>
      <c r="C11" t="s">
        <v>117</v>
      </c>
      <c r="E11" t="s">
        <v>118</v>
      </c>
      <c r="F11" t="s">
        <v>119</v>
      </c>
      <c r="G11">
        <v>56</v>
      </c>
      <c r="H11" t="s">
        <v>124</v>
      </c>
    </row>
    <row r="12" spans="1:32" x14ac:dyDescent="0.3">
      <c r="A12" t="s">
        <v>116</v>
      </c>
      <c r="B12">
        <v>7</v>
      </c>
      <c r="C12" t="s">
        <v>117</v>
      </c>
      <c r="F12" t="s">
        <v>69</v>
      </c>
      <c r="G12" s="28">
        <f>'Q2 Q3'!$I$24</f>
        <v>222.37964579695685</v>
      </c>
      <c r="H12" t="s">
        <v>124</v>
      </c>
    </row>
    <row r="13" spans="1:32" x14ac:dyDescent="0.3">
      <c r="A13" t="s">
        <v>29</v>
      </c>
      <c r="B13">
        <v>45</v>
      </c>
      <c r="C13" t="s">
        <v>117</v>
      </c>
      <c r="F13" t="s">
        <v>120</v>
      </c>
      <c r="G13">
        <v>0.05</v>
      </c>
      <c r="H13" t="s">
        <v>72</v>
      </c>
    </row>
    <row r="14" spans="1:32" x14ac:dyDescent="0.3">
      <c r="A14" t="s">
        <v>30</v>
      </c>
      <c r="B14">
        <v>18</v>
      </c>
      <c r="C14" t="s">
        <v>117</v>
      </c>
      <c r="F14" t="s">
        <v>121</v>
      </c>
      <c r="G14">
        <v>16.04</v>
      </c>
      <c r="H14" t="s">
        <v>125</v>
      </c>
      <c r="AA14">
        <f>222.38/3.75</f>
        <v>59.301333333333332</v>
      </c>
    </row>
    <row r="15" spans="1:32" x14ac:dyDescent="0.3">
      <c r="A15" t="s">
        <v>250</v>
      </c>
      <c r="B15">
        <f>B14+(B13*M6/I9)</f>
        <v>26.081632653061227</v>
      </c>
      <c r="C15" t="s">
        <v>117</v>
      </c>
      <c r="F15" t="s">
        <v>122</v>
      </c>
      <c r="G15">
        <v>44</v>
      </c>
      <c r="H15" t="s">
        <v>125</v>
      </c>
    </row>
    <row r="16" spans="1:32" x14ac:dyDescent="0.3">
      <c r="F16" t="s">
        <v>123</v>
      </c>
      <c r="G16">
        <f>'Q2 Q3'!$B$29</f>
        <v>54.862842892768079</v>
      </c>
      <c r="H16" t="s">
        <v>124</v>
      </c>
    </row>
    <row r="18" spans="1:6" x14ac:dyDescent="0.3">
      <c r="A18" s="18"/>
      <c r="F18" s="18"/>
    </row>
    <row r="29" spans="1:6" x14ac:dyDescent="0.3">
      <c r="A29" s="18"/>
      <c r="B29" s="18"/>
    </row>
    <row r="33" spans="1:6" x14ac:dyDescent="0.3">
      <c r="A33" s="18"/>
      <c r="F33" s="18"/>
    </row>
    <row r="44" spans="1:6" x14ac:dyDescent="0.3">
      <c r="A44" s="18"/>
      <c r="B44" s="18"/>
    </row>
    <row r="48" spans="1:6" x14ac:dyDescent="0.3">
      <c r="A48" s="18"/>
      <c r="F48" s="18"/>
    </row>
    <row r="63" spans="1:1" x14ac:dyDescent="0.3">
      <c r="A63" s="18"/>
    </row>
  </sheetData>
  <mergeCells count="6">
    <mergeCell ref="AE1:AF1"/>
    <mergeCell ref="O1:Q1"/>
    <mergeCell ref="R1:T1"/>
    <mergeCell ref="U1:V1"/>
    <mergeCell ref="AA1:AB1"/>
    <mergeCell ref="AC1:AD1"/>
  </mergeCells>
  <phoneticPr fontId="6" type="noConversion"/>
  <pageMargins left="0.7" right="0.7" top="0.75" bottom="0.75" header="0.3" footer="0.3"/>
  <pageSetup paperSize="9" orientation="portrait" r:id="rId1"/>
  <ignoredErrors>
    <ignoredError sqref="AC3:AC10 AE3:AE10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AAFD-3391-48B3-9B0D-BED3C83C4CC7}">
  <dimension ref="A1:Y90"/>
  <sheetViews>
    <sheetView topLeftCell="A25" zoomScale="80" zoomScaleNormal="80" workbookViewId="0">
      <selection activeCell="H49" sqref="H49"/>
    </sheetView>
  </sheetViews>
  <sheetFormatPr defaultRowHeight="14.4" x14ac:dyDescent="0.3"/>
  <cols>
    <col min="1" max="1" width="38" customWidth="1"/>
    <col min="2" max="2" width="12.44140625" customWidth="1"/>
    <col min="3" max="3" width="17.88671875" bestFit="1" customWidth="1"/>
    <col min="4" max="4" width="18.6640625" bestFit="1" customWidth="1"/>
    <col min="5" max="5" width="14.44140625" customWidth="1"/>
    <col min="6" max="6" width="18.6640625" bestFit="1" customWidth="1"/>
    <col min="7" max="7" width="15.77734375" bestFit="1" customWidth="1"/>
    <col min="8" max="8" width="13.6640625" customWidth="1"/>
    <col min="9" max="9" width="11.21875" bestFit="1" customWidth="1"/>
    <col min="10" max="10" width="13.6640625" customWidth="1"/>
    <col min="11" max="11" width="14.109375" customWidth="1"/>
    <col min="12" max="12" width="10.5546875" bestFit="1" customWidth="1"/>
    <col min="13" max="13" width="14.33203125" customWidth="1"/>
    <col min="14" max="14" width="14" bestFit="1" customWidth="1"/>
    <col min="15" max="15" width="14.44140625" customWidth="1"/>
    <col min="16" max="16" width="16.109375" customWidth="1"/>
    <col min="17" max="17" width="15.6640625" bestFit="1" customWidth="1"/>
    <col min="18" max="18" width="11.33203125" bestFit="1" customWidth="1"/>
    <col min="19" max="19" width="14" customWidth="1"/>
    <col min="20" max="20" width="13.88671875" bestFit="1" customWidth="1"/>
    <col min="21" max="21" width="9.6640625" bestFit="1" customWidth="1"/>
    <col min="22" max="22" width="12" bestFit="1" customWidth="1"/>
    <col min="23" max="24" width="13.88671875" bestFit="1" customWidth="1"/>
  </cols>
  <sheetData>
    <row r="1" spans="1:18" x14ac:dyDescent="0.3">
      <c r="A1" s="18" t="s">
        <v>130</v>
      </c>
      <c r="G1" t="s">
        <v>127</v>
      </c>
      <c r="I1" t="s">
        <v>158</v>
      </c>
    </row>
    <row r="2" spans="1:18" x14ac:dyDescent="0.3">
      <c r="A2" t="s">
        <v>153</v>
      </c>
      <c r="B2">
        <v>145</v>
      </c>
      <c r="C2" s="29" t="s">
        <v>140</v>
      </c>
      <c r="D2" t="s">
        <v>168</v>
      </c>
      <c r="E2" s="29"/>
      <c r="F2" t="s">
        <v>137</v>
      </c>
      <c r="G2" s="28">
        <f>7/0.91</f>
        <v>7.6923076923076916</v>
      </c>
      <c r="H2" t="s">
        <v>139</v>
      </c>
      <c r="I2">
        <v>7</v>
      </c>
      <c r="J2" t="s">
        <v>139</v>
      </c>
      <c r="K2" t="s">
        <v>146</v>
      </c>
      <c r="L2">
        <v>0.1</v>
      </c>
      <c r="N2" t="s">
        <v>260</v>
      </c>
      <c r="O2">
        <v>18</v>
      </c>
      <c r="P2" t="s">
        <v>26</v>
      </c>
    </row>
    <row r="3" spans="1:18" x14ac:dyDescent="0.3">
      <c r="A3" t="s">
        <v>131</v>
      </c>
      <c r="B3">
        <v>1500</v>
      </c>
      <c r="C3" s="29" t="s">
        <v>140</v>
      </c>
      <c r="D3" t="s">
        <v>168</v>
      </c>
      <c r="E3" s="29"/>
      <c r="F3" t="s">
        <v>138</v>
      </c>
      <c r="G3">
        <v>7</v>
      </c>
      <c r="H3" t="s">
        <v>139</v>
      </c>
    </row>
    <row r="4" spans="1:18" x14ac:dyDescent="0.3">
      <c r="A4" t="s">
        <v>109</v>
      </c>
      <c r="B4">
        <v>450</v>
      </c>
      <c r="C4" t="s">
        <v>140</v>
      </c>
      <c r="D4" t="s">
        <v>170</v>
      </c>
      <c r="E4" s="29"/>
      <c r="K4" t="s">
        <v>150</v>
      </c>
      <c r="L4">
        <v>20</v>
      </c>
      <c r="M4" t="s">
        <v>151</v>
      </c>
    </row>
    <row r="5" spans="1:18" x14ac:dyDescent="0.3">
      <c r="A5" t="s">
        <v>132</v>
      </c>
      <c r="B5">
        <v>11500</v>
      </c>
      <c r="C5" t="s">
        <v>140</v>
      </c>
      <c r="D5" t="s">
        <v>169</v>
      </c>
      <c r="E5" s="29"/>
    </row>
    <row r="6" spans="1:18" x14ac:dyDescent="0.3">
      <c r="A6" t="s">
        <v>136</v>
      </c>
      <c r="B6">
        <v>5000</v>
      </c>
      <c r="C6" t="s">
        <v>141</v>
      </c>
      <c r="G6" s="18" t="s">
        <v>155</v>
      </c>
    </row>
    <row r="7" spans="1:18" x14ac:dyDescent="0.3">
      <c r="A7" t="s">
        <v>133</v>
      </c>
      <c r="B7">
        <v>1300</v>
      </c>
      <c r="C7" s="31" t="s">
        <v>142</v>
      </c>
    </row>
    <row r="8" spans="1:18" x14ac:dyDescent="0.3">
      <c r="G8" s="187" t="s">
        <v>131</v>
      </c>
      <c r="H8" s="33"/>
      <c r="J8" s="187" t="s">
        <v>131</v>
      </c>
      <c r="K8" s="33"/>
    </row>
    <row r="9" spans="1:18" x14ac:dyDescent="0.3">
      <c r="B9" t="s">
        <v>76</v>
      </c>
      <c r="C9" t="s">
        <v>77</v>
      </c>
      <c r="D9" t="s">
        <v>78</v>
      </c>
      <c r="E9" t="s">
        <v>88</v>
      </c>
      <c r="G9" s="34" t="s">
        <v>261</v>
      </c>
      <c r="H9" s="35">
        <f>B3*H11</f>
        <v>10500</v>
      </c>
      <c r="I9" s="29" t="s">
        <v>154</v>
      </c>
      <c r="J9" s="34" t="s">
        <v>261</v>
      </c>
      <c r="K9" s="35">
        <f>B3*7</f>
        <v>10500</v>
      </c>
      <c r="L9" s="29" t="s">
        <v>154</v>
      </c>
    </row>
    <row r="10" spans="1:18" x14ac:dyDescent="0.3">
      <c r="A10" t="s">
        <v>134</v>
      </c>
      <c r="B10">
        <v>10</v>
      </c>
      <c r="C10">
        <v>10</v>
      </c>
      <c r="D10">
        <v>20</v>
      </c>
      <c r="E10">
        <v>20</v>
      </c>
      <c r="F10" t="s">
        <v>143</v>
      </c>
      <c r="G10" s="34" t="s">
        <v>262</v>
      </c>
      <c r="H10" s="180">
        <f>(H12/H11)^H13*H9</f>
        <v>5728646.7914728653</v>
      </c>
      <c r="I10" s="29" t="s">
        <v>154</v>
      </c>
      <c r="J10" s="34" t="s">
        <v>262</v>
      </c>
      <c r="K10" s="35">
        <f>((K12/K11)^K13)*K9</f>
        <v>10500</v>
      </c>
      <c r="L10" s="29" t="s">
        <v>154</v>
      </c>
    </row>
    <row r="11" spans="1:18" x14ac:dyDescent="0.3">
      <c r="G11" s="34" t="s">
        <v>263</v>
      </c>
      <c r="H11" s="35">
        <v>7</v>
      </c>
      <c r="J11" s="34" t="s">
        <v>263</v>
      </c>
      <c r="K11" s="35">
        <v>7</v>
      </c>
    </row>
    <row r="12" spans="1:18" x14ac:dyDescent="0.3">
      <c r="B12" t="s">
        <v>144</v>
      </c>
      <c r="C12" t="s">
        <v>145</v>
      </c>
      <c r="G12" s="34" t="s">
        <v>264</v>
      </c>
      <c r="H12" s="175">
        <f>G2*1000</f>
        <v>7692.3076923076915</v>
      </c>
      <c r="J12" s="34" t="s">
        <v>264</v>
      </c>
      <c r="K12" s="35">
        <f>G3</f>
        <v>7</v>
      </c>
    </row>
    <row r="13" spans="1:18" x14ac:dyDescent="0.3">
      <c r="A13" t="s">
        <v>135</v>
      </c>
      <c r="B13">
        <v>60</v>
      </c>
      <c r="C13">
        <v>20</v>
      </c>
      <c r="D13" t="s">
        <v>143</v>
      </c>
      <c r="G13" s="36" t="s">
        <v>156</v>
      </c>
      <c r="H13" s="37">
        <v>0.9</v>
      </c>
      <c r="J13" s="36" t="s">
        <v>156</v>
      </c>
      <c r="K13" s="37">
        <v>0.9</v>
      </c>
    </row>
    <row r="15" spans="1:18" x14ac:dyDescent="0.3">
      <c r="B15" t="s">
        <v>131</v>
      </c>
      <c r="C15" t="s">
        <v>132</v>
      </c>
      <c r="D15" t="s">
        <v>148</v>
      </c>
      <c r="G15" s="187" t="s">
        <v>109</v>
      </c>
      <c r="H15" s="33"/>
      <c r="J15" s="187" t="s">
        <v>109</v>
      </c>
      <c r="K15" s="33"/>
      <c r="M15" s="187" t="s">
        <v>132</v>
      </c>
      <c r="N15" s="33"/>
      <c r="P15" s="187" t="s">
        <v>153</v>
      </c>
      <c r="Q15" s="33"/>
    </row>
    <row r="16" spans="1:18" x14ac:dyDescent="0.3">
      <c r="A16" t="s">
        <v>147</v>
      </c>
      <c r="B16">
        <v>0.08</v>
      </c>
      <c r="C16">
        <v>0.01</v>
      </c>
      <c r="D16">
        <v>0.04</v>
      </c>
      <c r="E16" t="s">
        <v>149</v>
      </c>
      <c r="G16" s="34" t="s">
        <v>261</v>
      </c>
      <c r="H16" s="35">
        <f>B4</f>
        <v>450</v>
      </c>
      <c r="I16" s="29" t="s">
        <v>154</v>
      </c>
      <c r="J16" s="34" t="s">
        <v>261</v>
      </c>
      <c r="K16" s="35">
        <f>B4*17500</f>
        <v>7875000</v>
      </c>
      <c r="L16" s="29" t="s">
        <v>154</v>
      </c>
      <c r="M16" s="34" t="s">
        <v>261</v>
      </c>
      <c r="N16" s="35">
        <f>B5</f>
        <v>11500</v>
      </c>
      <c r="O16" s="29" t="s">
        <v>154</v>
      </c>
      <c r="P16" s="34" t="s">
        <v>261</v>
      </c>
      <c r="Q16" s="35">
        <f>B2*7</f>
        <v>1015</v>
      </c>
      <c r="R16" s="29" t="s">
        <v>154</v>
      </c>
    </row>
    <row r="17" spans="1:24" x14ac:dyDescent="0.3">
      <c r="G17" s="34" t="s">
        <v>262</v>
      </c>
      <c r="H17" s="175">
        <f>((H19/H18)^H20)*H16*H18</f>
        <v>8452195.197486246</v>
      </c>
      <c r="I17" s="29" t="s">
        <v>154</v>
      </c>
      <c r="J17" s="34" t="s">
        <v>262</v>
      </c>
      <c r="K17" s="175">
        <f>((K19/K18)^K20)*K16</f>
        <v>44284.37935874</v>
      </c>
      <c r="L17" s="29" t="s">
        <v>154</v>
      </c>
      <c r="M17" s="34" t="s">
        <v>262</v>
      </c>
      <c r="N17" s="175">
        <f>((N19/N18)^N20)*N16</f>
        <v>7500.8842667046038</v>
      </c>
      <c r="O17" s="29" t="s">
        <v>154</v>
      </c>
      <c r="P17" s="34" t="s">
        <v>262</v>
      </c>
      <c r="Q17" s="35">
        <f>((Q19/Q18)^Q20)*Q16</f>
        <v>1015</v>
      </c>
      <c r="R17" s="29" t="s">
        <v>154</v>
      </c>
    </row>
    <row r="18" spans="1:24" x14ac:dyDescent="0.3">
      <c r="C18" s="176" t="s">
        <v>258</v>
      </c>
      <c r="D18" s="176">
        <f>0.1/(1-(1.1)^(-20))</f>
        <v>0.11745962477254576</v>
      </c>
      <c r="G18" s="34" t="s">
        <v>263</v>
      </c>
      <c r="H18" s="35">
        <v>17500</v>
      </c>
      <c r="J18" s="34" t="s">
        <v>263</v>
      </c>
      <c r="K18" s="35">
        <v>17500</v>
      </c>
      <c r="M18" s="34" t="s">
        <v>263</v>
      </c>
      <c r="N18" s="35">
        <v>3.3</v>
      </c>
      <c r="P18" s="34" t="s">
        <v>263</v>
      </c>
      <c r="Q18" s="35">
        <v>7</v>
      </c>
    </row>
    <row r="19" spans="1:24" x14ac:dyDescent="0.3">
      <c r="G19" s="34" t="s">
        <v>264</v>
      </c>
      <c r="H19" s="175">
        <f>G2/0.4*1000</f>
        <v>19230.769230769227</v>
      </c>
      <c r="J19" s="34" t="s">
        <v>264</v>
      </c>
      <c r="K19" s="35">
        <f>G3/0.4</f>
        <v>17.5</v>
      </c>
      <c r="M19" s="34" t="s">
        <v>264</v>
      </c>
      <c r="N19" s="175">
        <f>G3/3.75</f>
        <v>1.8666666666666667</v>
      </c>
      <c r="P19" s="34" t="s">
        <v>264</v>
      </c>
      <c r="Q19" s="35">
        <v>7</v>
      </c>
    </row>
    <row r="20" spans="1:24" x14ac:dyDescent="0.3">
      <c r="G20" s="36" t="s">
        <v>156</v>
      </c>
      <c r="H20" s="37">
        <v>0.75</v>
      </c>
      <c r="J20" s="36" t="s">
        <v>156</v>
      </c>
      <c r="K20" s="37">
        <v>0.75</v>
      </c>
      <c r="M20" s="36" t="s">
        <v>156</v>
      </c>
      <c r="N20" s="37">
        <v>0.75</v>
      </c>
      <c r="P20" s="36" t="s">
        <v>156</v>
      </c>
      <c r="Q20" s="37">
        <v>0.9</v>
      </c>
    </row>
    <row r="21" spans="1:24" x14ac:dyDescent="0.3">
      <c r="A21" t="s">
        <v>157</v>
      </c>
      <c r="B21" t="s">
        <v>152</v>
      </c>
    </row>
    <row r="22" spans="1:24" x14ac:dyDescent="0.3">
      <c r="C22" t="s">
        <v>171</v>
      </c>
      <c r="D22">
        <f>(1+L2)</f>
        <v>1.1000000000000001</v>
      </c>
    </row>
    <row r="23" spans="1:24" x14ac:dyDescent="0.3">
      <c r="A23" t="s">
        <v>167</v>
      </c>
      <c r="B23" s="234" t="s">
        <v>76</v>
      </c>
      <c r="C23" s="234"/>
      <c r="D23" s="234"/>
      <c r="E23" s="234"/>
      <c r="F23" s="234"/>
      <c r="G23" s="234"/>
      <c r="H23" s="234"/>
      <c r="I23" s="234" t="s">
        <v>77</v>
      </c>
      <c r="J23" s="234"/>
      <c r="K23" s="234"/>
      <c r="L23" s="234"/>
      <c r="M23" s="234"/>
      <c r="N23" s="234"/>
      <c r="O23" s="234" t="s">
        <v>78</v>
      </c>
      <c r="P23" s="234"/>
      <c r="Q23" s="234"/>
      <c r="R23" s="234"/>
      <c r="S23" s="234"/>
      <c r="T23" s="234"/>
      <c r="U23" s="234" t="s">
        <v>88</v>
      </c>
      <c r="V23" s="234"/>
      <c r="W23" s="234"/>
      <c r="X23" s="234"/>
    </row>
    <row r="24" spans="1:24" x14ac:dyDescent="0.3">
      <c r="A24" s="40"/>
      <c r="B24" s="152" t="s">
        <v>131</v>
      </c>
      <c r="C24" s="152" t="s">
        <v>109</v>
      </c>
      <c r="D24" s="152" t="s">
        <v>159</v>
      </c>
      <c r="E24" s="152" t="s">
        <v>160</v>
      </c>
      <c r="F24" s="152" t="s">
        <v>173</v>
      </c>
      <c r="G24" s="152" t="s">
        <v>161</v>
      </c>
      <c r="H24" s="152" t="s">
        <v>162</v>
      </c>
      <c r="I24" s="152" t="s">
        <v>131</v>
      </c>
      <c r="J24" s="152" t="s">
        <v>109</v>
      </c>
      <c r="K24" s="181" t="s">
        <v>160</v>
      </c>
      <c r="L24" s="152" t="s">
        <v>173</v>
      </c>
      <c r="M24" s="152" t="s">
        <v>161</v>
      </c>
      <c r="N24" s="152" t="s">
        <v>162</v>
      </c>
      <c r="O24" s="152" t="s">
        <v>132</v>
      </c>
      <c r="P24" s="152" t="s">
        <v>163</v>
      </c>
      <c r="Q24" s="152" t="s">
        <v>164</v>
      </c>
      <c r="R24" s="152" t="s">
        <v>165</v>
      </c>
      <c r="S24" s="152" t="s">
        <v>161</v>
      </c>
      <c r="T24" s="152" t="s">
        <v>162</v>
      </c>
      <c r="U24" s="152" t="s">
        <v>115</v>
      </c>
      <c r="V24" s="152" t="s">
        <v>173</v>
      </c>
      <c r="W24" s="152" t="s">
        <v>161</v>
      </c>
      <c r="X24" s="152" t="s">
        <v>162</v>
      </c>
    </row>
    <row r="25" spans="1:24" x14ac:dyDescent="0.3">
      <c r="A25" s="34"/>
      <c r="B25" s="152">
        <f>H10/1000</f>
        <v>5728.6467914728655</v>
      </c>
      <c r="C25" s="152">
        <f>H17/1000</f>
        <v>8452.1951974862459</v>
      </c>
      <c r="D25" s="152">
        <f>B7+100*H11</f>
        <v>2000</v>
      </c>
      <c r="E25" s="152">
        <f>B25*B16</f>
        <v>458.29174331782923</v>
      </c>
      <c r="F25" s="152">
        <f>(C25+D25)*D16</f>
        <v>418.08780789944984</v>
      </c>
      <c r="G25" s="152">
        <f>'Q2 Q3'!I28*'Q5'!B10</f>
        <v>1785.7142857142853</v>
      </c>
      <c r="H25" s="152">
        <f>'Q2 Q3'!I31*'Q5'!C13</f>
        <v>-1125.7142857142853</v>
      </c>
      <c r="I25" s="152">
        <f>K10</f>
        <v>10500</v>
      </c>
      <c r="J25" s="157">
        <f>K17</f>
        <v>44284.37935874</v>
      </c>
      <c r="K25" s="152">
        <f>I25*B16</f>
        <v>840</v>
      </c>
      <c r="L25" s="157">
        <f>J25*D16</f>
        <v>1771.3751743496</v>
      </c>
      <c r="M25" s="152">
        <f>'Q2 Q3'!J28*'Q5'!C10</f>
        <v>1857.1428571428573</v>
      </c>
      <c r="N25" s="152">
        <f>'Q2 Q3'!J31*'Q5'!C13</f>
        <v>-758</v>
      </c>
      <c r="O25" s="157">
        <f>N17</f>
        <v>7500.8842667046038</v>
      </c>
      <c r="P25" s="152">
        <f>B6</f>
        <v>5000</v>
      </c>
      <c r="Q25" s="152">
        <f>(O25+P25)*C16</f>
        <v>125.00884266704605</v>
      </c>
      <c r="R25" s="152">
        <f>Q17*D16</f>
        <v>40.6</v>
      </c>
      <c r="S25" s="152">
        <f>'Q2 Q3'!K28*'Q5'!D10</f>
        <v>147.36842105263159</v>
      </c>
      <c r="T25" s="152">
        <f>'Q2 Q3'!K33*'Q5'!B13</f>
        <v>1800</v>
      </c>
      <c r="U25" s="152">
        <v>0</v>
      </c>
      <c r="V25" s="152">
        <f>Q17*D16</f>
        <v>40.6</v>
      </c>
      <c r="W25" s="152">
        <f>'Q2 Q3'!L28*'Q5'!E10</f>
        <v>1094.7368421052631</v>
      </c>
      <c r="X25" s="152">
        <f>O2*B13</f>
        <v>1080</v>
      </c>
    </row>
    <row r="26" spans="1:24" x14ac:dyDescent="0.3">
      <c r="A26" s="34"/>
      <c r="B26" s="177"/>
      <c r="C26" s="178"/>
      <c r="D26" s="152"/>
      <c r="E26" s="179"/>
      <c r="F26" s="179"/>
      <c r="G26" s="179"/>
      <c r="H26" s="179"/>
      <c r="I26" s="152"/>
      <c r="J26" s="182"/>
      <c r="K26" s="152"/>
      <c r="L26" s="152"/>
      <c r="M26" s="152"/>
      <c r="N26" s="152"/>
      <c r="O26" s="183"/>
      <c r="P26" s="152"/>
      <c r="Q26" s="183"/>
      <c r="R26" s="152"/>
      <c r="S26" s="152"/>
      <c r="T26" s="152"/>
      <c r="U26" s="152"/>
      <c r="V26" s="152"/>
      <c r="W26" s="152"/>
      <c r="X26" s="152"/>
    </row>
    <row r="27" spans="1:24" x14ac:dyDescent="0.3">
      <c r="A27" s="32" t="s">
        <v>12</v>
      </c>
      <c r="B27" s="152">
        <f>B25</f>
        <v>5728.6467914728655</v>
      </c>
      <c r="C27" s="152">
        <f t="shared" ref="C27:H27" si="0">C25</f>
        <v>8452.1951974862459</v>
      </c>
      <c r="D27" s="152">
        <f t="shared" si="0"/>
        <v>2000</v>
      </c>
      <c r="E27" s="152">
        <f t="shared" si="0"/>
        <v>458.29174331782923</v>
      </c>
      <c r="F27" s="152">
        <f t="shared" si="0"/>
        <v>418.08780789944984</v>
      </c>
      <c r="G27" s="152">
        <f t="shared" si="0"/>
        <v>1785.7142857142853</v>
      </c>
      <c r="H27" s="152">
        <f t="shared" si="0"/>
        <v>-1125.7142857142853</v>
      </c>
      <c r="I27" s="152">
        <f>I25</f>
        <v>10500</v>
      </c>
      <c r="J27" s="152">
        <f t="shared" ref="J27:N27" si="1">J25</f>
        <v>44284.37935874</v>
      </c>
      <c r="K27" s="152">
        <f t="shared" si="1"/>
        <v>840</v>
      </c>
      <c r="L27" s="152">
        <f t="shared" si="1"/>
        <v>1771.3751743496</v>
      </c>
      <c r="M27" s="152">
        <f t="shared" si="1"/>
        <v>1857.1428571428573</v>
      </c>
      <c r="N27" s="152">
        <f t="shared" si="1"/>
        <v>-758</v>
      </c>
      <c r="O27" s="157">
        <f>O25</f>
        <v>7500.8842667046038</v>
      </c>
      <c r="P27" s="157">
        <f t="shared" ref="P27:T27" si="2">P25</f>
        <v>5000</v>
      </c>
      <c r="Q27" s="157">
        <f t="shared" si="2"/>
        <v>125.00884266704605</v>
      </c>
      <c r="R27" s="157">
        <f t="shared" si="2"/>
        <v>40.6</v>
      </c>
      <c r="S27" s="157">
        <f t="shared" si="2"/>
        <v>147.36842105263159</v>
      </c>
      <c r="T27" s="157">
        <f t="shared" si="2"/>
        <v>1800</v>
      </c>
      <c r="U27" s="152">
        <f>U25</f>
        <v>0</v>
      </c>
      <c r="V27" s="152">
        <f t="shared" ref="V27:X27" si="3">V25</f>
        <v>40.6</v>
      </c>
      <c r="W27" s="152">
        <f t="shared" si="3"/>
        <v>1094.7368421052631</v>
      </c>
      <c r="X27" s="152">
        <f t="shared" si="3"/>
        <v>1080</v>
      </c>
    </row>
    <row r="28" spans="1:24" x14ac:dyDescent="0.3">
      <c r="A28" s="144" t="s">
        <v>259</v>
      </c>
      <c r="B28" s="60">
        <f>B27*$D$18</f>
        <v>672.88470258085101</v>
      </c>
      <c r="C28" s="60">
        <f t="shared" ref="C28:D28" si="4">C27*$D$18</f>
        <v>992.79167640104777</v>
      </c>
      <c r="D28" s="60">
        <f t="shared" si="4"/>
        <v>234.91924954509153</v>
      </c>
      <c r="E28" s="60">
        <f>E27</f>
        <v>458.29174331782923</v>
      </c>
      <c r="F28" s="60">
        <f t="shared" ref="F28:H28" si="5">F27</f>
        <v>418.08780789944984</v>
      </c>
      <c r="G28" s="60">
        <f t="shared" si="5"/>
        <v>1785.7142857142853</v>
      </c>
      <c r="H28" s="60">
        <f t="shared" si="5"/>
        <v>-1125.7142857142853</v>
      </c>
      <c r="I28" s="60">
        <f>I27*$D$18</f>
        <v>1233.3260601117306</v>
      </c>
      <c r="J28" s="60">
        <f>J27*$D$18</f>
        <v>5201.6265827626712</v>
      </c>
      <c r="K28" s="60">
        <f>K27</f>
        <v>840</v>
      </c>
      <c r="L28" s="60">
        <f t="shared" ref="L28:N28" si="6">L27</f>
        <v>1771.3751743496</v>
      </c>
      <c r="M28" s="60">
        <f t="shared" si="6"/>
        <v>1857.1428571428573</v>
      </c>
      <c r="N28" s="60">
        <f t="shared" si="6"/>
        <v>-758</v>
      </c>
      <c r="O28" s="60">
        <f>O27*$D$18</f>
        <v>881.05105142941488</v>
      </c>
      <c r="P28" s="60">
        <f>P27*$D$18</f>
        <v>587.29812386272886</v>
      </c>
      <c r="Q28" s="184">
        <f>Q27</f>
        <v>125.00884266704605</v>
      </c>
      <c r="R28" s="184">
        <f t="shared" ref="R28:T28" si="7">R27</f>
        <v>40.6</v>
      </c>
      <c r="S28" s="184">
        <f t="shared" si="7"/>
        <v>147.36842105263159</v>
      </c>
      <c r="T28" s="184">
        <f t="shared" si="7"/>
        <v>1800</v>
      </c>
      <c r="U28" s="60">
        <f>U27</f>
        <v>0</v>
      </c>
      <c r="V28" s="60">
        <f t="shared" ref="V28:X28" si="8">V27</f>
        <v>40.6</v>
      </c>
      <c r="W28" s="60">
        <f t="shared" si="8"/>
        <v>1094.7368421052631</v>
      </c>
      <c r="X28" s="60">
        <f t="shared" si="8"/>
        <v>1080</v>
      </c>
    </row>
    <row r="29" spans="1:24" x14ac:dyDescent="0.3">
      <c r="A29" s="85"/>
      <c r="B29" s="85"/>
      <c r="C29" s="85"/>
      <c r="D29" s="85"/>
      <c r="E29" s="85"/>
      <c r="F29" s="85"/>
      <c r="G29" s="85"/>
      <c r="H29" s="85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</row>
    <row r="30" spans="1:24" x14ac:dyDescent="0.3">
      <c r="A30" s="85"/>
      <c r="B30" s="85"/>
      <c r="C30" s="85"/>
      <c r="D30" s="85"/>
      <c r="E30" s="85"/>
      <c r="F30" s="85"/>
      <c r="G30" s="85"/>
      <c r="H30" s="85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</row>
    <row r="32" spans="1:24" x14ac:dyDescent="0.3">
      <c r="A32" s="152"/>
      <c r="B32" s="185" t="s">
        <v>76</v>
      </c>
      <c r="C32" s="185" t="s">
        <v>77</v>
      </c>
      <c r="D32" s="185" t="s">
        <v>78</v>
      </c>
      <c r="E32" s="185" t="s">
        <v>88</v>
      </c>
    </row>
    <row r="33" spans="1:6" x14ac:dyDescent="0.3">
      <c r="A33" s="60" t="s">
        <v>131</v>
      </c>
      <c r="B33" s="157">
        <f>B28</f>
        <v>672.88470258085101</v>
      </c>
      <c r="C33" s="157">
        <f>I28</f>
        <v>1233.3260601117306</v>
      </c>
      <c r="D33" s="161">
        <v>0</v>
      </c>
      <c r="E33" s="161">
        <v>0</v>
      </c>
    </row>
    <row r="34" spans="1:6" x14ac:dyDescent="0.3">
      <c r="A34" s="60" t="s">
        <v>132</v>
      </c>
      <c r="B34" s="161">
        <v>0</v>
      </c>
      <c r="C34" s="161">
        <v>0</v>
      </c>
      <c r="D34" s="157">
        <f>O28</f>
        <v>881.05105142941488</v>
      </c>
      <c r="E34" s="161">
        <v>0</v>
      </c>
      <c r="F34" s="29"/>
    </row>
    <row r="35" spans="1:6" x14ac:dyDescent="0.3">
      <c r="A35" s="60" t="s">
        <v>115</v>
      </c>
      <c r="B35" s="161">
        <v>0</v>
      </c>
      <c r="C35" s="161">
        <v>0</v>
      </c>
      <c r="D35" s="161">
        <v>0</v>
      </c>
      <c r="E35" s="161">
        <f>U28</f>
        <v>0</v>
      </c>
      <c r="F35" s="29"/>
    </row>
    <row r="36" spans="1:6" x14ac:dyDescent="0.3">
      <c r="A36" s="60" t="s">
        <v>109</v>
      </c>
      <c r="B36" s="157">
        <f>C28</f>
        <v>992.79167640104777</v>
      </c>
      <c r="C36" s="157">
        <f>J28</f>
        <v>5201.6265827626712</v>
      </c>
      <c r="D36" s="161">
        <v>0</v>
      </c>
      <c r="E36" s="161">
        <v>0</v>
      </c>
      <c r="F36" s="29"/>
    </row>
    <row r="37" spans="1:6" x14ac:dyDescent="0.3">
      <c r="A37" s="60" t="s">
        <v>159</v>
      </c>
      <c r="B37" s="157">
        <f>D28</f>
        <v>234.91924954509153</v>
      </c>
      <c r="C37" s="161">
        <v>0</v>
      </c>
      <c r="D37" s="161">
        <v>0</v>
      </c>
      <c r="E37" s="161">
        <v>0</v>
      </c>
      <c r="F37" s="29"/>
    </row>
    <row r="38" spans="1:6" x14ac:dyDescent="0.3">
      <c r="A38" s="60" t="s">
        <v>174</v>
      </c>
      <c r="B38" s="161">
        <v>0</v>
      </c>
      <c r="C38" s="161">
        <v>0</v>
      </c>
      <c r="D38" s="157">
        <f>P28</f>
        <v>587.29812386272886</v>
      </c>
      <c r="E38" s="161">
        <v>0</v>
      </c>
      <c r="F38" s="29"/>
    </row>
    <row r="39" spans="1:6" x14ac:dyDescent="0.3">
      <c r="A39" s="60" t="s">
        <v>160</v>
      </c>
      <c r="B39" s="157">
        <f>E28</f>
        <v>458.29174331782923</v>
      </c>
      <c r="C39" s="157">
        <f>K28</f>
        <v>840</v>
      </c>
      <c r="D39" s="161">
        <v>0</v>
      </c>
      <c r="E39" s="161">
        <v>0</v>
      </c>
    </row>
    <row r="40" spans="1:6" x14ac:dyDescent="0.3">
      <c r="A40" s="60" t="s">
        <v>175</v>
      </c>
      <c r="B40" s="161">
        <v>0</v>
      </c>
      <c r="C40" s="161">
        <v>0</v>
      </c>
      <c r="D40" s="157">
        <f>Q28</f>
        <v>125.00884266704605</v>
      </c>
      <c r="E40" s="161">
        <v>0</v>
      </c>
    </row>
    <row r="41" spans="1:6" x14ac:dyDescent="0.3">
      <c r="A41" s="60" t="s">
        <v>176</v>
      </c>
      <c r="B41" s="161">
        <v>0</v>
      </c>
      <c r="C41" s="161">
        <v>0</v>
      </c>
      <c r="D41" s="157">
        <f>R28</f>
        <v>40.6</v>
      </c>
      <c r="E41" s="161">
        <v>0</v>
      </c>
    </row>
    <row r="42" spans="1:6" x14ac:dyDescent="0.3">
      <c r="A42" s="60" t="s">
        <v>177</v>
      </c>
      <c r="B42" s="157">
        <f>F28</f>
        <v>418.08780789944984</v>
      </c>
      <c r="C42" s="157">
        <f>L28</f>
        <v>1771.3751743496</v>
      </c>
      <c r="D42" s="161">
        <v>0</v>
      </c>
      <c r="E42" s="157">
        <f>V28</f>
        <v>40.6</v>
      </c>
    </row>
    <row r="43" spans="1:6" x14ac:dyDescent="0.3">
      <c r="A43" s="60" t="s">
        <v>161</v>
      </c>
      <c r="B43" s="157">
        <f>G28</f>
        <v>1785.7142857142853</v>
      </c>
      <c r="C43" s="157">
        <f>M28</f>
        <v>1857.1428571428573</v>
      </c>
      <c r="D43" s="157">
        <f>S28</f>
        <v>147.36842105263159</v>
      </c>
      <c r="E43" s="157">
        <f>W28</f>
        <v>1094.7368421052631</v>
      </c>
    </row>
    <row r="44" spans="1:6" x14ac:dyDescent="0.3">
      <c r="A44" s="60" t="s">
        <v>162</v>
      </c>
      <c r="B44" s="157">
        <f>H28</f>
        <v>-1125.7142857142853</v>
      </c>
      <c r="C44" s="157">
        <f>N28</f>
        <v>-758</v>
      </c>
      <c r="D44" s="157">
        <f>T28</f>
        <v>1800</v>
      </c>
      <c r="E44" s="157">
        <f>X28</f>
        <v>1080</v>
      </c>
    </row>
    <row r="45" spans="1:6" x14ac:dyDescent="0.3">
      <c r="A45" s="60" t="s">
        <v>172</v>
      </c>
      <c r="B45" s="184">
        <f>SUM(B28:H28)</f>
        <v>3436.9751797442686</v>
      </c>
      <c r="C45" s="184">
        <f>SUM(I28:N28)</f>
        <v>10145.470674366859</v>
      </c>
      <c r="D45" s="184">
        <f>SUM(O28:T28)</f>
        <v>3581.3264390118211</v>
      </c>
      <c r="E45" s="184">
        <f>SUM(U28:X28)</f>
        <v>2215.3368421052628</v>
      </c>
    </row>
    <row r="51" spans="1:25" x14ac:dyDescent="0.3">
      <c r="B51" t="s">
        <v>167</v>
      </c>
      <c r="C51" s="234" t="s">
        <v>76</v>
      </c>
      <c r="D51" s="234"/>
      <c r="E51" s="234"/>
      <c r="F51" s="234"/>
      <c r="G51" s="234"/>
      <c r="H51" s="234"/>
      <c r="I51" s="234"/>
      <c r="J51" s="234" t="s">
        <v>77</v>
      </c>
      <c r="K51" s="234"/>
      <c r="L51" s="234"/>
      <c r="M51" s="234"/>
      <c r="N51" s="234"/>
      <c r="O51" s="234"/>
      <c r="P51" s="234" t="s">
        <v>78</v>
      </c>
      <c r="Q51" s="234"/>
      <c r="R51" s="234"/>
      <c r="S51" s="234"/>
      <c r="T51" s="234"/>
      <c r="U51" s="234"/>
      <c r="V51" s="234" t="s">
        <v>88</v>
      </c>
      <c r="W51" s="234"/>
      <c r="X51" s="234"/>
      <c r="Y51" s="234"/>
    </row>
    <row r="52" spans="1:25" x14ac:dyDescent="0.3">
      <c r="B52" s="40"/>
      <c r="C52" s="152" t="s">
        <v>131</v>
      </c>
      <c r="D52" s="152" t="s">
        <v>109</v>
      </c>
      <c r="E52" s="152" t="s">
        <v>159</v>
      </c>
      <c r="F52" s="152" t="s">
        <v>160</v>
      </c>
      <c r="G52" s="152" t="s">
        <v>173</v>
      </c>
      <c r="H52" s="152" t="s">
        <v>161</v>
      </c>
      <c r="I52" s="152" t="s">
        <v>162</v>
      </c>
      <c r="J52" s="152" t="s">
        <v>131</v>
      </c>
      <c r="K52" s="152" t="s">
        <v>109</v>
      </c>
      <c r="L52" s="181" t="s">
        <v>160</v>
      </c>
      <c r="M52" s="152" t="s">
        <v>173</v>
      </c>
      <c r="N52" s="152" t="s">
        <v>161</v>
      </c>
      <c r="O52" s="152" t="s">
        <v>162</v>
      </c>
      <c r="P52" s="152" t="s">
        <v>132</v>
      </c>
      <c r="Q52" s="152" t="s">
        <v>163</v>
      </c>
      <c r="R52" s="152" t="s">
        <v>164</v>
      </c>
      <c r="S52" s="152" t="s">
        <v>165</v>
      </c>
      <c r="T52" s="152" t="s">
        <v>161</v>
      </c>
      <c r="U52" s="152" t="s">
        <v>162</v>
      </c>
      <c r="V52" s="152" t="s">
        <v>115</v>
      </c>
      <c r="W52" s="152" t="s">
        <v>173</v>
      </c>
      <c r="X52" s="152" t="s">
        <v>161</v>
      </c>
      <c r="Y52" s="152" t="s">
        <v>162</v>
      </c>
    </row>
    <row r="53" spans="1:25" x14ac:dyDescent="0.3">
      <c r="A53" t="s">
        <v>224</v>
      </c>
      <c r="B53" s="34"/>
      <c r="C53" s="152">
        <v>5728.6467914728655</v>
      </c>
      <c r="D53" s="152">
        <v>8452.1951974862459</v>
      </c>
      <c r="E53" s="152">
        <v>2000</v>
      </c>
      <c r="F53" s="152">
        <v>458.29174331782923</v>
      </c>
      <c r="G53" s="152">
        <f>(C25+D25)*D16+V25</f>
        <v>458.68780789944987</v>
      </c>
      <c r="H53" s="152">
        <v>1785.7142857142853</v>
      </c>
      <c r="I53" s="152">
        <v>-1125.7142857142853</v>
      </c>
      <c r="J53" s="152">
        <v>10500</v>
      </c>
      <c r="K53" s="157">
        <v>44284.37935874</v>
      </c>
      <c r="L53" s="152">
        <v>840</v>
      </c>
      <c r="M53" s="157">
        <f>J25*D16+V25</f>
        <v>1811.9751743495999</v>
      </c>
      <c r="N53" s="152">
        <v>1857.1428571428573</v>
      </c>
      <c r="O53" s="152">
        <v>-758</v>
      </c>
      <c r="P53" s="157">
        <v>7500.8842667046038</v>
      </c>
      <c r="Q53" s="152">
        <v>5000</v>
      </c>
      <c r="R53" s="152">
        <v>125.00884266704605</v>
      </c>
      <c r="S53" s="152">
        <v>40.6</v>
      </c>
      <c r="T53" s="152">
        <v>147.36842105263159</v>
      </c>
      <c r="U53" s="152">
        <v>1800</v>
      </c>
      <c r="V53" s="152">
        <v>0</v>
      </c>
      <c r="W53" s="152">
        <v>40.6</v>
      </c>
      <c r="X53" s="152">
        <v>1094.7368421052631</v>
      </c>
      <c r="Y53" s="152">
        <v>1080</v>
      </c>
    </row>
    <row r="54" spans="1:25" x14ac:dyDescent="0.3">
      <c r="B54" s="34"/>
      <c r="C54" s="177"/>
      <c r="D54" s="178"/>
      <c r="E54" s="152"/>
      <c r="F54" s="179"/>
      <c r="G54" s="179"/>
      <c r="H54" s="179"/>
      <c r="I54" s="179"/>
      <c r="J54" s="152"/>
      <c r="K54" s="182"/>
      <c r="L54" s="152"/>
      <c r="M54" s="152"/>
      <c r="N54" s="152"/>
      <c r="O54" s="152"/>
      <c r="P54" s="183"/>
      <c r="Q54" s="152"/>
      <c r="R54" s="183"/>
      <c r="S54" s="152"/>
      <c r="T54" s="152"/>
      <c r="U54" s="152"/>
      <c r="V54" s="152"/>
      <c r="W54" s="152"/>
      <c r="X54" s="152"/>
      <c r="Y54" s="152"/>
    </row>
    <row r="55" spans="1:25" x14ac:dyDescent="0.3">
      <c r="B55" s="32" t="s">
        <v>12</v>
      </c>
      <c r="C55" s="152">
        <v>5728.6467914728655</v>
      </c>
      <c r="D55" s="152">
        <v>8452.1951974862459</v>
      </c>
      <c r="E55" s="152">
        <v>2000</v>
      </c>
      <c r="F55" s="152">
        <v>458.29174331782923</v>
      </c>
      <c r="G55" s="152">
        <f>G53</f>
        <v>458.68780789944987</v>
      </c>
      <c r="H55" s="152">
        <v>1785.7142857142853</v>
      </c>
      <c r="I55" s="152">
        <v>-1125.7142857142853</v>
      </c>
      <c r="J55" s="152">
        <v>10500</v>
      </c>
      <c r="K55" s="152">
        <v>44284.37935874</v>
      </c>
      <c r="L55" s="152">
        <v>840</v>
      </c>
      <c r="M55" s="157">
        <f>M53</f>
        <v>1811.9751743495999</v>
      </c>
      <c r="N55" s="152">
        <v>1857.1428571428573</v>
      </c>
      <c r="O55" s="152">
        <v>-758</v>
      </c>
      <c r="P55" s="157">
        <v>7500.8842667046038</v>
      </c>
      <c r="Q55" s="157">
        <v>5000</v>
      </c>
      <c r="R55" s="157">
        <v>125.00884266704605</v>
      </c>
      <c r="S55" s="157">
        <v>40.6</v>
      </c>
      <c r="T55" s="157">
        <v>147.36842105263159</v>
      </c>
      <c r="U55" s="157">
        <v>1800</v>
      </c>
      <c r="V55" s="152">
        <v>0</v>
      </c>
      <c r="W55" s="152">
        <v>40.6</v>
      </c>
      <c r="X55" s="152">
        <v>1094.7368421052631</v>
      </c>
      <c r="Y55" s="152">
        <v>1080</v>
      </c>
    </row>
    <row r="56" spans="1:25" x14ac:dyDescent="0.3">
      <c r="B56" s="144" t="s">
        <v>259</v>
      </c>
      <c r="C56" s="60">
        <v>672.88470258085101</v>
      </c>
      <c r="D56" s="60">
        <v>992.79167640104777</v>
      </c>
      <c r="E56" s="60">
        <v>234.91924954509153</v>
      </c>
      <c r="F56" s="60">
        <v>458.29174331782923</v>
      </c>
      <c r="G56" s="60">
        <f>G55</f>
        <v>458.68780789944987</v>
      </c>
      <c r="H56" s="60">
        <v>1785.7142857142853</v>
      </c>
      <c r="I56" s="60">
        <v>-1125.7142857142853</v>
      </c>
      <c r="J56" s="60">
        <v>1233.3260601117306</v>
      </c>
      <c r="K56" s="60">
        <v>5201.6265827626712</v>
      </c>
      <c r="L56" s="60">
        <v>840</v>
      </c>
      <c r="M56" s="184">
        <f>M55</f>
        <v>1811.9751743495999</v>
      </c>
      <c r="N56" s="60">
        <v>1857.1428571428573</v>
      </c>
      <c r="O56" s="60">
        <v>-758</v>
      </c>
      <c r="P56" s="60">
        <v>881.05105142941488</v>
      </c>
      <c r="Q56" s="60">
        <v>587.29812386272886</v>
      </c>
      <c r="R56" s="184">
        <v>125.00884266704605</v>
      </c>
      <c r="S56" s="184">
        <v>40.6</v>
      </c>
      <c r="T56" s="184">
        <v>147.36842105263159</v>
      </c>
      <c r="U56" s="184">
        <v>1800</v>
      </c>
      <c r="V56" s="60">
        <v>0</v>
      </c>
      <c r="W56" s="60">
        <v>40.6</v>
      </c>
      <c r="X56" s="60">
        <v>1094.7368421052631</v>
      </c>
      <c r="Y56" s="60">
        <v>1080</v>
      </c>
    </row>
    <row r="57" spans="1:25" x14ac:dyDescent="0.3">
      <c r="H57" s="93"/>
      <c r="I57" s="93"/>
      <c r="J57" s="93"/>
      <c r="K57" s="93"/>
      <c r="L57" s="93"/>
      <c r="M57" s="93"/>
      <c r="N57" s="93"/>
      <c r="O57" s="93"/>
    </row>
    <row r="58" spans="1:25" x14ac:dyDescent="0.3">
      <c r="B58" t="s">
        <v>12</v>
      </c>
      <c r="C58">
        <f>SUM(C56:I56)</f>
        <v>3477.575179744269</v>
      </c>
      <c r="D58">
        <f>SUM(J56:O56)</f>
        <v>10186.070674366858</v>
      </c>
      <c r="E58">
        <f>SUM(P56:U56)</f>
        <v>3581.3264390118211</v>
      </c>
      <c r="F58">
        <f>SUM(V56:Y56)</f>
        <v>2215.3368421052628</v>
      </c>
      <c r="H58" s="93"/>
      <c r="I58" s="93"/>
      <c r="J58" s="93"/>
      <c r="K58" s="93"/>
      <c r="L58" s="93"/>
      <c r="M58" s="93"/>
      <c r="N58" s="93"/>
      <c r="O58" s="93"/>
    </row>
    <row r="59" spans="1:25" x14ac:dyDescent="0.3">
      <c r="H59" s="93"/>
      <c r="I59" s="93"/>
      <c r="J59" s="93"/>
      <c r="K59" s="93"/>
      <c r="L59" s="93"/>
      <c r="M59" s="93"/>
      <c r="N59" s="93"/>
      <c r="O59" s="93"/>
      <c r="R59" s="152"/>
      <c r="S59" s="185" t="s">
        <v>76</v>
      </c>
      <c r="T59" s="185" t="s">
        <v>77</v>
      </c>
      <c r="U59" s="185" t="s">
        <v>78</v>
      </c>
    </row>
    <row r="60" spans="1:25" x14ac:dyDescent="0.3">
      <c r="H60" s="93"/>
      <c r="I60" s="93"/>
      <c r="J60" s="93"/>
      <c r="K60" s="93"/>
      <c r="L60" s="93"/>
      <c r="M60" s="93"/>
      <c r="N60" s="93"/>
      <c r="O60" s="93"/>
      <c r="R60" s="60" t="s">
        <v>266</v>
      </c>
      <c r="S60" s="157">
        <f>(B45-E45)/'Q2 Q3'!I43</f>
        <v>0.127454548699385</v>
      </c>
      <c r="T60" s="157">
        <f>(C45-E45)/'Q2 Q3'!J43</f>
        <v>1.556061577262206</v>
      </c>
      <c r="U60" s="157">
        <f>(D45-E45)/'Q2 Q3'!K43</f>
        <v>-85.780894329548616</v>
      </c>
    </row>
    <row r="61" spans="1:25" x14ac:dyDescent="0.3">
      <c r="B61" s="152"/>
      <c r="C61" s="224"/>
      <c r="D61" s="231" t="s">
        <v>76</v>
      </c>
      <c r="E61" s="232"/>
      <c r="F61" s="232"/>
      <c r="G61" s="233"/>
      <c r="R61" s="60" t="s">
        <v>267</v>
      </c>
      <c r="S61" s="195">
        <f>S60*1000</f>
        <v>127.454548699385</v>
      </c>
      <c r="T61" s="195">
        <f t="shared" ref="T61:U61" si="9">T60*1000</f>
        <v>1556.0615772622059</v>
      </c>
      <c r="U61" s="195">
        <f t="shared" si="9"/>
        <v>-85780.89432954861</v>
      </c>
    </row>
    <row r="62" spans="1:25" x14ac:dyDescent="0.3">
      <c r="B62" s="223" t="s">
        <v>105</v>
      </c>
      <c r="C62" s="223" t="s">
        <v>297</v>
      </c>
      <c r="D62" s="223" t="s">
        <v>296</v>
      </c>
      <c r="E62" s="223" t="s">
        <v>265</v>
      </c>
      <c r="F62" s="223" t="s">
        <v>252</v>
      </c>
      <c r="G62" s="223" t="s">
        <v>301</v>
      </c>
    </row>
    <row r="63" spans="1:25" x14ac:dyDescent="0.3">
      <c r="B63" s="168">
        <v>0.1</v>
      </c>
      <c r="C63" s="168">
        <f>$H$11*B63</f>
        <v>0.70000000000000007</v>
      </c>
      <c r="D63" s="198">
        <f>$B$45*C63/7</f>
        <v>343.69751797442689</v>
      </c>
      <c r="E63" s="198">
        <f>D63-$E$45</f>
        <v>-1871.639324130836</v>
      </c>
      <c r="F63" s="198">
        <f>'Q4'!AB3</f>
        <v>1821.1298578199039</v>
      </c>
      <c r="G63" s="198">
        <f>E63/F63</f>
        <v>-1.0277352359547811</v>
      </c>
    </row>
    <row r="64" spans="1:25" x14ac:dyDescent="0.3">
      <c r="B64" s="164">
        <v>0.25</v>
      </c>
      <c r="C64" s="168">
        <f t="shared" ref="C64:C70" si="10">$H$11*B64</f>
        <v>1.75</v>
      </c>
      <c r="D64" s="198">
        <f t="shared" ref="D64:D70" si="11">$B$45*C64/7</f>
        <v>859.24379493606716</v>
      </c>
      <c r="E64" s="198">
        <f t="shared" ref="E64:E69" si="12">D64-$E$45</f>
        <v>-1356.0930471691956</v>
      </c>
      <c r="F64" s="198">
        <f>'Q4'!AB4</f>
        <v>4193.3911199800441</v>
      </c>
      <c r="G64" s="198">
        <f t="shared" ref="G64:G70" si="13">E64/F64</f>
        <v>-0.32338816207910726</v>
      </c>
    </row>
    <row r="65" spans="1:24" x14ac:dyDescent="0.3">
      <c r="B65" s="164">
        <v>0.375</v>
      </c>
      <c r="C65" s="198">
        <f t="shared" si="10"/>
        <v>2.625</v>
      </c>
      <c r="D65" s="198">
        <f t="shared" si="11"/>
        <v>1288.8656924041006</v>
      </c>
      <c r="E65" s="198">
        <f t="shared" si="12"/>
        <v>-926.47114970116218</v>
      </c>
      <c r="F65" s="198">
        <f>'Q4'!AB5</f>
        <v>5840.7947742579199</v>
      </c>
      <c r="G65" s="198">
        <f t="shared" si="13"/>
        <v>-0.15862073322356571</v>
      </c>
    </row>
    <row r="66" spans="1:24" x14ac:dyDescent="0.3">
      <c r="B66" s="167">
        <f>3/7</f>
        <v>0.42857142857142855</v>
      </c>
      <c r="C66" s="168">
        <f t="shared" si="10"/>
        <v>3</v>
      </c>
      <c r="D66" s="198">
        <f t="shared" si="11"/>
        <v>1472.9893627475435</v>
      </c>
      <c r="E66" s="198">
        <f t="shared" si="12"/>
        <v>-742.34747935771929</v>
      </c>
      <c r="F66" s="198">
        <f>'Q4'!AB6</f>
        <v>6455.1326861500411</v>
      </c>
      <c r="G66" s="198">
        <f t="shared" si="13"/>
        <v>-0.11500111855957354</v>
      </c>
    </row>
    <row r="67" spans="1:24" x14ac:dyDescent="0.3">
      <c r="B67" s="164">
        <v>0.5</v>
      </c>
      <c r="C67" s="168">
        <f t="shared" si="10"/>
        <v>3.5</v>
      </c>
      <c r="D67" s="198">
        <f t="shared" si="11"/>
        <v>1718.4875898721343</v>
      </c>
      <c r="E67" s="198">
        <f t="shared" si="12"/>
        <v>-496.84925223312848</v>
      </c>
      <c r="F67" s="198">
        <f>'Q4'!AB7</f>
        <v>7188.6704913943631</v>
      </c>
      <c r="G67" s="198">
        <f t="shared" si="13"/>
        <v>-6.9115596942148375E-2</v>
      </c>
    </row>
    <row r="68" spans="1:24" x14ac:dyDescent="0.3">
      <c r="B68" s="164">
        <v>0.67500000000000004</v>
      </c>
      <c r="C68" s="198">
        <f t="shared" si="10"/>
        <v>4.7250000000000005</v>
      </c>
      <c r="D68" s="198">
        <f t="shared" si="11"/>
        <v>2319.9582463273814</v>
      </c>
      <c r="E68" s="198">
        <f t="shared" si="12"/>
        <v>104.6214042221186</v>
      </c>
      <c r="F68" s="198">
        <f>'Q4'!AB8</f>
        <v>8572.4895609877785</v>
      </c>
      <c r="G68" s="198">
        <f t="shared" si="13"/>
        <v>1.2204319816058596E-2</v>
      </c>
    </row>
    <row r="69" spans="1:24" x14ac:dyDescent="0.3">
      <c r="B69" s="164">
        <v>0.75</v>
      </c>
      <c r="C69" s="168">
        <f t="shared" si="10"/>
        <v>5.25</v>
      </c>
      <c r="D69" s="198">
        <f t="shared" si="11"/>
        <v>2577.7313848082013</v>
      </c>
      <c r="E69" s="198">
        <f t="shared" si="12"/>
        <v>362.39454270293845</v>
      </c>
      <c r="F69" s="198">
        <f>'Q4'!AB9</f>
        <v>8985.8381142429516</v>
      </c>
      <c r="G69" s="198">
        <f t="shared" si="13"/>
        <v>4.0329520529479274E-2</v>
      </c>
    </row>
    <row r="70" spans="1:24" x14ac:dyDescent="0.3">
      <c r="B70" s="172">
        <v>0.9</v>
      </c>
      <c r="C70" s="168">
        <f t="shared" si="10"/>
        <v>6.3</v>
      </c>
      <c r="D70" s="198">
        <f t="shared" si="11"/>
        <v>3093.2776617698414</v>
      </c>
      <c r="E70" s="198">
        <f>D70-$E$45</f>
        <v>877.94081966457861</v>
      </c>
      <c r="F70" s="198">
        <f>'Q4'!AB10</f>
        <v>9489.0450486405589</v>
      </c>
      <c r="G70" s="198">
        <f t="shared" si="13"/>
        <v>9.2521514563823903E-2</v>
      </c>
    </row>
    <row r="71" spans="1:24" x14ac:dyDescent="0.3">
      <c r="B71" s="93"/>
      <c r="C71" s="93"/>
      <c r="D71" s="229" t="s">
        <v>77</v>
      </c>
      <c r="E71" s="229"/>
      <c r="F71" s="229"/>
      <c r="G71" s="229"/>
      <c r="H71" s="93"/>
      <c r="I71" s="93"/>
      <c r="J71" s="93"/>
      <c r="K71" s="93"/>
      <c r="L71" s="93"/>
      <c r="M71" s="93"/>
      <c r="N71" s="93"/>
      <c r="O71" s="93"/>
    </row>
    <row r="72" spans="1:24" x14ac:dyDescent="0.3">
      <c r="B72" s="223" t="s">
        <v>105</v>
      </c>
      <c r="C72" s="223" t="s">
        <v>297</v>
      </c>
      <c r="D72" s="223" t="s">
        <v>299</v>
      </c>
      <c r="E72" s="223" t="s">
        <v>265</v>
      </c>
      <c r="F72" s="223" t="s">
        <v>252</v>
      </c>
      <c r="G72" s="223" t="s">
        <v>301</v>
      </c>
    </row>
    <row r="73" spans="1:24" x14ac:dyDescent="0.3">
      <c r="B73" s="168">
        <v>0.1</v>
      </c>
      <c r="C73" s="168">
        <f>$H$11*B73</f>
        <v>0.70000000000000007</v>
      </c>
      <c r="D73" s="198">
        <f t="shared" ref="D73:D80" si="14">$C$45*C63/7</f>
        <v>1014.547067436686</v>
      </c>
      <c r="E73" s="198">
        <f>D73-$E$45</f>
        <v>-1200.7897746685767</v>
      </c>
      <c r="F73" s="198">
        <f>'Q4'!AD3</f>
        <v>968.29421800947785</v>
      </c>
      <c r="G73" s="198">
        <f>E73/F73</f>
        <v>-1.2401083806294328</v>
      </c>
    </row>
    <row r="74" spans="1:24" x14ac:dyDescent="0.3">
      <c r="A74" s="85"/>
      <c r="B74" s="164">
        <v>0.25</v>
      </c>
      <c r="C74" s="168">
        <f t="shared" ref="C74:C80" si="15">$H$11*B74</f>
        <v>1.75</v>
      </c>
      <c r="D74" s="198">
        <f t="shared" si="14"/>
        <v>2536.3676685917148</v>
      </c>
      <c r="E74" s="198">
        <f>D74-$E$45</f>
        <v>321.03082648645204</v>
      </c>
      <c r="F74" s="198">
        <f>'Q4'!AD4</f>
        <v>2229.624844100772</v>
      </c>
      <c r="G74" s="198">
        <f t="shared" ref="G74:G80" si="16">E74/F74</f>
        <v>0.14398423453876014</v>
      </c>
      <c r="H74" s="194"/>
      <c r="I74" s="235"/>
      <c r="J74" s="235"/>
      <c r="K74" s="235"/>
      <c r="L74" s="235"/>
      <c r="M74" s="235"/>
      <c r="N74" s="235"/>
      <c r="O74" s="235"/>
      <c r="P74" s="235"/>
      <c r="Q74" s="235"/>
      <c r="R74" s="235"/>
      <c r="S74" s="235"/>
      <c r="T74" s="235"/>
      <c r="U74" s="235"/>
      <c r="V74" s="235"/>
      <c r="W74" s="235"/>
      <c r="X74" s="235"/>
    </row>
    <row r="75" spans="1:24" x14ac:dyDescent="0.3">
      <c r="A75" s="85"/>
      <c r="B75" s="164">
        <v>0.375</v>
      </c>
      <c r="C75" s="198">
        <f t="shared" si="15"/>
        <v>2.625</v>
      </c>
      <c r="D75" s="198">
        <f t="shared" si="14"/>
        <v>3804.551502887572</v>
      </c>
      <c r="E75" s="198">
        <f t="shared" ref="E75:E79" si="17">D75-$E$45</f>
        <v>1589.2146607823092</v>
      </c>
      <c r="F75" s="198">
        <f>'Q4'!AD5</f>
        <v>3105.5488899975048</v>
      </c>
      <c r="G75" s="198">
        <f t="shared" si="16"/>
        <v>0.51173390504362215</v>
      </c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</row>
    <row r="76" spans="1:24" x14ac:dyDescent="0.3">
      <c r="A76" s="38"/>
      <c r="B76" s="167">
        <f>3/7</f>
        <v>0.42857142857142855</v>
      </c>
      <c r="C76" s="168">
        <f t="shared" si="15"/>
        <v>3</v>
      </c>
      <c r="D76" s="198">
        <f t="shared" si="14"/>
        <v>4348.0588604429404</v>
      </c>
      <c r="E76" s="198">
        <f t="shared" si="17"/>
        <v>2132.7220183376776</v>
      </c>
      <c r="F76" s="198">
        <f>'Q4'!AD6</f>
        <v>3432.1921798402573</v>
      </c>
      <c r="G76" s="198">
        <f t="shared" si="16"/>
        <v>0.62138770400582277</v>
      </c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1:24" x14ac:dyDescent="0.3">
      <c r="B77" s="164">
        <v>0.5</v>
      </c>
      <c r="C77" s="168">
        <f t="shared" si="15"/>
        <v>3.5</v>
      </c>
      <c r="D77" s="198">
        <f t="shared" si="14"/>
        <v>5072.7353371834297</v>
      </c>
      <c r="E77" s="198">
        <f t="shared" si="17"/>
        <v>2857.3984950781669</v>
      </c>
      <c r="F77" s="198">
        <f>'Q4'!AD7</f>
        <v>3822.2140184584669</v>
      </c>
      <c r="G77" s="198">
        <f t="shared" si="16"/>
        <v>0.74757679221494278</v>
      </c>
    </row>
    <row r="78" spans="1:24" x14ac:dyDescent="0.3">
      <c r="B78" s="164">
        <v>0.67500000000000004</v>
      </c>
      <c r="C78" s="198">
        <f t="shared" si="15"/>
        <v>4.7250000000000005</v>
      </c>
      <c r="D78" s="198">
        <f t="shared" si="14"/>
        <v>6848.1927051976309</v>
      </c>
      <c r="E78" s="198">
        <f t="shared" si="17"/>
        <v>4632.8558630923681</v>
      </c>
      <c r="F78" s="198">
        <f>'Q4'!AD8</f>
        <v>4557.990217011723</v>
      </c>
      <c r="G78" s="198">
        <f t="shared" si="16"/>
        <v>1.0164251440911884</v>
      </c>
    </row>
    <row r="79" spans="1:24" x14ac:dyDescent="0.3">
      <c r="B79" s="164">
        <v>0.75</v>
      </c>
      <c r="C79" s="168">
        <f t="shared" si="15"/>
        <v>5.25</v>
      </c>
      <c r="D79" s="198">
        <f t="shared" si="14"/>
        <v>7609.1030057751441</v>
      </c>
      <c r="E79" s="198">
        <f t="shared" si="17"/>
        <v>5393.7661636698813</v>
      </c>
      <c r="F79" s="198">
        <f>'Q4'!AD9</f>
        <v>4777.7675230730847</v>
      </c>
      <c r="G79" s="198">
        <f t="shared" si="16"/>
        <v>1.1289302247591535</v>
      </c>
    </row>
    <row r="80" spans="1:24" x14ac:dyDescent="0.3">
      <c r="B80" s="172">
        <v>0.9</v>
      </c>
      <c r="C80" s="168">
        <f t="shared" si="15"/>
        <v>6.3</v>
      </c>
      <c r="D80" s="198">
        <f t="shared" si="14"/>
        <v>9130.9236069301733</v>
      </c>
      <c r="E80" s="198">
        <f>D80-$E$45</f>
        <v>6915.5867648249105</v>
      </c>
      <c r="F80" s="198">
        <f>'Q4'!AD10</f>
        <v>5045.3225043651764</v>
      </c>
      <c r="G80" s="198">
        <f t="shared" si="16"/>
        <v>1.3706927077191984</v>
      </c>
    </row>
    <row r="81" spans="2:7" x14ac:dyDescent="0.3">
      <c r="D81" s="229" t="s">
        <v>78</v>
      </c>
      <c r="E81" s="229"/>
      <c r="F81" s="229"/>
      <c r="G81" s="229"/>
    </row>
    <row r="82" spans="2:7" x14ac:dyDescent="0.3">
      <c r="B82" s="223" t="s">
        <v>105</v>
      </c>
      <c r="C82" s="223" t="s">
        <v>298</v>
      </c>
      <c r="D82" s="223" t="s">
        <v>300</v>
      </c>
      <c r="E82" s="223" t="s">
        <v>265</v>
      </c>
      <c r="F82" s="223" t="s">
        <v>252</v>
      </c>
      <c r="G82" s="223" t="s">
        <v>301</v>
      </c>
    </row>
    <row r="83" spans="2:7" x14ac:dyDescent="0.3">
      <c r="B83" s="168">
        <v>0.1</v>
      </c>
      <c r="C83" s="168">
        <f>$H$11*B83</f>
        <v>0.70000000000000007</v>
      </c>
      <c r="D83" s="198">
        <f t="shared" ref="D83:D90" si="18">$D$45*C63/7</f>
        <v>358.13264390118218</v>
      </c>
      <c r="E83" s="198">
        <f>D83-$E$45</f>
        <v>-1857.2041982040805</v>
      </c>
      <c r="F83" s="198">
        <f>'Q4'!AF3</f>
        <v>-3.0255924170633079</v>
      </c>
      <c r="G83" s="198">
        <f>E83/F83</f>
        <v>613.83158806522749</v>
      </c>
    </row>
    <row r="84" spans="2:7" x14ac:dyDescent="0.3">
      <c r="B84" s="164">
        <v>0.25</v>
      </c>
      <c r="C84" s="168">
        <f t="shared" ref="C84:C90" si="19">$H$11*B84</f>
        <v>1.75</v>
      </c>
      <c r="D84" s="198">
        <f t="shared" si="18"/>
        <v>895.33160975295527</v>
      </c>
      <c r="E84" s="198">
        <f>D84-$E$45</f>
        <v>-1320.0052323523075</v>
      </c>
      <c r="F84" s="198">
        <f>'Q4'!AF4</f>
        <v>-6.966824644549888</v>
      </c>
      <c r="G84" s="198">
        <f t="shared" ref="G84:G90" si="20">E84/F84</f>
        <v>189.47013879342305</v>
      </c>
    </row>
    <row r="85" spans="2:7" x14ac:dyDescent="0.3">
      <c r="B85" s="164">
        <v>0.375</v>
      </c>
      <c r="C85" s="198">
        <f t="shared" si="19"/>
        <v>2.625</v>
      </c>
      <c r="D85" s="198">
        <f t="shared" si="18"/>
        <v>1342.997414629433</v>
      </c>
      <c r="E85" s="198">
        <f t="shared" ref="E85:E89" si="21">D85-$E$45</f>
        <v>-872.33942747582978</v>
      </c>
      <c r="F85" s="198">
        <f>'Q4'!AF5</f>
        <v>-9.7037914691945844</v>
      </c>
      <c r="G85" s="198">
        <f t="shared" si="20"/>
        <v>89.896761512769203</v>
      </c>
    </row>
    <row r="86" spans="2:7" x14ac:dyDescent="0.3">
      <c r="B86" s="167">
        <f>3/7</f>
        <v>0.42857142857142855</v>
      </c>
      <c r="C86" s="168">
        <f t="shared" si="19"/>
        <v>3</v>
      </c>
      <c r="D86" s="198">
        <f t="shared" si="18"/>
        <v>1534.8541881479234</v>
      </c>
      <c r="E86" s="198">
        <f t="shared" si="21"/>
        <v>-680.48265395733938</v>
      </c>
      <c r="F86" s="198">
        <f>'Q4'!AF6</f>
        <v>-10.724441435343579</v>
      </c>
      <c r="G86" s="198">
        <f t="shared" si="20"/>
        <v>63.451570700431425</v>
      </c>
    </row>
    <row r="87" spans="2:7" x14ac:dyDescent="0.3">
      <c r="B87" s="164">
        <v>0.5</v>
      </c>
      <c r="C87" s="168">
        <f t="shared" si="19"/>
        <v>3.5</v>
      </c>
      <c r="D87" s="198">
        <f t="shared" si="18"/>
        <v>1790.6632195059105</v>
      </c>
      <c r="E87" s="198">
        <f t="shared" si="21"/>
        <v>-424.67362259935226</v>
      </c>
      <c r="F87" s="198">
        <f>'Q4'!AF7</f>
        <v>-11.943127962085782</v>
      </c>
      <c r="G87" s="198">
        <f t="shared" si="20"/>
        <v>35.557989828753875</v>
      </c>
    </row>
    <row r="88" spans="2:7" x14ac:dyDescent="0.3">
      <c r="B88" s="164">
        <v>0.67500000000000004</v>
      </c>
      <c r="C88" s="198">
        <f t="shared" si="19"/>
        <v>4.7250000000000005</v>
      </c>
      <c r="D88" s="198">
        <f t="shared" si="18"/>
        <v>2417.3953463329794</v>
      </c>
      <c r="E88" s="198">
        <f t="shared" si="21"/>
        <v>202.05850422771664</v>
      </c>
      <c r="F88" s="198">
        <f>'Q4'!AF8</f>
        <v>-14.242180094787727</v>
      </c>
      <c r="G88" s="198">
        <f t="shared" si="20"/>
        <v>-14.187329670242329</v>
      </c>
    </row>
    <row r="89" spans="2:7" x14ac:dyDescent="0.3">
      <c r="B89" s="164">
        <v>0.75</v>
      </c>
      <c r="C89" s="168">
        <f t="shared" si="19"/>
        <v>5.25</v>
      </c>
      <c r="D89" s="198">
        <f t="shared" si="18"/>
        <v>2685.994829258866</v>
      </c>
      <c r="E89" s="198">
        <f t="shared" si="21"/>
        <v>470.65798715360324</v>
      </c>
      <c r="F89" s="198">
        <f>'Q4'!AF9</f>
        <v>-14.928909952607682</v>
      </c>
      <c r="G89" s="198">
        <f t="shared" si="20"/>
        <v>-31.526614377588356</v>
      </c>
    </row>
    <row r="90" spans="2:7" x14ac:dyDescent="0.3">
      <c r="B90" s="172">
        <v>0.9</v>
      </c>
      <c r="C90" s="168">
        <f t="shared" si="19"/>
        <v>6.3</v>
      </c>
      <c r="D90" s="198">
        <f t="shared" si="18"/>
        <v>3223.1937951106388</v>
      </c>
      <c r="E90" s="198">
        <f>D90-$E$45</f>
        <v>1007.856953005376</v>
      </c>
      <c r="F90" s="198">
        <f>'Q4'!AF10</f>
        <v>-15.764928909953596</v>
      </c>
      <c r="G90" s="198">
        <f t="shared" si="20"/>
        <v>-63.93032019123406</v>
      </c>
    </row>
  </sheetData>
  <mergeCells count="14">
    <mergeCell ref="U23:X23"/>
    <mergeCell ref="I74:N74"/>
    <mergeCell ref="O74:T74"/>
    <mergeCell ref="U74:X74"/>
    <mergeCell ref="C51:I51"/>
    <mergeCell ref="J51:O51"/>
    <mergeCell ref="P51:U51"/>
    <mergeCell ref="V51:Y51"/>
    <mergeCell ref="D71:G71"/>
    <mergeCell ref="D81:G81"/>
    <mergeCell ref="D61:G61"/>
    <mergeCell ref="B23:H23"/>
    <mergeCell ref="I23:N23"/>
    <mergeCell ref="O23:T23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8448-B47E-433E-95FE-E646748FCC7A}">
  <dimension ref="A2:AE72"/>
  <sheetViews>
    <sheetView topLeftCell="A44" zoomScale="70" zoomScaleNormal="70" workbookViewId="0">
      <selection activeCell="L48" sqref="L48"/>
    </sheetView>
  </sheetViews>
  <sheetFormatPr defaultRowHeight="14.4" x14ac:dyDescent="0.3"/>
  <cols>
    <col min="1" max="1" width="25" bestFit="1" customWidth="1"/>
    <col min="4" max="4" width="10.33203125" customWidth="1"/>
    <col min="6" max="6" width="28" customWidth="1"/>
    <col min="7" max="7" width="15.6640625" bestFit="1" customWidth="1"/>
    <col min="8" max="8" width="12.88671875" bestFit="1" customWidth="1"/>
    <col min="9" max="9" width="13" customWidth="1"/>
    <col min="10" max="10" width="14.21875" bestFit="1" customWidth="1"/>
    <col min="13" max="13" width="14.21875" bestFit="1" customWidth="1"/>
    <col min="14" max="14" width="17" customWidth="1"/>
    <col min="16" max="16" width="14.5546875" customWidth="1"/>
    <col min="17" max="17" width="12.88671875" bestFit="1" customWidth="1"/>
    <col min="25" max="25" width="15.44140625" customWidth="1"/>
  </cols>
  <sheetData>
    <row r="2" spans="1:17" x14ac:dyDescent="0.3">
      <c r="A2" t="s">
        <v>225</v>
      </c>
    </row>
    <row r="3" spans="1:17" x14ac:dyDescent="0.3">
      <c r="A3" s="18" t="s">
        <v>130</v>
      </c>
      <c r="G3" t="s">
        <v>127</v>
      </c>
      <c r="I3" t="s">
        <v>158</v>
      </c>
      <c r="N3" t="s">
        <v>232</v>
      </c>
      <c r="O3">
        <v>0.35</v>
      </c>
    </row>
    <row r="4" spans="1:17" x14ac:dyDescent="0.3">
      <c r="A4" t="s">
        <v>153</v>
      </c>
      <c r="B4">
        <v>145</v>
      </c>
      <c r="C4" s="29" t="s">
        <v>140</v>
      </c>
      <c r="D4" t="s">
        <v>168</v>
      </c>
      <c r="E4" s="29"/>
      <c r="F4" t="s">
        <v>137</v>
      </c>
      <c r="G4">
        <f>7/0.91</f>
        <v>7.6923076923076916</v>
      </c>
      <c r="H4" t="s">
        <v>139</v>
      </c>
      <c r="I4">
        <v>7</v>
      </c>
      <c r="J4" t="s">
        <v>139</v>
      </c>
      <c r="K4" t="s">
        <v>146</v>
      </c>
      <c r="L4">
        <v>0.1</v>
      </c>
      <c r="N4" t="s">
        <v>233</v>
      </c>
      <c r="O4">
        <v>0.65</v>
      </c>
    </row>
    <row r="5" spans="1:17" x14ac:dyDescent="0.3">
      <c r="A5" t="s">
        <v>131</v>
      </c>
      <c r="B5">
        <v>1500</v>
      </c>
      <c r="C5" s="29" t="s">
        <v>140</v>
      </c>
      <c r="D5" t="s">
        <v>168</v>
      </c>
      <c r="E5" s="29"/>
      <c r="F5" t="s">
        <v>138</v>
      </c>
      <c r="G5">
        <v>3</v>
      </c>
      <c r="H5" t="s">
        <v>139</v>
      </c>
      <c r="N5" t="s">
        <v>230</v>
      </c>
      <c r="O5">
        <v>-0.621</v>
      </c>
    </row>
    <row r="6" spans="1:17" x14ac:dyDescent="0.3">
      <c r="A6" t="s">
        <v>109</v>
      </c>
      <c r="B6">
        <v>450</v>
      </c>
      <c r="C6" t="s">
        <v>140</v>
      </c>
      <c r="D6" t="s">
        <v>170</v>
      </c>
      <c r="E6" s="29"/>
      <c r="K6" t="s">
        <v>150</v>
      </c>
      <c r="L6">
        <v>20</v>
      </c>
      <c r="M6" t="s">
        <v>151</v>
      </c>
    </row>
    <row r="7" spans="1:17" x14ac:dyDescent="0.3">
      <c r="A7" t="s">
        <v>132</v>
      </c>
      <c r="B7">
        <v>11500</v>
      </c>
      <c r="C7" t="s">
        <v>140</v>
      </c>
      <c r="D7" t="s">
        <v>169</v>
      </c>
      <c r="E7" s="29"/>
    </row>
    <row r="8" spans="1:17" x14ac:dyDescent="0.3">
      <c r="A8" t="s">
        <v>136</v>
      </c>
      <c r="B8">
        <v>5000</v>
      </c>
      <c r="C8" t="s">
        <v>141</v>
      </c>
      <c r="G8" s="18" t="s">
        <v>155</v>
      </c>
    </row>
    <row r="9" spans="1:17" x14ac:dyDescent="0.3">
      <c r="A9" t="s">
        <v>133</v>
      </c>
      <c r="B9">
        <v>1300</v>
      </c>
      <c r="C9" s="31" t="s">
        <v>142</v>
      </c>
      <c r="G9" s="187" t="s">
        <v>131</v>
      </c>
      <c r="H9" s="33"/>
      <c r="J9" s="187" t="s">
        <v>131</v>
      </c>
      <c r="K9" s="33"/>
    </row>
    <row r="10" spans="1:17" x14ac:dyDescent="0.3">
      <c r="G10" s="34" t="s">
        <v>261</v>
      </c>
      <c r="H10" s="35">
        <f>B5</f>
        <v>1500</v>
      </c>
      <c r="I10" s="29"/>
      <c r="J10" s="34" t="s">
        <v>261</v>
      </c>
      <c r="K10" s="35">
        <f>B4*7</f>
        <v>1015</v>
      </c>
      <c r="L10" s="29"/>
    </row>
    <row r="11" spans="1:17" x14ac:dyDescent="0.3">
      <c r="B11" t="s">
        <v>76</v>
      </c>
      <c r="C11" t="s">
        <v>77</v>
      </c>
      <c r="D11" t="s">
        <v>78</v>
      </c>
      <c r="E11" t="s">
        <v>88</v>
      </c>
      <c r="G11" s="34" t="s">
        <v>262</v>
      </c>
      <c r="H11" s="180">
        <f>(H13/H12)^H14*B30*H12</f>
        <v>1369505.1483756227</v>
      </c>
      <c r="I11" s="29"/>
      <c r="J11" s="34" t="s">
        <v>262</v>
      </c>
      <c r="K11" s="35">
        <f>(K13/K12)^K14*B30*K12</f>
        <v>1170.9054179745801</v>
      </c>
      <c r="L11" s="29"/>
    </row>
    <row r="12" spans="1:17" x14ac:dyDescent="0.3">
      <c r="A12" t="s">
        <v>134</v>
      </c>
      <c r="B12">
        <v>10</v>
      </c>
      <c r="C12">
        <v>10</v>
      </c>
      <c r="D12">
        <v>20</v>
      </c>
      <c r="E12">
        <v>20</v>
      </c>
      <c r="F12" t="s">
        <v>143</v>
      </c>
      <c r="G12" s="34" t="s">
        <v>263</v>
      </c>
      <c r="H12" s="35">
        <v>7</v>
      </c>
      <c r="J12" s="34" t="s">
        <v>263</v>
      </c>
      <c r="K12" s="35">
        <v>7</v>
      </c>
    </row>
    <row r="13" spans="1:17" x14ac:dyDescent="0.3">
      <c r="G13" s="34" t="s">
        <v>264</v>
      </c>
      <c r="H13" s="175">
        <f>H12/0.91*1000</f>
        <v>7692.3076923076915</v>
      </c>
      <c r="J13" s="34" t="s">
        <v>264</v>
      </c>
      <c r="K13" s="35">
        <v>3</v>
      </c>
    </row>
    <row r="14" spans="1:17" x14ac:dyDescent="0.3">
      <c r="B14" t="s">
        <v>144</v>
      </c>
      <c r="C14" t="s">
        <v>145</v>
      </c>
      <c r="G14" s="36" t="s">
        <v>156</v>
      </c>
      <c r="H14" s="37">
        <v>0.9</v>
      </c>
      <c r="J14" s="36" t="s">
        <v>156</v>
      </c>
      <c r="K14" s="37">
        <v>0.9</v>
      </c>
    </row>
    <row r="15" spans="1:17" x14ac:dyDescent="0.3">
      <c r="A15" t="s">
        <v>135</v>
      </c>
      <c r="B15">
        <v>60</v>
      </c>
      <c r="C15">
        <v>20</v>
      </c>
      <c r="D15" t="s">
        <v>143</v>
      </c>
    </row>
    <row r="16" spans="1:17" x14ac:dyDescent="0.3">
      <c r="G16" s="187" t="s">
        <v>109</v>
      </c>
      <c r="H16" s="33"/>
      <c r="J16" s="187" t="s">
        <v>109</v>
      </c>
      <c r="K16" s="33"/>
      <c r="M16" s="187" t="s">
        <v>132</v>
      </c>
      <c r="N16" s="33"/>
      <c r="P16" s="187" t="s">
        <v>153</v>
      </c>
      <c r="Q16" s="33"/>
    </row>
    <row r="17" spans="1:17" x14ac:dyDescent="0.3">
      <c r="B17" t="s">
        <v>131</v>
      </c>
      <c r="C17" t="s">
        <v>132</v>
      </c>
      <c r="D17" t="s">
        <v>148</v>
      </c>
      <c r="G17" s="34" t="s">
        <v>261</v>
      </c>
      <c r="H17" s="35">
        <f>B5</f>
        <v>1500</v>
      </c>
      <c r="I17" s="29"/>
      <c r="J17" s="34" t="s">
        <v>261</v>
      </c>
      <c r="K17" s="35">
        <f>B5</f>
        <v>1500</v>
      </c>
      <c r="L17" s="29"/>
      <c r="M17" s="34" t="s">
        <v>261</v>
      </c>
      <c r="N17" s="35">
        <f>B6</f>
        <v>450</v>
      </c>
      <c r="O17" s="29"/>
      <c r="P17" s="34" t="s">
        <v>261</v>
      </c>
      <c r="Q17" s="35">
        <f>B4*7</f>
        <v>1015</v>
      </c>
    </row>
    <row r="18" spans="1:17" x14ac:dyDescent="0.3">
      <c r="A18" t="s">
        <v>147</v>
      </c>
      <c r="B18">
        <v>0.08</v>
      </c>
      <c r="C18">
        <v>0.01</v>
      </c>
      <c r="D18">
        <v>0.04</v>
      </c>
      <c r="E18" t="s">
        <v>149</v>
      </c>
      <c r="G18" s="34" t="s">
        <v>262</v>
      </c>
      <c r="H18" s="175">
        <f>(H20/H19)^H21*B31*17500</f>
        <v>2020603.6886866703</v>
      </c>
      <c r="I18" s="29"/>
      <c r="J18" s="34" t="s">
        <v>262</v>
      </c>
      <c r="K18" s="175">
        <f>(K20/K19)^K21*B31*K19</f>
        <v>5607.6331796480299</v>
      </c>
      <c r="L18" s="29"/>
      <c r="M18" s="34" t="s">
        <v>262</v>
      </c>
      <c r="N18" s="175">
        <f>(N20/N19)^N21*B32*N19</f>
        <v>3060.604888121055</v>
      </c>
      <c r="O18" s="29"/>
      <c r="P18" s="34" t="s">
        <v>262</v>
      </c>
      <c r="Q18" s="35">
        <f>((Q20/Q19)^Q21)*Q17</f>
        <v>1015</v>
      </c>
    </row>
    <row r="19" spans="1:17" x14ac:dyDescent="0.3">
      <c r="G19" s="34" t="s">
        <v>263</v>
      </c>
      <c r="H19" s="35">
        <v>17500</v>
      </c>
      <c r="J19" s="34" t="s">
        <v>263</v>
      </c>
      <c r="K19" s="35">
        <v>17500</v>
      </c>
      <c r="M19" s="34" t="s">
        <v>263</v>
      </c>
      <c r="N19" s="35">
        <v>3</v>
      </c>
      <c r="P19" s="34" t="s">
        <v>263</v>
      </c>
      <c r="Q19" s="35">
        <v>7</v>
      </c>
    </row>
    <row r="20" spans="1:17" x14ac:dyDescent="0.3">
      <c r="B20">
        <v>3000</v>
      </c>
      <c r="C20" t="s">
        <v>237</v>
      </c>
      <c r="G20" s="34" t="s">
        <v>264</v>
      </c>
      <c r="H20" s="175">
        <f>H13/0.4</f>
        <v>19230.769230769227</v>
      </c>
      <c r="J20" s="34" t="s">
        <v>264</v>
      </c>
      <c r="K20" s="35">
        <f>K13/0.4</f>
        <v>7.5</v>
      </c>
      <c r="M20" s="34" t="s">
        <v>264</v>
      </c>
      <c r="N20" s="175">
        <f>N19/3.75</f>
        <v>0.8</v>
      </c>
      <c r="P20" s="34" t="s">
        <v>264</v>
      </c>
      <c r="Q20" s="35">
        <v>7</v>
      </c>
    </row>
    <row r="21" spans="1:17" x14ac:dyDescent="0.3">
      <c r="G21" s="36" t="s">
        <v>156</v>
      </c>
      <c r="H21" s="37">
        <v>0.75</v>
      </c>
      <c r="J21" s="36" t="s">
        <v>156</v>
      </c>
      <c r="K21" s="37">
        <v>0.75</v>
      </c>
      <c r="M21" s="36" t="s">
        <v>156</v>
      </c>
      <c r="N21" s="37">
        <v>0.75</v>
      </c>
      <c r="P21" s="36" t="s">
        <v>156</v>
      </c>
      <c r="Q21" s="37">
        <v>0.9</v>
      </c>
    </row>
    <row r="22" spans="1:17" x14ac:dyDescent="0.3">
      <c r="G22" s="36"/>
      <c r="H22" s="37"/>
      <c r="J22" s="36"/>
      <c r="K22" s="37"/>
      <c r="M22" s="36"/>
      <c r="N22" s="37"/>
    </row>
    <row r="24" spans="1:17" x14ac:dyDescent="0.3">
      <c r="A24" t="s">
        <v>268</v>
      </c>
      <c r="B24">
        <v>0.35</v>
      </c>
      <c r="D24" t="s">
        <v>76</v>
      </c>
      <c r="E24" s="18" t="s">
        <v>227</v>
      </c>
      <c r="L24" t="s">
        <v>78</v>
      </c>
      <c r="M24" s="18" t="s">
        <v>240</v>
      </c>
    </row>
    <row r="25" spans="1:17" x14ac:dyDescent="0.3">
      <c r="A25" t="s">
        <v>233</v>
      </c>
      <c r="B25">
        <f>1-B24</f>
        <v>0.65</v>
      </c>
      <c r="E25" s="149" t="s">
        <v>226</v>
      </c>
      <c r="F25" s="43"/>
      <c r="G25" s="43"/>
      <c r="H25" s="43"/>
      <c r="I25" s="43"/>
      <c r="J25" s="33"/>
      <c r="M25" s="149" t="s">
        <v>132</v>
      </c>
      <c r="N25" s="43"/>
      <c r="O25" s="43"/>
      <c r="P25" s="43"/>
      <c r="Q25" s="33"/>
    </row>
    <row r="26" spans="1:17" x14ac:dyDescent="0.3">
      <c r="A26" s="176" t="s">
        <v>230</v>
      </c>
      <c r="B26" s="176">
        <f>LOG(B25,2)</f>
        <v>-0.62148837674627011</v>
      </c>
      <c r="E26" s="34" t="s">
        <v>228</v>
      </c>
      <c r="F26" s="38">
        <f>K10</f>
        <v>1015</v>
      </c>
      <c r="G26" s="148" t="s">
        <v>154</v>
      </c>
      <c r="H26" s="38" t="s">
        <v>234</v>
      </c>
      <c r="I26" s="38">
        <f>B20/0.91</f>
        <v>3296.7032967032965</v>
      </c>
      <c r="J26" s="35" t="s">
        <v>238</v>
      </c>
      <c r="M26" s="34" t="s">
        <v>228</v>
      </c>
      <c r="N26" s="38">
        <f>N18</f>
        <v>3060.604888121055</v>
      </c>
      <c r="O26" s="38"/>
      <c r="P26" s="38" t="s">
        <v>234</v>
      </c>
      <c r="Q26" s="35">
        <f>B20/0.91</f>
        <v>3296.7032967032965</v>
      </c>
    </row>
    <row r="27" spans="1:17" x14ac:dyDescent="0.3">
      <c r="A27" t="s">
        <v>272</v>
      </c>
      <c r="B27">
        <v>10</v>
      </c>
      <c r="E27" s="34" t="s">
        <v>229</v>
      </c>
      <c r="F27" s="38">
        <f>(F26*F29^F28)/1000</f>
        <v>0.24292154927514684</v>
      </c>
      <c r="G27" s="148" t="s">
        <v>154</v>
      </c>
      <c r="H27" s="38" t="s">
        <v>235</v>
      </c>
      <c r="I27" s="38">
        <f>I26/7</f>
        <v>470.95761381475666</v>
      </c>
      <c r="J27" s="35"/>
      <c r="M27" s="34" t="s">
        <v>229</v>
      </c>
      <c r="N27" s="38">
        <f>N26*N29^N28</f>
        <v>732.49939028714687</v>
      </c>
      <c r="O27" s="38"/>
      <c r="P27" s="38" t="s">
        <v>235</v>
      </c>
      <c r="Q27" s="35">
        <f>Q26/17.5</f>
        <v>188.38304552590265</v>
      </c>
    </row>
    <row r="28" spans="1:17" x14ac:dyDescent="0.3">
      <c r="E28" s="34" t="s">
        <v>230</v>
      </c>
      <c r="F28" s="38">
        <f>$O$5</f>
        <v>-0.621</v>
      </c>
      <c r="G28" s="38"/>
      <c r="H28" s="38" t="s">
        <v>236</v>
      </c>
      <c r="I28" s="38">
        <f>(F27*I27)/1000</f>
        <v>0.11440575319080698</v>
      </c>
      <c r="J28" s="35" t="s">
        <v>239</v>
      </c>
      <c r="M28" s="34" t="s">
        <v>230</v>
      </c>
      <c r="N28" s="38">
        <f>$O$5</f>
        <v>-0.621</v>
      </c>
      <c r="O28" s="38"/>
      <c r="P28" s="38" t="s">
        <v>236</v>
      </c>
      <c r="Q28" s="35">
        <f>(N27*Q27)/1000</f>
        <v>137.99046598815954</v>
      </c>
    </row>
    <row r="29" spans="1:17" x14ac:dyDescent="0.3">
      <c r="A29" s="149" t="s">
        <v>269</v>
      </c>
      <c r="B29" s="33"/>
      <c r="E29" s="36" t="s">
        <v>231</v>
      </c>
      <c r="F29" s="39">
        <v>10</v>
      </c>
      <c r="G29" s="39"/>
      <c r="H29" s="39"/>
      <c r="I29" s="39"/>
      <c r="J29" s="37"/>
      <c r="M29" s="36" t="s">
        <v>231</v>
      </c>
      <c r="N29" s="39">
        <v>10</v>
      </c>
      <c r="O29" s="39"/>
      <c r="P29" s="39"/>
      <c r="Q29" s="37"/>
    </row>
    <row r="30" spans="1:17" x14ac:dyDescent="0.3">
      <c r="A30" s="34" t="s">
        <v>270</v>
      </c>
      <c r="B30" s="35">
        <f>B5*B27^(B26)</f>
        <v>358.59388741180771</v>
      </c>
    </row>
    <row r="31" spans="1:17" x14ac:dyDescent="0.3">
      <c r="A31" s="36" t="s">
        <v>271</v>
      </c>
      <c r="B31" s="37">
        <f>B6*B27^(B26)</f>
        <v>107.57816622354233</v>
      </c>
      <c r="E31" s="149" t="s">
        <v>109</v>
      </c>
      <c r="F31" s="43"/>
      <c r="G31" s="43"/>
      <c r="H31" s="43"/>
      <c r="I31" s="43"/>
      <c r="J31" s="33"/>
    </row>
    <row r="32" spans="1:17" x14ac:dyDescent="0.3">
      <c r="A32" s="93" t="s">
        <v>273</v>
      </c>
      <c r="B32">
        <f>B7*B27^(B26)</f>
        <v>2749.2198034905259</v>
      </c>
      <c r="E32" s="34" t="s">
        <v>228</v>
      </c>
      <c r="F32" s="38">
        <v>7875</v>
      </c>
      <c r="G32" s="38"/>
      <c r="H32" s="38" t="s">
        <v>234</v>
      </c>
      <c r="I32" s="38">
        <f>B20/0.91</f>
        <v>3296.7032967032965</v>
      </c>
      <c r="J32" s="35" t="s">
        <v>238</v>
      </c>
    </row>
    <row r="33" spans="1:31" x14ac:dyDescent="0.3">
      <c r="E33" s="34" t="s">
        <v>229</v>
      </c>
      <c r="F33" s="38">
        <f>F32*F35^F34</f>
        <v>1884.7361581692426</v>
      </c>
      <c r="G33" s="38"/>
      <c r="H33" s="38" t="s">
        <v>235</v>
      </c>
      <c r="I33" s="38">
        <f>I32/17.5</f>
        <v>188.38304552590265</v>
      </c>
      <c r="J33" s="35"/>
    </row>
    <row r="34" spans="1:31" x14ac:dyDescent="0.3">
      <c r="E34" s="34" t="s">
        <v>230</v>
      </c>
      <c r="F34" s="38">
        <f>$O$5</f>
        <v>-0.621</v>
      </c>
      <c r="G34" s="38"/>
      <c r="H34" s="38" t="s">
        <v>236</v>
      </c>
      <c r="I34" s="38">
        <f>(F33*I33)/1000</f>
        <v>355.05233748871126</v>
      </c>
      <c r="J34" s="35" t="s">
        <v>239</v>
      </c>
    </row>
    <row r="35" spans="1:31" x14ac:dyDescent="0.3">
      <c r="A35" s="176" t="s">
        <v>258</v>
      </c>
      <c r="B35" s="176">
        <f>0.1/(1-(1.1)^(-20))</f>
        <v>0.11745962477254576</v>
      </c>
      <c r="E35" s="36" t="s">
        <v>231</v>
      </c>
      <c r="F35" s="39">
        <v>10</v>
      </c>
      <c r="G35" s="39"/>
      <c r="H35" s="39"/>
      <c r="I35" s="39">
        <v>1070</v>
      </c>
      <c r="J35" s="37"/>
    </row>
    <row r="38" spans="1:31" x14ac:dyDescent="0.3">
      <c r="A38" t="s">
        <v>241</v>
      </c>
      <c r="D38" s="18" t="s">
        <v>246</v>
      </c>
      <c r="G38" t="s">
        <v>152</v>
      </c>
    </row>
    <row r="39" spans="1:31" x14ac:dyDescent="0.3">
      <c r="A39" s="32" t="s">
        <v>76</v>
      </c>
      <c r="B39" s="43" t="s">
        <v>242</v>
      </c>
      <c r="C39" s="43">
        <f>K11</f>
        <v>1170.9054179745801</v>
      </c>
      <c r="D39" s="89">
        <f>SUM(C39:C41)</f>
        <v>20670.90541797458</v>
      </c>
    </row>
    <row r="40" spans="1:31" x14ac:dyDescent="0.3">
      <c r="A40" s="34"/>
      <c r="B40" s="38" t="s">
        <v>243</v>
      </c>
      <c r="C40" s="38">
        <f>H19</f>
        <v>17500</v>
      </c>
      <c r="D40" s="87"/>
      <c r="F40" t="s">
        <v>167</v>
      </c>
      <c r="G40" s="229" t="s">
        <v>76</v>
      </c>
      <c r="H40" s="229"/>
      <c r="I40" s="229"/>
      <c r="J40" s="229"/>
      <c r="K40" s="229"/>
      <c r="L40" s="229"/>
      <c r="M40" s="229"/>
      <c r="N40" s="229" t="s">
        <v>77</v>
      </c>
      <c r="O40" s="229"/>
      <c r="P40" s="229"/>
      <c r="Q40" s="229"/>
      <c r="R40" s="229"/>
      <c r="S40" s="229"/>
      <c r="T40" s="229" t="s">
        <v>78</v>
      </c>
      <c r="U40" s="229"/>
      <c r="V40" s="229"/>
      <c r="W40" s="229"/>
      <c r="X40" s="229"/>
      <c r="Y40" s="229"/>
      <c r="Z40" s="236"/>
      <c r="AA40" s="236"/>
      <c r="AB40" s="236"/>
      <c r="AC40" s="236"/>
    </row>
    <row r="41" spans="1:31" x14ac:dyDescent="0.3">
      <c r="A41" s="36"/>
      <c r="B41" s="39" t="s">
        <v>244</v>
      </c>
      <c r="C41" s="39">
        <f>2000</f>
        <v>2000</v>
      </c>
      <c r="D41" s="88"/>
      <c r="F41" s="40"/>
      <c r="G41" s="60" t="s">
        <v>131</v>
      </c>
      <c r="H41" s="60" t="s">
        <v>109</v>
      </c>
      <c r="I41" s="60" t="s">
        <v>159</v>
      </c>
      <c r="J41" s="60" t="s">
        <v>160</v>
      </c>
      <c r="K41" s="60" t="s">
        <v>173</v>
      </c>
      <c r="L41" s="60" t="s">
        <v>161</v>
      </c>
      <c r="M41" s="60" t="s">
        <v>162</v>
      </c>
      <c r="N41" s="60" t="s">
        <v>131</v>
      </c>
      <c r="O41" s="60" t="s">
        <v>109</v>
      </c>
      <c r="P41" s="193" t="s">
        <v>160</v>
      </c>
      <c r="Q41" s="60" t="s">
        <v>173</v>
      </c>
      <c r="R41" s="60" t="s">
        <v>161</v>
      </c>
      <c r="S41" s="60" t="s">
        <v>162</v>
      </c>
      <c r="T41" s="60" t="s">
        <v>132</v>
      </c>
      <c r="U41" s="60" t="s">
        <v>163</v>
      </c>
      <c r="V41" s="60" t="s">
        <v>164</v>
      </c>
      <c r="W41" s="60" t="s">
        <v>165</v>
      </c>
      <c r="X41" s="60" t="s">
        <v>161</v>
      </c>
      <c r="Y41" s="60" t="s">
        <v>162</v>
      </c>
      <c r="Z41" s="85"/>
      <c r="AA41" s="85"/>
      <c r="AB41" s="85"/>
      <c r="AC41" s="85"/>
    </row>
    <row r="42" spans="1:31" x14ac:dyDescent="0.3">
      <c r="A42" s="32" t="s">
        <v>77</v>
      </c>
      <c r="B42" s="150" t="s">
        <v>242</v>
      </c>
      <c r="C42" s="43">
        <f>N11</f>
        <v>0</v>
      </c>
      <c r="D42" s="88">
        <f>C42+C43</f>
        <v>17500</v>
      </c>
      <c r="F42" s="40" t="s">
        <v>12</v>
      </c>
      <c r="G42" s="152">
        <f>H11/1000</f>
        <v>1369.5051483756226</v>
      </c>
      <c r="H42" s="152">
        <f>H18/1000</f>
        <v>2020.6036886866702</v>
      </c>
      <c r="I42" s="152">
        <f>1300+100*3</f>
        <v>1600</v>
      </c>
      <c r="J42" s="152">
        <f>G42*B18</f>
        <v>109.56041187004982</v>
      </c>
      <c r="K42" s="152">
        <f>(H42+I42)*D18</f>
        <v>144.82414754746682</v>
      </c>
      <c r="L42" s="152">
        <f>(G47+G48)*B12</f>
        <v>1381.3564523553782</v>
      </c>
      <c r="M42" s="152">
        <f>G49*C15</f>
        <v>-640.58309037900881</v>
      </c>
      <c r="N42" s="152">
        <f>K11</f>
        <v>1170.9054179745801</v>
      </c>
      <c r="O42" s="157">
        <f>K18</f>
        <v>5607.6331796480299</v>
      </c>
      <c r="P42" s="152">
        <f>N42*B18</f>
        <v>93.672433437966419</v>
      </c>
      <c r="Q42" s="152">
        <f>O42*D18</f>
        <v>224.30532718592121</v>
      </c>
      <c r="R42" s="152">
        <f>(O47+O48)*C12</f>
        <v>1429.4614086236002</v>
      </c>
      <c r="S42" s="152">
        <f>O49*C15</f>
        <v>-392.93877551020415</v>
      </c>
      <c r="T42" s="157">
        <f>N18</f>
        <v>3060.604888121055</v>
      </c>
      <c r="U42" s="152">
        <v>5000</v>
      </c>
      <c r="V42" s="152">
        <f>(T42+U42)*C18</f>
        <v>80.606048881210555</v>
      </c>
      <c r="W42" s="152">
        <f>Q17*D18</f>
        <v>40.6</v>
      </c>
      <c r="X42" s="152">
        <f>U47*D12</f>
        <v>456.71321160042964</v>
      </c>
      <c r="Y42" s="152">
        <f>U48*B15</f>
        <v>1564.8979591836737</v>
      </c>
      <c r="Z42" s="38"/>
      <c r="AA42" s="38"/>
      <c r="AB42" s="38"/>
      <c r="AC42" s="38"/>
      <c r="AD42" s="38"/>
      <c r="AE42" s="38"/>
    </row>
    <row r="43" spans="1:31" x14ac:dyDescent="0.3">
      <c r="A43" s="36"/>
      <c r="B43" s="151" t="s">
        <v>243</v>
      </c>
      <c r="C43" s="39">
        <f>K19</f>
        <v>17500</v>
      </c>
      <c r="D43" s="87"/>
      <c r="F43" s="105" t="s">
        <v>259</v>
      </c>
      <c r="G43" s="152">
        <f>G42*B35</f>
        <v>160.86156085227023</v>
      </c>
      <c r="H43" s="183">
        <f>H42*B35</f>
        <v>237.33935108715815</v>
      </c>
      <c r="I43" s="152">
        <f>I42*B35</f>
        <v>187.93539963607321</v>
      </c>
      <c r="J43" s="152">
        <f>J42</f>
        <v>109.56041187004982</v>
      </c>
      <c r="K43" s="152">
        <f t="shared" ref="K43:M43" si="0">K42</f>
        <v>144.82414754746682</v>
      </c>
      <c r="L43" s="152">
        <f t="shared" si="0"/>
        <v>1381.3564523553782</v>
      </c>
      <c r="M43" s="152">
        <f t="shared" si="0"/>
        <v>-640.58309037900881</v>
      </c>
      <c r="N43" s="152">
        <f>N42*B35</f>
        <v>137.53411103943503</v>
      </c>
      <c r="O43" s="182">
        <f>O42*B35</f>
        <v>658.67048914353529</v>
      </c>
      <c r="P43" s="152">
        <f>P42</f>
        <v>93.672433437966419</v>
      </c>
      <c r="Q43" s="152">
        <f t="shared" ref="Q43:S43" si="1">Q42</f>
        <v>224.30532718592121</v>
      </c>
      <c r="R43" s="152">
        <f t="shared" si="1"/>
        <v>1429.4614086236002</v>
      </c>
      <c r="S43" s="152">
        <f t="shared" si="1"/>
        <v>-392.93877551020415</v>
      </c>
      <c r="T43" s="183">
        <f>T42*B35</f>
        <v>359.49750173571852</v>
      </c>
      <c r="U43" s="152">
        <f>U42*B35</f>
        <v>587.29812386272886</v>
      </c>
      <c r="V43" s="183">
        <f>V42</f>
        <v>80.606048881210555</v>
      </c>
      <c r="W43" s="183">
        <f t="shared" ref="W43:Y43" si="2">W42</f>
        <v>40.6</v>
      </c>
      <c r="X43" s="183">
        <f t="shared" si="2"/>
        <v>456.71321160042964</v>
      </c>
      <c r="Y43" s="183">
        <f t="shared" si="2"/>
        <v>1564.8979591836737</v>
      </c>
      <c r="Z43" s="38"/>
      <c r="AA43" s="38"/>
      <c r="AB43" s="38"/>
      <c r="AC43" s="38"/>
      <c r="AD43" s="38"/>
      <c r="AE43" s="38"/>
    </row>
    <row r="44" spans="1:31" x14ac:dyDescent="0.3">
      <c r="A44" s="40" t="s">
        <v>78</v>
      </c>
      <c r="B44" s="50" t="s">
        <v>245</v>
      </c>
      <c r="C44" s="41">
        <f>N19</f>
        <v>3</v>
      </c>
      <c r="D44" s="152">
        <f>C44</f>
        <v>3</v>
      </c>
      <c r="G44" s="38"/>
      <c r="H44" s="38"/>
      <c r="I44" s="38"/>
      <c r="J44" s="38"/>
      <c r="K44" s="44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44"/>
      <c r="W44" s="38"/>
      <c r="X44" s="38"/>
      <c r="Y44" s="38"/>
      <c r="Z44" s="38"/>
      <c r="AA44" s="38"/>
      <c r="AB44" s="38"/>
      <c r="AC44" s="38"/>
      <c r="AD44" s="38"/>
      <c r="AE44" s="38"/>
    </row>
    <row r="45" spans="1:31" x14ac:dyDescent="0.3">
      <c r="A45" s="40" t="s">
        <v>88</v>
      </c>
      <c r="B45" s="50" t="s">
        <v>115</v>
      </c>
      <c r="C45" s="41">
        <f>H10</f>
        <v>1500</v>
      </c>
      <c r="D45" s="42">
        <f>C45</f>
        <v>1500</v>
      </c>
      <c r="F45" s="38"/>
      <c r="G45" s="38"/>
      <c r="H45" s="38"/>
      <c r="I45" s="38"/>
      <c r="J45" s="38"/>
      <c r="K45" s="44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44"/>
      <c r="W45" s="38"/>
      <c r="X45" s="38"/>
      <c r="Y45" s="38"/>
      <c r="Z45" s="38"/>
      <c r="AA45" s="38"/>
      <c r="AB45" s="38"/>
      <c r="AC45" s="38"/>
      <c r="AD45" s="38"/>
      <c r="AE45" s="38"/>
    </row>
    <row r="46" spans="1:31" x14ac:dyDescent="0.3">
      <c r="F46" s="38"/>
      <c r="G46" s="38"/>
      <c r="H46" s="38" t="s">
        <v>118</v>
      </c>
      <c r="I46" s="38"/>
      <c r="J46" s="38"/>
      <c r="K46" s="44"/>
      <c r="L46" s="38"/>
      <c r="M46" s="38"/>
      <c r="N46" s="38"/>
      <c r="O46" s="38"/>
      <c r="P46" s="38" t="s">
        <v>118</v>
      </c>
      <c r="Q46" s="38"/>
      <c r="R46" s="38"/>
      <c r="S46" s="38"/>
      <c r="T46" s="38"/>
      <c r="U46" s="38"/>
      <c r="V46" s="44" t="s">
        <v>118</v>
      </c>
      <c r="W46" s="38"/>
      <c r="X46" s="38"/>
      <c r="Y46" s="38"/>
      <c r="Z46" s="38"/>
      <c r="AA46" s="38"/>
      <c r="AB46" s="38"/>
      <c r="AC46" s="38"/>
      <c r="AD46" s="38"/>
      <c r="AE46" s="38"/>
    </row>
    <row r="47" spans="1:31" x14ac:dyDescent="0.3">
      <c r="F47" s="38" t="s">
        <v>274</v>
      </c>
      <c r="G47" s="196">
        <f>'Q4'!O6</f>
        <v>120.26239067055394</v>
      </c>
      <c r="H47" s="38">
        <f>G47*56</f>
        <v>6734.6938775510207</v>
      </c>
      <c r="I47" s="38"/>
      <c r="J47" s="38"/>
      <c r="K47" s="44"/>
      <c r="L47" s="38"/>
      <c r="M47" s="38"/>
      <c r="N47" s="38" t="s">
        <v>274</v>
      </c>
      <c r="O47" s="196">
        <f>'Q4'!R6</f>
        <v>125.07288629737612</v>
      </c>
      <c r="P47" s="38">
        <f>O47*56</f>
        <v>7004.0816326530621</v>
      </c>
      <c r="Q47" s="38"/>
      <c r="R47" s="38"/>
      <c r="S47" s="38"/>
      <c r="T47" s="38" t="s">
        <v>278</v>
      </c>
      <c r="U47" s="196">
        <f>'Q4'!U6</f>
        <v>22.835660580021482</v>
      </c>
      <c r="V47" s="44">
        <f>U47*56</f>
        <v>1278.796992481203</v>
      </c>
      <c r="W47" s="38"/>
      <c r="X47" s="38"/>
      <c r="Y47" s="38"/>
      <c r="Z47" s="38"/>
      <c r="AA47" s="38"/>
      <c r="AB47" s="38"/>
      <c r="AC47" s="38"/>
      <c r="AD47" s="38"/>
      <c r="AE47" s="38"/>
    </row>
    <row r="48" spans="1:31" x14ac:dyDescent="0.3">
      <c r="F48" s="93" t="s">
        <v>275</v>
      </c>
      <c r="G48" s="196">
        <f>'Q4'!P6</f>
        <v>17.873254564983885</v>
      </c>
      <c r="H48" s="38">
        <f>G48*56</f>
        <v>1000.9022556390976</v>
      </c>
      <c r="I48" s="38"/>
      <c r="J48" s="38"/>
      <c r="K48" s="44"/>
      <c r="L48" s="38"/>
      <c r="M48" s="38"/>
      <c r="N48" s="93" t="s">
        <v>275</v>
      </c>
      <c r="O48" s="196">
        <f>'Q4'!S6</f>
        <v>17.873254564983885</v>
      </c>
      <c r="P48" s="38">
        <f>O48*56</f>
        <v>1000.9022556390976</v>
      </c>
      <c r="Q48" s="38"/>
      <c r="R48" s="38"/>
      <c r="S48" s="38"/>
      <c r="T48" s="93" t="s">
        <v>279</v>
      </c>
      <c r="U48" s="196">
        <f>'Q4'!V6</f>
        <v>26.081632653061227</v>
      </c>
      <c r="V48" s="44">
        <f>U48*222.38</f>
        <v>5800.0334693877558</v>
      </c>
      <c r="W48" s="38"/>
      <c r="X48" s="38"/>
      <c r="Y48" s="38"/>
      <c r="Z48" s="38"/>
      <c r="AA48" s="38"/>
      <c r="AB48" s="38"/>
      <c r="AC48" s="38"/>
      <c r="AD48" s="38"/>
      <c r="AE48" s="38"/>
    </row>
    <row r="49" spans="6:31" x14ac:dyDescent="0.3">
      <c r="F49" s="93" t="s">
        <v>276</v>
      </c>
      <c r="G49" s="196">
        <f>'Q4'!Q6</f>
        <v>-32.029154518950442</v>
      </c>
      <c r="H49" s="38">
        <f>G49*222.38</f>
        <v>-7122.6433819241993</v>
      </c>
      <c r="I49" s="38"/>
      <c r="J49" s="38"/>
      <c r="K49" s="44"/>
      <c r="L49" s="38"/>
      <c r="M49" s="38"/>
      <c r="N49" s="93" t="s">
        <v>276</v>
      </c>
      <c r="O49" s="196">
        <f>'Q4'!T6</f>
        <v>-19.646938775510208</v>
      </c>
      <c r="P49" s="38">
        <f>O49*222.38</f>
        <v>-4369.0862448979597</v>
      </c>
      <c r="Q49" s="38"/>
      <c r="R49" s="38"/>
      <c r="S49" s="38"/>
      <c r="T49" s="93" t="s">
        <v>12</v>
      </c>
      <c r="U49" s="38"/>
      <c r="V49" s="44">
        <f>SUM(V47:V48)</f>
        <v>7078.830461868959</v>
      </c>
      <c r="W49" s="38"/>
      <c r="X49" s="38"/>
      <c r="Y49" s="38"/>
      <c r="Z49" s="38"/>
      <c r="AA49" s="38"/>
      <c r="AB49" s="38"/>
      <c r="AC49" s="38"/>
      <c r="AD49" s="38"/>
      <c r="AE49" s="38"/>
    </row>
    <row r="50" spans="6:31" x14ac:dyDescent="0.3">
      <c r="F50" s="93" t="s">
        <v>277</v>
      </c>
      <c r="G50" s="38"/>
      <c r="H50" s="38">
        <f>SUM(H47:H49)</f>
        <v>612.95275126591878</v>
      </c>
      <c r="I50" s="38"/>
      <c r="J50" s="38"/>
      <c r="K50" s="44"/>
      <c r="L50" s="38"/>
      <c r="M50" s="38"/>
      <c r="N50" s="93" t="s">
        <v>277</v>
      </c>
      <c r="O50" s="38"/>
      <c r="P50" s="38">
        <f>SUM(P47:P49)</f>
        <v>3635.8976433941998</v>
      </c>
      <c r="Q50" s="38"/>
      <c r="R50" s="38"/>
      <c r="S50" s="38"/>
      <c r="U50" s="38"/>
      <c r="V50" s="44"/>
      <c r="W50" s="38"/>
      <c r="X50" s="38"/>
      <c r="Y50" s="38"/>
      <c r="Z50" s="38"/>
      <c r="AA50" s="38"/>
      <c r="AB50" s="38"/>
      <c r="AC50" s="38"/>
      <c r="AD50" s="38"/>
      <c r="AE50" s="38"/>
    </row>
    <row r="51" spans="6:31" x14ac:dyDescent="0.3">
      <c r="G51" s="38"/>
      <c r="H51" s="38"/>
      <c r="I51" s="38"/>
      <c r="J51" s="38"/>
      <c r="K51" s="44"/>
      <c r="L51" s="38"/>
      <c r="M51" s="38"/>
      <c r="N51" s="38"/>
      <c r="O51" s="38"/>
      <c r="P51" s="38"/>
      <c r="Q51" s="38"/>
      <c r="R51" s="38"/>
      <c r="S51" s="38"/>
      <c r="U51" s="38"/>
      <c r="V51" s="44"/>
      <c r="W51" s="38"/>
      <c r="X51" s="38"/>
      <c r="Y51" s="38"/>
      <c r="Z51" s="38"/>
      <c r="AA51" s="38"/>
      <c r="AB51" s="38"/>
      <c r="AC51" s="38"/>
      <c r="AD51" s="38"/>
      <c r="AE51" s="38"/>
    </row>
    <row r="52" spans="6:31" x14ac:dyDescent="0.3">
      <c r="F52" s="164"/>
      <c r="G52" s="171" t="s">
        <v>76</v>
      </c>
      <c r="H52" s="171" t="s">
        <v>77</v>
      </c>
      <c r="I52" s="171" t="s">
        <v>78</v>
      </c>
      <c r="J52" s="38"/>
      <c r="K52" s="44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44"/>
      <c r="W52" s="38"/>
      <c r="X52" s="38"/>
      <c r="Y52" s="38"/>
      <c r="Z52" s="38"/>
      <c r="AA52" s="38"/>
      <c r="AB52" s="38"/>
      <c r="AC52" s="38"/>
      <c r="AD52" s="38"/>
      <c r="AE52" s="38"/>
    </row>
    <row r="53" spans="6:31" x14ac:dyDescent="0.3">
      <c r="F53" s="166" t="s">
        <v>131</v>
      </c>
      <c r="G53" s="163">
        <f>G43</f>
        <v>160.86156085227023</v>
      </c>
      <c r="H53" s="163">
        <f>N43</f>
        <v>137.53411103943503</v>
      </c>
      <c r="I53" s="197">
        <v>0</v>
      </c>
      <c r="J53" s="38"/>
      <c r="K53" s="44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44"/>
      <c r="W53" s="38"/>
      <c r="X53" s="38"/>
      <c r="Y53" s="38"/>
      <c r="Z53" s="38"/>
      <c r="AA53" s="38"/>
      <c r="AB53" s="38"/>
      <c r="AC53" s="38"/>
      <c r="AD53" s="38"/>
      <c r="AE53" s="38"/>
    </row>
    <row r="54" spans="6:31" x14ac:dyDescent="0.3">
      <c r="F54" s="166" t="s">
        <v>132</v>
      </c>
      <c r="G54" s="197">
        <v>0</v>
      </c>
      <c r="H54" s="197">
        <v>0</v>
      </c>
      <c r="I54" s="163">
        <f>T43</f>
        <v>359.49750173571852</v>
      </c>
      <c r="J54" s="38"/>
      <c r="K54" s="44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44"/>
      <c r="W54" s="38"/>
      <c r="X54" s="38"/>
      <c r="Y54" s="38"/>
      <c r="Z54" s="38"/>
      <c r="AA54" s="38"/>
      <c r="AB54" s="38"/>
      <c r="AC54" s="38"/>
      <c r="AD54" s="38"/>
      <c r="AE54" s="38"/>
    </row>
    <row r="55" spans="6:31" x14ac:dyDescent="0.3">
      <c r="F55" s="166" t="s">
        <v>115</v>
      </c>
      <c r="G55" s="197">
        <v>0</v>
      </c>
      <c r="H55" s="197">
        <v>0</v>
      </c>
      <c r="I55" s="197">
        <v>0</v>
      </c>
      <c r="J55" s="38"/>
      <c r="K55" s="44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44"/>
      <c r="W55" s="38"/>
      <c r="X55" s="38"/>
      <c r="Y55" s="38"/>
      <c r="Z55" s="38"/>
      <c r="AA55" s="38"/>
      <c r="AB55" s="38"/>
      <c r="AC55" s="38"/>
      <c r="AD55" s="38"/>
      <c r="AE55" s="38"/>
    </row>
    <row r="56" spans="6:31" x14ac:dyDescent="0.3">
      <c r="F56" s="166" t="s">
        <v>109</v>
      </c>
      <c r="G56" s="163">
        <f>H43</f>
        <v>237.33935108715815</v>
      </c>
      <c r="H56" s="163">
        <f>O43</f>
        <v>658.67048914353529</v>
      </c>
      <c r="I56" s="197">
        <v>0</v>
      </c>
      <c r="J56" s="38"/>
      <c r="K56" s="44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44"/>
      <c r="W56" s="38"/>
      <c r="X56" s="38"/>
      <c r="Y56" s="38"/>
      <c r="Z56" s="38"/>
      <c r="AA56" s="38"/>
      <c r="AB56" s="38"/>
      <c r="AC56" s="38"/>
      <c r="AD56" s="38"/>
      <c r="AE56" s="38"/>
    </row>
    <row r="57" spans="6:31" x14ac:dyDescent="0.3">
      <c r="F57" s="166" t="s">
        <v>159</v>
      </c>
      <c r="G57" s="163">
        <f>I43</f>
        <v>187.93539963607321</v>
      </c>
      <c r="H57" s="197">
        <v>0</v>
      </c>
      <c r="I57" s="197">
        <v>0</v>
      </c>
      <c r="J57" s="38"/>
      <c r="K57" s="44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44"/>
      <c r="W57" s="38"/>
      <c r="X57" s="38"/>
      <c r="Y57" s="38"/>
      <c r="Z57" s="38"/>
      <c r="AA57" s="38"/>
      <c r="AB57" s="38"/>
      <c r="AC57" s="38"/>
      <c r="AD57" s="38"/>
      <c r="AE57" s="38"/>
    </row>
    <row r="58" spans="6:31" x14ac:dyDescent="0.3">
      <c r="F58" s="166" t="s">
        <v>174</v>
      </c>
      <c r="G58" s="197">
        <v>0</v>
      </c>
      <c r="H58" s="197">
        <v>0</v>
      </c>
      <c r="I58" s="163">
        <f>U43</f>
        <v>587.29812386272886</v>
      </c>
      <c r="J58" s="38"/>
      <c r="K58" s="44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44"/>
      <c r="W58" s="38"/>
      <c r="X58" s="38"/>
      <c r="Y58" s="38"/>
      <c r="Z58" s="38"/>
      <c r="AA58" s="38"/>
      <c r="AB58" s="38"/>
      <c r="AC58" s="38"/>
      <c r="AD58" s="38"/>
      <c r="AE58" s="38"/>
    </row>
    <row r="59" spans="6:31" x14ac:dyDescent="0.3">
      <c r="F59" s="166" t="s">
        <v>160</v>
      </c>
      <c r="G59" s="163">
        <f>J43</f>
        <v>109.56041187004982</v>
      </c>
      <c r="H59" s="163">
        <f>P43</f>
        <v>93.672433437966419</v>
      </c>
      <c r="I59" s="197">
        <v>0</v>
      </c>
      <c r="J59" s="38"/>
      <c r="K59" s="44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44"/>
      <c r="W59" s="38"/>
      <c r="X59" s="38"/>
      <c r="Y59" s="38"/>
      <c r="Z59" s="38"/>
      <c r="AA59" s="38"/>
      <c r="AB59" s="38"/>
      <c r="AC59" s="38"/>
      <c r="AD59" s="38"/>
      <c r="AE59" s="38"/>
    </row>
    <row r="60" spans="6:31" x14ac:dyDescent="0.3">
      <c r="F60" s="166" t="s">
        <v>175</v>
      </c>
      <c r="G60" s="197">
        <v>0</v>
      </c>
      <c r="H60" s="197">
        <v>0</v>
      </c>
      <c r="I60" s="163">
        <f>V43</f>
        <v>80.606048881210555</v>
      </c>
      <c r="J60" s="38"/>
      <c r="K60" s="44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44"/>
      <c r="W60" s="38"/>
      <c r="X60" s="38"/>
      <c r="Y60" s="38"/>
      <c r="Z60" s="38"/>
      <c r="AA60" s="38"/>
      <c r="AB60" s="38"/>
      <c r="AC60" s="38"/>
      <c r="AD60" s="38"/>
      <c r="AE60" s="38"/>
    </row>
    <row r="61" spans="6:31" x14ac:dyDescent="0.3">
      <c r="F61" s="166" t="s">
        <v>176</v>
      </c>
      <c r="G61" s="197">
        <v>0</v>
      </c>
      <c r="H61" s="197">
        <v>0</v>
      </c>
      <c r="I61" s="163">
        <f>W43</f>
        <v>40.6</v>
      </c>
      <c r="J61" s="38"/>
      <c r="K61" s="44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44"/>
      <c r="W61" s="38"/>
      <c r="X61" s="38"/>
      <c r="Y61" s="38"/>
      <c r="Z61" s="38"/>
      <c r="AA61" s="38"/>
      <c r="AB61" s="38"/>
      <c r="AC61" s="38"/>
      <c r="AD61" s="38"/>
      <c r="AE61" s="38"/>
    </row>
    <row r="62" spans="6:31" x14ac:dyDescent="0.3">
      <c r="F62" s="166" t="s">
        <v>177</v>
      </c>
      <c r="G62" s="163">
        <f>K43</f>
        <v>144.82414754746682</v>
      </c>
      <c r="H62" s="163">
        <f>Q43</f>
        <v>224.30532718592121</v>
      </c>
      <c r="I62" s="197">
        <v>0</v>
      </c>
      <c r="J62" s="38"/>
      <c r="K62" s="44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44"/>
      <c r="W62" s="38"/>
      <c r="X62" s="38"/>
      <c r="Y62" s="38"/>
      <c r="Z62" s="38"/>
      <c r="AA62" s="38"/>
      <c r="AB62" s="38"/>
      <c r="AC62" s="38"/>
      <c r="AD62" s="38"/>
      <c r="AE62" s="38"/>
    </row>
    <row r="63" spans="6:31" x14ac:dyDescent="0.3">
      <c r="F63" s="166" t="s">
        <v>161</v>
      </c>
      <c r="G63" s="163">
        <f>L43</f>
        <v>1381.3564523553782</v>
      </c>
      <c r="H63" s="163">
        <f>R43</f>
        <v>1429.4614086236002</v>
      </c>
      <c r="I63" s="163">
        <f>X43</f>
        <v>456.71321160042964</v>
      </c>
      <c r="J63" s="38"/>
      <c r="K63" s="44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</row>
    <row r="64" spans="6:31" x14ac:dyDescent="0.3">
      <c r="F64" s="166" t="s">
        <v>162</v>
      </c>
      <c r="G64" s="163">
        <f>M43</f>
        <v>-640.58309037900881</v>
      </c>
      <c r="H64" s="163">
        <f>S43</f>
        <v>-392.93877551020415</v>
      </c>
      <c r="I64" s="163">
        <f>Y43</f>
        <v>1564.8979591836737</v>
      </c>
      <c r="J64" s="38"/>
      <c r="K64" s="44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</row>
    <row r="65" spans="6:11" x14ac:dyDescent="0.3">
      <c r="F65" s="166"/>
      <c r="G65" s="163"/>
      <c r="H65" s="163"/>
      <c r="I65" s="163"/>
      <c r="J65" s="38"/>
    </row>
    <row r="66" spans="6:11" x14ac:dyDescent="0.3">
      <c r="F66" s="166" t="s">
        <v>172</v>
      </c>
      <c r="G66" s="163">
        <f>SUM(G53:G64)</f>
        <v>1581.2942329693878</v>
      </c>
      <c r="H66" s="163">
        <f t="shared" ref="H66:I66" si="3">SUM(H53:H64)</f>
        <v>2150.7049939202539</v>
      </c>
      <c r="I66" s="163">
        <f t="shared" si="3"/>
        <v>3089.6128452637613</v>
      </c>
      <c r="J66" s="38"/>
    </row>
    <row r="67" spans="6:11" x14ac:dyDescent="0.3">
      <c r="G67" s="28"/>
      <c r="H67" s="28"/>
      <c r="I67" s="28"/>
    </row>
    <row r="68" spans="6:11" x14ac:dyDescent="0.3">
      <c r="K68" s="29"/>
    </row>
    <row r="69" spans="6:11" x14ac:dyDescent="0.3">
      <c r="F69" s="152"/>
      <c r="G69" s="171" t="s">
        <v>76</v>
      </c>
      <c r="H69" s="171" t="s">
        <v>77</v>
      </c>
      <c r="I69" s="171" t="s">
        <v>78</v>
      </c>
      <c r="K69" s="29"/>
    </row>
    <row r="70" spans="6:11" x14ac:dyDescent="0.3">
      <c r="F70" s="186" t="s">
        <v>280</v>
      </c>
      <c r="G70" s="198">
        <f>'Q4'!AB6</f>
        <v>6455.1326861500411</v>
      </c>
      <c r="H70" s="198">
        <f>'Q4'!AD6</f>
        <v>3432.1921798402573</v>
      </c>
      <c r="I70" s="198">
        <f>'Q4'!AF6</f>
        <v>-10.724441435343579</v>
      </c>
      <c r="K70" s="29"/>
    </row>
    <row r="71" spans="6:11" x14ac:dyDescent="0.3">
      <c r="F71" s="186" t="s">
        <v>281</v>
      </c>
      <c r="G71" s="198">
        <f>(G66-'Q5'!B45)/'Q6'!G70</f>
        <v>-0.28747371076606681</v>
      </c>
      <c r="H71" s="198">
        <f>(H66-'Q5'!C45)/'Q6'!H70</f>
        <v>-2.3293467444526086</v>
      </c>
      <c r="I71" s="198">
        <f>(I66-'Q5'!D45)/'Q6'!I70</f>
        <v>45.849809215010815</v>
      </c>
      <c r="K71" s="29"/>
    </row>
    <row r="72" spans="6:11" x14ac:dyDescent="0.3">
      <c r="F72" s="186" t="s">
        <v>282</v>
      </c>
      <c r="G72" s="198">
        <f>G71*1000</f>
        <v>-287.4737107660668</v>
      </c>
      <c r="H72" s="198">
        <f t="shared" ref="H72:I72" si="4">H71*1000</f>
        <v>-2329.3467444526086</v>
      </c>
      <c r="I72" s="198">
        <f t="shared" si="4"/>
        <v>45849.809215010813</v>
      </c>
      <c r="K72" s="29"/>
    </row>
  </sheetData>
  <mergeCells count="4">
    <mergeCell ref="G40:M40"/>
    <mergeCell ref="N40:S40"/>
    <mergeCell ref="T40:Y40"/>
    <mergeCell ref="Z40:AC40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D7D7-ABCB-472C-B9CB-E6AE9F666FFD}">
  <dimension ref="A1:AH99"/>
  <sheetViews>
    <sheetView topLeftCell="K78" zoomScale="80" zoomScaleNormal="80" workbookViewId="0">
      <selection activeCell="T107" sqref="T107"/>
    </sheetView>
  </sheetViews>
  <sheetFormatPr defaultRowHeight="14.4" x14ac:dyDescent="0.3"/>
  <cols>
    <col min="1" max="1" width="41.33203125" bestFit="1" customWidth="1"/>
    <col min="2" max="2" width="9.88671875" customWidth="1"/>
    <col min="3" max="5" width="10.5546875" bestFit="1" customWidth="1"/>
    <col min="6" max="6" width="12.109375" bestFit="1" customWidth="1"/>
    <col min="7" max="7" width="8.88671875" bestFit="1" customWidth="1"/>
    <col min="8" max="8" width="9" customWidth="1"/>
    <col min="10" max="10" width="23.6640625" customWidth="1"/>
    <col min="11" max="11" width="14.77734375" customWidth="1"/>
    <col min="12" max="12" width="14.109375" bestFit="1" customWidth="1"/>
    <col min="13" max="13" width="13.33203125" bestFit="1" customWidth="1"/>
    <col min="14" max="14" width="11.88671875" bestFit="1" customWidth="1"/>
    <col min="15" max="15" width="14.5546875" customWidth="1"/>
    <col min="19" max="19" width="10" bestFit="1" customWidth="1"/>
    <col min="21" max="21" width="10.88671875" customWidth="1"/>
    <col min="26" max="26" width="26" bestFit="1" customWidth="1"/>
    <col min="27" max="27" width="11" customWidth="1"/>
    <col min="28" max="28" width="10.88671875" customWidth="1"/>
    <col min="29" max="29" width="10.109375" customWidth="1"/>
  </cols>
  <sheetData>
    <row r="1" spans="1:34" x14ac:dyDescent="0.3">
      <c r="A1" s="60" t="s">
        <v>0</v>
      </c>
      <c r="B1" s="46">
        <v>1</v>
      </c>
      <c r="C1" s="47">
        <v>2</v>
      </c>
      <c r="D1" s="47">
        <v>3</v>
      </c>
      <c r="E1" s="48">
        <v>4</v>
      </c>
      <c r="F1" s="64" t="s">
        <v>5</v>
      </c>
      <c r="G1" s="48" t="s">
        <v>11</v>
      </c>
      <c r="H1" s="91" t="s">
        <v>201</v>
      </c>
      <c r="I1" s="48" t="s">
        <v>12</v>
      </c>
    </row>
    <row r="2" spans="1:34" ht="86.4" x14ac:dyDescent="0.3">
      <c r="A2" s="61" t="s">
        <v>178</v>
      </c>
      <c r="B2" s="65">
        <v>1188</v>
      </c>
      <c r="C2" s="58">
        <v>85</v>
      </c>
      <c r="D2" s="58">
        <v>523</v>
      </c>
      <c r="E2" s="59">
        <v>2560</v>
      </c>
      <c r="F2" s="57">
        <f t="shared" ref="F2:F4" si="0">SUM(B2:E2)</f>
        <v>4356</v>
      </c>
      <c r="G2" s="59">
        <v>10574</v>
      </c>
      <c r="H2" s="87" t="e">
        <f>#REF!+#REF!</f>
        <v>#REF!</v>
      </c>
      <c r="I2" s="59">
        <f>SUM(F2:G2)</f>
        <v>14930</v>
      </c>
      <c r="J2" t="s">
        <v>181</v>
      </c>
      <c r="K2">
        <v>3</v>
      </c>
      <c r="L2" t="s">
        <v>182</v>
      </c>
      <c r="O2" s="69" t="s">
        <v>186</v>
      </c>
    </row>
    <row r="3" spans="1:34" x14ac:dyDescent="0.3">
      <c r="A3" s="62" t="s">
        <v>2</v>
      </c>
      <c r="B3" s="66">
        <v>110</v>
      </c>
      <c r="C3" s="51">
        <v>4741</v>
      </c>
      <c r="D3" s="51">
        <v>93</v>
      </c>
      <c r="E3" s="53">
        <v>7666</v>
      </c>
      <c r="F3" s="52">
        <f t="shared" si="0"/>
        <v>12610</v>
      </c>
      <c r="G3" s="53">
        <v>7566</v>
      </c>
      <c r="H3" s="90" t="e">
        <f>#REF!+#REF!</f>
        <v>#REF!</v>
      </c>
      <c r="I3" s="53">
        <f>SUM(F3:G3)</f>
        <v>20176</v>
      </c>
      <c r="N3" s="68" t="s">
        <v>17</v>
      </c>
      <c r="O3" s="45">
        <v>1.04</v>
      </c>
    </row>
    <row r="4" spans="1:34" x14ac:dyDescent="0.3">
      <c r="A4" s="62" t="s">
        <v>3</v>
      </c>
      <c r="B4" s="66">
        <v>36</v>
      </c>
      <c r="C4" s="51">
        <v>167</v>
      </c>
      <c r="D4" s="51">
        <v>13279</v>
      </c>
      <c r="E4" s="53">
        <v>10167</v>
      </c>
      <c r="F4" s="52">
        <f t="shared" si="0"/>
        <v>23649</v>
      </c>
      <c r="G4" s="53">
        <v>35848</v>
      </c>
      <c r="H4" s="87" t="e">
        <f>#REF!</f>
        <v>#REF!</v>
      </c>
      <c r="I4" s="53">
        <f>SUM(F4:G4)</f>
        <v>59497</v>
      </c>
      <c r="J4" t="s">
        <v>183</v>
      </c>
      <c r="N4" s="68" t="s">
        <v>185</v>
      </c>
      <c r="O4" s="45">
        <v>1.1200000000000001</v>
      </c>
    </row>
    <row r="5" spans="1:34" x14ac:dyDescent="0.3">
      <c r="A5" s="62" t="s">
        <v>4</v>
      </c>
      <c r="B5" s="66">
        <v>3552</v>
      </c>
      <c r="C5" s="51">
        <v>5730</v>
      </c>
      <c r="D5" s="51">
        <v>13479</v>
      </c>
      <c r="E5" s="53">
        <v>182348</v>
      </c>
      <c r="F5" s="52">
        <f>SUM(B5:E5)</f>
        <v>205109</v>
      </c>
      <c r="G5" s="53">
        <v>465126</v>
      </c>
      <c r="H5" s="87" t="e">
        <f>#REF!+#REF!</f>
        <v>#REF!</v>
      </c>
      <c r="I5" s="53">
        <f>SUM(F5:G5)</f>
        <v>670235</v>
      </c>
      <c r="J5" t="s">
        <v>184</v>
      </c>
      <c r="N5" s="68" t="s">
        <v>18</v>
      </c>
      <c r="O5" s="45">
        <v>1.04</v>
      </c>
    </row>
    <row r="6" spans="1:34" x14ac:dyDescent="0.3">
      <c r="A6" s="63" t="s">
        <v>5</v>
      </c>
      <c r="B6" s="67">
        <v>4886</v>
      </c>
      <c r="C6" s="54">
        <v>10723</v>
      </c>
      <c r="D6" s="54">
        <v>27374</v>
      </c>
      <c r="E6" s="56">
        <v>202741</v>
      </c>
      <c r="F6" s="55">
        <f t="shared" ref="F6:F8" si="1">SUM(B6:E6)</f>
        <v>245724</v>
      </c>
      <c r="G6" s="56">
        <v>519114</v>
      </c>
      <c r="H6" s="88"/>
      <c r="I6" s="56">
        <f>SUM(F6:G6)</f>
        <v>764838</v>
      </c>
    </row>
    <row r="7" spans="1:34" x14ac:dyDescent="0.3">
      <c r="A7" s="62" t="s">
        <v>6</v>
      </c>
      <c r="B7" s="66">
        <v>5339</v>
      </c>
      <c r="C7" s="51">
        <v>1960</v>
      </c>
      <c r="D7" s="51">
        <v>11066</v>
      </c>
      <c r="E7" s="53">
        <v>124900</v>
      </c>
      <c r="F7" s="52">
        <f t="shared" si="1"/>
        <v>143265</v>
      </c>
      <c r="G7" s="53"/>
      <c r="H7" s="89"/>
      <c r="I7" s="53"/>
      <c r="K7" s="152" t="s">
        <v>167</v>
      </c>
      <c r="L7" s="229" t="s">
        <v>76</v>
      </c>
      <c r="M7" s="229"/>
      <c r="N7" s="229"/>
      <c r="O7" s="229"/>
      <c r="P7" s="229"/>
      <c r="Q7" s="229"/>
      <c r="R7" s="229"/>
      <c r="S7" s="229" t="s">
        <v>77</v>
      </c>
      <c r="T7" s="229"/>
      <c r="U7" s="229"/>
      <c r="V7" s="229"/>
      <c r="W7" s="229"/>
      <c r="X7" s="229"/>
      <c r="Y7" s="229" t="s">
        <v>78</v>
      </c>
      <c r="Z7" s="229"/>
      <c r="AA7" s="229"/>
      <c r="AB7" s="229"/>
      <c r="AC7" s="229"/>
      <c r="AD7" s="229"/>
      <c r="AE7" s="237" t="s">
        <v>88</v>
      </c>
      <c r="AF7" s="237"/>
      <c r="AG7" s="237"/>
      <c r="AH7" s="237"/>
    </row>
    <row r="8" spans="1:34" x14ac:dyDescent="0.3">
      <c r="A8" s="62" t="s">
        <v>7</v>
      </c>
      <c r="B8" s="66">
        <v>4705</v>
      </c>
      <c r="C8" s="51">
        <v>7493</v>
      </c>
      <c r="D8" s="51">
        <v>21057</v>
      </c>
      <c r="E8" s="53">
        <v>342594</v>
      </c>
      <c r="F8" s="52">
        <f t="shared" si="1"/>
        <v>375849</v>
      </c>
      <c r="G8" s="53"/>
      <c r="H8" s="87"/>
      <c r="I8" s="53"/>
      <c r="K8" s="152"/>
      <c r="L8" s="60" t="s">
        <v>131</v>
      </c>
      <c r="M8" s="60" t="s">
        <v>109</v>
      </c>
      <c r="N8" s="60" t="s">
        <v>159</v>
      </c>
      <c r="O8" s="60" t="s">
        <v>160</v>
      </c>
      <c r="P8" s="60" t="s">
        <v>173</v>
      </c>
      <c r="Q8" s="60" t="s">
        <v>161</v>
      </c>
      <c r="R8" s="60" t="s">
        <v>162</v>
      </c>
      <c r="S8" s="60" t="s">
        <v>131</v>
      </c>
      <c r="T8" s="60" t="s">
        <v>109</v>
      </c>
      <c r="U8" s="193" t="s">
        <v>160</v>
      </c>
      <c r="V8" s="60" t="s">
        <v>173</v>
      </c>
      <c r="W8" s="60" t="s">
        <v>161</v>
      </c>
      <c r="X8" s="60" t="s">
        <v>162</v>
      </c>
      <c r="Y8" s="60" t="s">
        <v>132</v>
      </c>
      <c r="Z8" s="60" t="s">
        <v>163</v>
      </c>
      <c r="AA8" s="60" t="s">
        <v>164</v>
      </c>
      <c r="AB8" s="60" t="s">
        <v>165</v>
      </c>
      <c r="AC8" s="60" t="s">
        <v>161</v>
      </c>
      <c r="AD8" s="60" t="s">
        <v>162</v>
      </c>
      <c r="AE8" s="60" t="s">
        <v>115</v>
      </c>
      <c r="AF8" s="60" t="s">
        <v>173</v>
      </c>
      <c r="AG8" s="60" t="s">
        <v>161</v>
      </c>
      <c r="AH8" s="60" t="s">
        <v>162</v>
      </c>
    </row>
    <row r="9" spans="1:34" x14ac:dyDescent="0.3">
      <c r="A9" s="63" t="s">
        <v>8</v>
      </c>
      <c r="B9" s="67">
        <f>SUM(B6:B8)</f>
        <v>14930</v>
      </c>
      <c r="C9" s="54">
        <f t="shared" ref="C9:F9" si="2">SUM(C6:C8)</f>
        <v>20176</v>
      </c>
      <c r="D9" s="54">
        <f t="shared" si="2"/>
        <v>59497</v>
      </c>
      <c r="E9" s="56">
        <f t="shared" si="2"/>
        <v>670235</v>
      </c>
      <c r="F9" s="55">
        <f t="shared" si="2"/>
        <v>764838</v>
      </c>
      <c r="G9" s="56"/>
      <c r="H9" s="88"/>
      <c r="I9" s="56"/>
      <c r="K9" s="152" t="s">
        <v>12</v>
      </c>
      <c r="L9" s="152">
        <f>M19/1000</f>
        <v>2672.2244861975805</v>
      </c>
      <c r="M9" s="152">
        <f>M26/1000</f>
        <v>4476.9982976922411</v>
      </c>
      <c r="N9" s="152">
        <f>1300+100*3</f>
        <v>1600</v>
      </c>
      <c r="O9" s="152">
        <f>L9*0.08</f>
        <v>213.77795889580645</v>
      </c>
      <c r="P9" s="152">
        <f>(M9+N9)*0.01-4</f>
        <v>56.769982976922414</v>
      </c>
      <c r="Q9" s="152">
        <f>(M32+M33)*10</f>
        <v>1381.3564523553782</v>
      </c>
      <c r="R9" s="152">
        <f>M34*20</f>
        <v>-640.58309037900881</v>
      </c>
      <c r="S9" s="152">
        <f>P19</f>
        <v>4897.9031395057655</v>
      </c>
      <c r="T9" s="157">
        <f>P26</f>
        <v>23456.757253121748</v>
      </c>
      <c r="U9" s="152">
        <f>S9*0.08</f>
        <v>391.83225116046123</v>
      </c>
      <c r="V9" s="152">
        <f>T9*0.04</f>
        <v>938.27029012486992</v>
      </c>
      <c r="W9" s="152">
        <f>(Q32+Q33)*10</f>
        <v>1429.4614086236002</v>
      </c>
      <c r="X9" s="152">
        <f>Q34*20</f>
        <v>-392.93877551020415</v>
      </c>
      <c r="Y9" s="157">
        <f>S26</f>
        <v>13111.241460750272</v>
      </c>
      <c r="Z9" s="152">
        <v>5000</v>
      </c>
      <c r="AA9" s="152">
        <f>Y9*0.01</f>
        <v>131.11241460750273</v>
      </c>
      <c r="AB9" s="152">
        <f>V25*0.04</f>
        <v>40.6</v>
      </c>
      <c r="AC9" s="152">
        <f>U32*20</f>
        <v>456.71321160042964</v>
      </c>
      <c r="AD9" s="152">
        <f>U33*60</f>
        <v>1564.8979591836737</v>
      </c>
      <c r="AE9" s="152">
        <v>0</v>
      </c>
      <c r="AF9" s="152">
        <v>40.6</v>
      </c>
      <c r="AG9" s="152">
        <v>1094.7368421052631</v>
      </c>
      <c r="AH9" s="152">
        <v>1080</v>
      </c>
    </row>
    <row r="10" spans="1:34" x14ac:dyDescent="0.3">
      <c r="A10" s="62" t="s">
        <v>180</v>
      </c>
      <c r="B10" s="66">
        <v>90</v>
      </c>
      <c r="C10" s="51">
        <v>37</v>
      </c>
      <c r="D10" s="51">
        <v>430</v>
      </c>
      <c r="E10" s="53">
        <v>6425</v>
      </c>
      <c r="F10" s="57">
        <v>6982</v>
      </c>
      <c r="G10" s="53"/>
      <c r="H10" s="89"/>
      <c r="I10" s="53"/>
      <c r="K10" s="60" t="s">
        <v>259</v>
      </c>
      <c r="L10" s="200">
        <f>L9*X32</f>
        <v>313.87848545677667</v>
      </c>
      <c r="M10" s="183">
        <f>M9*X32</f>
        <v>525.86654015425677</v>
      </c>
      <c r="N10" s="152">
        <f>N9*X32</f>
        <v>187.93539963607321</v>
      </c>
      <c r="O10" s="152">
        <f>O9</f>
        <v>213.77795889580645</v>
      </c>
      <c r="P10" s="152">
        <f t="shared" ref="P10:R10" si="3">P9</f>
        <v>56.769982976922414</v>
      </c>
      <c r="Q10" s="152">
        <f t="shared" si="3"/>
        <v>1381.3564523553782</v>
      </c>
      <c r="R10" s="152">
        <f t="shared" si="3"/>
        <v>-640.58309037900881</v>
      </c>
      <c r="S10" s="152">
        <f>S9*X32</f>
        <v>575.30586493862108</v>
      </c>
      <c r="T10" s="182">
        <f>T9*X32</f>
        <v>2755.221905332372</v>
      </c>
      <c r="U10" s="152">
        <f>U9</f>
        <v>391.83225116046123</v>
      </c>
      <c r="V10" s="152">
        <f t="shared" ref="V10:X10" si="4">V9</f>
        <v>938.27029012486992</v>
      </c>
      <c r="W10" s="152">
        <f t="shared" si="4"/>
        <v>1429.4614086236002</v>
      </c>
      <c r="X10" s="152">
        <f t="shared" si="4"/>
        <v>-392.93877551020415</v>
      </c>
      <c r="Y10" s="183">
        <f>Y9*X32</f>
        <v>1540.0415022819718</v>
      </c>
      <c r="Z10" s="152">
        <f>Z9*X32</f>
        <v>587.29812386272886</v>
      </c>
      <c r="AA10" s="183">
        <f>AA9</f>
        <v>131.11241460750273</v>
      </c>
      <c r="AB10" s="183">
        <f t="shared" ref="AB10:AD10" si="5">AB9</f>
        <v>40.6</v>
      </c>
      <c r="AC10" s="183">
        <f t="shared" si="5"/>
        <v>456.71321160042964</v>
      </c>
      <c r="AD10" s="183">
        <f t="shared" si="5"/>
        <v>1564.8979591836737</v>
      </c>
      <c r="AE10" s="152">
        <v>0</v>
      </c>
      <c r="AF10" s="152">
        <v>40.6</v>
      </c>
      <c r="AG10" s="152">
        <v>1094.7368421052631</v>
      </c>
      <c r="AH10" s="152">
        <v>1080</v>
      </c>
    </row>
    <row r="11" spans="1:34" x14ac:dyDescent="0.3">
      <c r="A11" s="62"/>
      <c r="B11" s="66"/>
      <c r="C11" s="51"/>
      <c r="D11" s="51"/>
      <c r="E11" s="53"/>
      <c r="F11" s="52"/>
      <c r="G11" s="53"/>
      <c r="H11" s="87"/>
      <c r="I11" s="53"/>
      <c r="K11" s="60" t="s">
        <v>283</v>
      </c>
      <c r="L11" s="202">
        <f>L10/1000</f>
        <v>0.31387848545677666</v>
      </c>
      <c r="M11" s="202">
        <f t="shared" ref="M11:AD11" si="6">M10/1000</f>
        <v>0.52586654015425682</v>
      </c>
      <c r="N11" s="202">
        <f t="shared" si="6"/>
        <v>0.18793539963607322</v>
      </c>
      <c r="O11" s="202">
        <f t="shared" si="6"/>
        <v>0.21377795889580645</v>
      </c>
      <c r="P11" s="202">
        <f t="shared" si="6"/>
        <v>5.6769982976922415E-2</v>
      </c>
      <c r="Q11" s="202">
        <f t="shared" si="6"/>
        <v>1.3813564523553783</v>
      </c>
      <c r="R11" s="202">
        <f t="shared" si="6"/>
        <v>-0.64058309037900885</v>
      </c>
      <c r="S11" s="202">
        <f t="shared" si="6"/>
        <v>0.57530586493862113</v>
      </c>
      <c r="T11" s="202">
        <f t="shared" si="6"/>
        <v>2.7552219053323719</v>
      </c>
      <c r="U11" s="202">
        <f t="shared" si="6"/>
        <v>0.39183225116046122</v>
      </c>
      <c r="V11" s="202">
        <f t="shared" si="6"/>
        <v>0.93827029012486995</v>
      </c>
      <c r="W11" s="202">
        <f t="shared" si="6"/>
        <v>1.4294614086236002</v>
      </c>
      <c r="X11" s="202">
        <f t="shared" si="6"/>
        <v>-0.39293877551020417</v>
      </c>
      <c r="Y11" s="202">
        <f t="shared" si="6"/>
        <v>1.5400415022819718</v>
      </c>
      <c r="Z11" s="202">
        <f t="shared" si="6"/>
        <v>0.58729812386272884</v>
      </c>
      <c r="AA11" s="202">
        <f t="shared" si="6"/>
        <v>0.13111241460750273</v>
      </c>
      <c r="AB11" s="202">
        <f t="shared" si="6"/>
        <v>4.0600000000000004E-2</v>
      </c>
      <c r="AC11" s="202">
        <f t="shared" si="6"/>
        <v>0.45671321160042966</v>
      </c>
      <c r="AD11" s="202">
        <f t="shared" si="6"/>
        <v>1.5648979591836738</v>
      </c>
      <c r="AE11" s="182">
        <f>AE10/1000</f>
        <v>0</v>
      </c>
      <c r="AF11" s="182">
        <f t="shared" ref="AF11:AH11" si="7">AF10/1000</f>
        <v>4.0600000000000004E-2</v>
      </c>
      <c r="AG11" s="182">
        <f t="shared" si="7"/>
        <v>1.0947368421052632</v>
      </c>
      <c r="AH11" s="182">
        <f t="shared" si="7"/>
        <v>1.08</v>
      </c>
    </row>
    <row r="12" spans="1:34" x14ac:dyDescent="0.3">
      <c r="A12" s="62"/>
      <c r="B12" s="66"/>
      <c r="C12" s="51"/>
      <c r="D12" s="51"/>
      <c r="E12" s="53"/>
      <c r="F12" s="52"/>
      <c r="G12" s="53"/>
      <c r="H12" s="87"/>
      <c r="I12" s="53"/>
      <c r="K12" s="85"/>
      <c r="L12" s="201"/>
      <c r="M12" s="44"/>
      <c r="N12" s="38"/>
      <c r="O12" s="38"/>
      <c r="P12" s="38"/>
      <c r="Q12" s="38"/>
      <c r="R12" s="38"/>
      <c r="S12" s="38"/>
      <c r="T12" s="49"/>
      <c r="U12" s="38"/>
      <c r="V12" s="38"/>
      <c r="W12" s="38"/>
      <c r="X12" s="38"/>
      <c r="Y12" s="44"/>
      <c r="Z12" s="38"/>
      <c r="AA12" s="44"/>
      <c r="AB12" s="44"/>
      <c r="AC12" s="44"/>
      <c r="AD12" s="44"/>
    </row>
    <row r="13" spans="1:34" x14ac:dyDescent="0.3">
      <c r="A13" s="62"/>
      <c r="B13" s="66"/>
      <c r="C13" s="51"/>
      <c r="D13" s="51"/>
      <c r="E13" s="53"/>
      <c r="F13" s="52"/>
      <c r="G13" s="53"/>
      <c r="H13" s="87"/>
      <c r="I13" s="53"/>
      <c r="K13" s="85"/>
      <c r="L13" s="201"/>
      <c r="M13" s="44"/>
      <c r="N13" s="38"/>
      <c r="O13" s="38"/>
      <c r="P13" s="38"/>
      <c r="Q13" s="38"/>
      <c r="R13" s="38"/>
      <c r="S13" s="38"/>
      <c r="T13" s="49"/>
      <c r="U13" s="38"/>
      <c r="V13" s="38"/>
      <c r="W13" s="38"/>
      <c r="X13" s="38"/>
      <c r="Y13" s="44"/>
      <c r="Z13" s="38"/>
      <c r="AA13" s="44"/>
      <c r="AB13" s="44"/>
      <c r="AC13" s="44"/>
      <c r="AD13" s="44"/>
    </row>
    <row r="14" spans="1:34" x14ac:dyDescent="0.3">
      <c r="A14" s="62"/>
      <c r="B14" s="66"/>
      <c r="C14" s="51"/>
      <c r="D14" s="51"/>
      <c r="E14" s="53"/>
      <c r="F14" s="52"/>
      <c r="G14" s="53"/>
      <c r="H14" s="87"/>
      <c r="I14" s="53"/>
      <c r="K14" s="85"/>
      <c r="L14" s="201"/>
      <c r="M14" s="44"/>
      <c r="N14" s="38"/>
      <c r="O14" s="38"/>
      <c r="P14" s="38"/>
      <c r="Q14" s="38"/>
      <c r="R14" s="38"/>
      <c r="S14" s="38"/>
      <c r="T14" s="49"/>
      <c r="U14" s="38"/>
      <c r="V14" s="38"/>
      <c r="W14" s="38"/>
      <c r="X14" s="38"/>
      <c r="Y14" s="44"/>
      <c r="Z14" s="38"/>
      <c r="AA14" s="44"/>
      <c r="AB14" s="44"/>
      <c r="AC14" s="44"/>
      <c r="AD14" s="44"/>
    </row>
    <row r="15" spans="1:34" x14ac:dyDescent="0.3">
      <c r="A15" s="63" t="s">
        <v>179</v>
      </c>
      <c r="B15" s="67">
        <v>10</v>
      </c>
      <c r="C15" s="54">
        <v>489</v>
      </c>
      <c r="D15" s="54">
        <v>8</v>
      </c>
      <c r="E15" s="56">
        <v>1335</v>
      </c>
      <c r="F15" s="55">
        <v>1842</v>
      </c>
      <c r="G15" s="56"/>
      <c r="H15" s="88"/>
      <c r="I15" s="56"/>
    </row>
    <row r="16" spans="1:34" ht="15" customHeight="1" x14ac:dyDescent="0.3">
      <c r="A16" s="85"/>
      <c r="B16" s="51"/>
      <c r="C16" s="51"/>
      <c r="D16" s="51"/>
      <c r="E16" s="51"/>
      <c r="F16" s="51"/>
      <c r="G16" s="51"/>
      <c r="H16" s="38"/>
      <c r="I16" s="51"/>
    </row>
    <row r="17" spans="1:29" ht="15" customHeight="1" x14ac:dyDescent="0.3">
      <c r="A17" s="85"/>
      <c r="B17" s="51"/>
      <c r="C17" s="51"/>
      <c r="D17" s="51"/>
      <c r="E17" s="51"/>
      <c r="F17" s="51"/>
      <c r="G17" s="51"/>
      <c r="H17" s="38"/>
      <c r="I17" s="51"/>
      <c r="L17" s="187" t="s">
        <v>131</v>
      </c>
      <c r="M17" s="33"/>
      <c r="O17" s="187" t="s">
        <v>131</v>
      </c>
      <c r="P17" s="33"/>
    </row>
    <row r="18" spans="1:29" ht="15" customHeight="1" x14ac:dyDescent="0.3">
      <c r="A18" s="85"/>
      <c r="B18" s="51"/>
      <c r="C18" s="51"/>
      <c r="D18" s="51"/>
      <c r="E18" s="51"/>
      <c r="F18" s="51"/>
      <c r="G18" s="51"/>
      <c r="H18" s="38"/>
      <c r="I18" s="51"/>
      <c r="L18" s="34" t="s">
        <v>261</v>
      </c>
      <c r="M18" s="35">
        <v>1500</v>
      </c>
      <c r="N18" s="29" t="s">
        <v>154</v>
      </c>
      <c r="O18" s="34" t="s">
        <v>261</v>
      </c>
      <c r="P18" s="35">
        <v>1500</v>
      </c>
      <c r="Q18" s="29" t="s">
        <v>154</v>
      </c>
    </row>
    <row r="19" spans="1:29" ht="15" customHeight="1" x14ac:dyDescent="0.3">
      <c r="A19" s="85"/>
      <c r="B19" s="51"/>
      <c r="C19" s="51"/>
      <c r="D19" s="51"/>
      <c r="E19" s="51"/>
      <c r="F19" s="51"/>
      <c r="G19" s="51"/>
      <c r="H19" s="38"/>
      <c r="I19" s="51"/>
      <c r="L19" s="34" t="s">
        <v>262</v>
      </c>
      <c r="M19" s="180">
        <f>(M21/7)^M22*M18*7</f>
        <v>2672224.4861975806</v>
      </c>
      <c r="N19" s="29" t="s">
        <v>154</v>
      </c>
      <c r="O19" s="34" t="s">
        <v>262</v>
      </c>
      <c r="P19" s="35">
        <f>(P20/7)^P22*7*P18</f>
        <v>4897.9031395057655</v>
      </c>
      <c r="Q19" s="29" t="s">
        <v>154</v>
      </c>
    </row>
    <row r="20" spans="1:29" ht="15" customHeight="1" x14ac:dyDescent="0.3">
      <c r="A20" s="85"/>
      <c r="B20" s="51"/>
      <c r="C20" s="51"/>
      <c r="D20" s="51"/>
      <c r="E20" s="51"/>
      <c r="F20" s="51"/>
      <c r="G20" s="51"/>
      <c r="H20" s="38"/>
      <c r="I20" s="51"/>
      <c r="L20" s="34" t="s">
        <v>263</v>
      </c>
      <c r="M20" s="35">
        <v>3</v>
      </c>
      <c r="O20" s="34" t="s">
        <v>263</v>
      </c>
      <c r="P20" s="35">
        <v>3</v>
      </c>
      <c r="Z20" s="152"/>
      <c r="AA20" s="185" t="s">
        <v>76</v>
      </c>
      <c r="AB20" s="185" t="s">
        <v>77</v>
      </c>
      <c r="AC20" s="185" t="s">
        <v>78</v>
      </c>
    </row>
    <row r="21" spans="1:29" ht="15" customHeight="1" x14ac:dyDescent="0.3">
      <c r="A21" s="85"/>
      <c r="B21" s="51"/>
      <c r="C21" s="51"/>
      <c r="D21" s="51"/>
      <c r="E21" s="51"/>
      <c r="F21" s="51"/>
      <c r="G21" s="51"/>
      <c r="H21" s="38"/>
      <c r="I21" s="51"/>
      <c r="L21" s="34" t="s">
        <v>264</v>
      </c>
      <c r="M21" s="175">
        <f>M20/0.91*1000</f>
        <v>3296.7032967032965</v>
      </c>
      <c r="O21" s="34" t="s">
        <v>264</v>
      </c>
      <c r="P21" s="35">
        <f>(P20/7)^P22*7*P18</f>
        <v>4897.9031395057655</v>
      </c>
      <c r="Z21" s="60" t="s">
        <v>131</v>
      </c>
      <c r="AA21" s="200">
        <f>L10</f>
        <v>313.87848545677667</v>
      </c>
      <c r="AB21" s="152">
        <f>S10</f>
        <v>575.30586493862108</v>
      </c>
      <c r="AC21" s="152">
        <v>0</v>
      </c>
    </row>
    <row r="22" spans="1:29" ht="15" customHeight="1" x14ac:dyDescent="0.3">
      <c r="A22" s="85"/>
      <c r="B22" s="51"/>
      <c r="C22" s="51"/>
      <c r="D22" s="51"/>
      <c r="E22" s="51"/>
      <c r="F22" s="51"/>
      <c r="G22" s="51"/>
      <c r="H22" s="38"/>
      <c r="I22" s="51"/>
      <c r="L22" s="36" t="s">
        <v>156</v>
      </c>
      <c r="M22" s="37">
        <v>0.9</v>
      </c>
      <c r="O22" s="36" t="s">
        <v>156</v>
      </c>
      <c r="P22" s="37">
        <v>0.9</v>
      </c>
      <c r="Z22" s="60" t="s">
        <v>132</v>
      </c>
      <c r="AA22" s="152">
        <v>0</v>
      </c>
      <c r="AB22" s="152">
        <v>0</v>
      </c>
      <c r="AC22" s="152">
        <f>Y10</f>
        <v>1540.0415022819718</v>
      </c>
    </row>
    <row r="23" spans="1:29" ht="15" customHeight="1" x14ac:dyDescent="0.3">
      <c r="A23" s="85"/>
      <c r="B23" s="51"/>
      <c r="C23" s="51"/>
      <c r="D23" s="51"/>
      <c r="E23" s="51"/>
      <c r="F23" s="51"/>
      <c r="G23" s="51"/>
      <c r="H23" s="38"/>
      <c r="I23" s="51"/>
      <c r="Z23" s="60" t="s">
        <v>115</v>
      </c>
      <c r="AA23" s="152">
        <v>0</v>
      </c>
      <c r="AB23" s="152">
        <v>0</v>
      </c>
      <c r="AC23" s="152">
        <v>0</v>
      </c>
    </row>
    <row r="24" spans="1:29" ht="15" customHeight="1" x14ac:dyDescent="0.3">
      <c r="A24" s="85"/>
      <c r="B24" s="51"/>
      <c r="C24" s="51"/>
      <c r="D24" s="51"/>
      <c r="E24" s="51"/>
      <c r="F24" s="51"/>
      <c r="G24" s="51"/>
      <c r="H24" s="38"/>
      <c r="I24" s="51"/>
      <c r="L24" s="187" t="s">
        <v>109</v>
      </c>
      <c r="M24" s="33"/>
      <c r="O24" s="187" t="s">
        <v>109</v>
      </c>
      <c r="P24" s="33"/>
      <c r="R24" s="187" t="s">
        <v>132</v>
      </c>
      <c r="S24" s="33"/>
      <c r="U24" s="187" t="s">
        <v>153</v>
      </c>
      <c r="V24" s="33"/>
      <c r="Z24" s="60" t="s">
        <v>109</v>
      </c>
      <c r="AA24" s="152">
        <f>M10</f>
        <v>525.86654015425677</v>
      </c>
      <c r="AB24" s="152">
        <f>T10</f>
        <v>2755.221905332372</v>
      </c>
      <c r="AC24" s="152">
        <v>0</v>
      </c>
    </row>
    <row r="25" spans="1:29" ht="15" customHeight="1" x14ac:dyDescent="0.3">
      <c r="A25" s="85"/>
      <c r="B25" s="51"/>
      <c r="C25" s="51"/>
      <c r="D25" s="51"/>
      <c r="E25" s="51"/>
      <c r="F25" s="51"/>
      <c r="G25" s="51"/>
      <c r="H25" s="38"/>
      <c r="I25" s="51"/>
      <c r="L25" s="34" t="s">
        <v>261</v>
      </c>
      <c r="M25" s="35">
        <v>450</v>
      </c>
      <c r="N25" s="29" t="s">
        <v>154</v>
      </c>
      <c r="O25" s="34" t="s">
        <v>261</v>
      </c>
      <c r="P25" s="35">
        <v>450</v>
      </c>
      <c r="Q25" s="29" t="s">
        <v>154</v>
      </c>
      <c r="R25" s="34" t="s">
        <v>261</v>
      </c>
      <c r="S25" s="35">
        <v>11500</v>
      </c>
      <c r="T25" s="29" t="s">
        <v>154</v>
      </c>
      <c r="U25" s="34" t="s">
        <v>261</v>
      </c>
      <c r="V25" s="35">
        <f>145*7</f>
        <v>1015</v>
      </c>
      <c r="Z25" s="60" t="s">
        <v>159</v>
      </c>
      <c r="AA25" s="152">
        <f>N10</f>
        <v>187.93539963607321</v>
      </c>
      <c r="AB25" s="152">
        <v>0</v>
      </c>
      <c r="AC25" s="152">
        <v>0</v>
      </c>
    </row>
    <row r="26" spans="1:29" ht="15" customHeight="1" x14ac:dyDescent="0.3">
      <c r="A26" s="85"/>
      <c r="B26" s="51"/>
      <c r="C26" s="51"/>
      <c r="D26" s="51"/>
      <c r="E26" s="51"/>
      <c r="F26" s="51"/>
      <c r="G26" s="51"/>
      <c r="H26" s="38"/>
      <c r="I26" s="51"/>
      <c r="L26" s="34" t="s">
        <v>262</v>
      </c>
      <c r="M26" s="175">
        <f>((M28/M27)^M29)*M25*M27</f>
        <v>4476998.2976922411</v>
      </c>
      <c r="N26" s="29" t="s">
        <v>154</v>
      </c>
      <c r="O26" s="34" t="s">
        <v>262</v>
      </c>
      <c r="P26" s="175">
        <f>((P28/P27)^P29)*P25*P27</f>
        <v>23456.757253121748</v>
      </c>
      <c r="Q26" s="29" t="s">
        <v>154</v>
      </c>
      <c r="R26" s="34" t="s">
        <v>262</v>
      </c>
      <c r="S26" s="175">
        <f>(S28/S27)^S29*S25*3.3</f>
        <v>13111.241460750272</v>
      </c>
      <c r="T26" s="29" t="s">
        <v>154</v>
      </c>
      <c r="U26" s="34" t="s">
        <v>262</v>
      </c>
      <c r="V26" s="35">
        <f>((V28/V27)^V29)*V25</f>
        <v>1015</v>
      </c>
      <c r="Z26" s="60" t="s">
        <v>174</v>
      </c>
      <c r="AA26" s="152">
        <v>0</v>
      </c>
      <c r="AB26" s="152">
        <v>0</v>
      </c>
      <c r="AC26" s="152">
        <f>Z10</f>
        <v>587.29812386272886</v>
      </c>
    </row>
    <row r="27" spans="1:29" x14ac:dyDescent="0.3">
      <c r="A27" s="85"/>
      <c r="B27" s="51"/>
      <c r="C27" s="51"/>
      <c r="D27" s="51"/>
      <c r="E27" s="51"/>
      <c r="F27" s="51"/>
      <c r="G27" s="51"/>
      <c r="H27" s="38"/>
      <c r="I27" s="51"/>
      <c r="L27" s="34" t="s">
        <v>263</v>
      </c>
      <c r="M27" s="35">
        <v>17500</v>
      </c>
      <c r="O27" s="34" t="s">
        <v>263</v>
      </c>
      <c r="P27" s="35">
        <v>17500</v>
      </c>
      <c r="R27" s="34" t="s">
        <v>263</v>
      </c>
      <c r="S27">
        <v>3.3</v>
      </c>
      <c r="U27" s="34" t="s">
        <v>263</v>
      </c>
      <c r="V27" s="35">
        <v>7</v>
      </c>
      <c r="Z27" s="60" t="s">
        <v>160</v>
      </c>
      <c r="AA27" s="152">
        <f>O10</f>
        <v>213.77795889580645</v>
      </c>
      <c r="AB27" s="152">
        <f>U10</f>
        <v>391.83225116046123</v>
      </c>
      <c r="AC27" s="152">
        <v>0</v>
      </c>
    </row>
    <row r="28" spans="1:29" x14ac:dyDescent="0.3">
      <c r="A28" s="85"/>
      <c r="B28" s="51"/>
      <c r="C28" s="51"/>
      <c r="D28" s="51"/>
      <c r="E28" s="51"/>
      <c r="F28" s="51"/>
      <c r="G28" s="51"/>
      <c r="H28" s="38"/>
      <c r="I28" s="51"/>
      <c r="L28" s="34" t="s">
        <v>264</v>
      </c>
      <c r="M28" s="175">
        <f>M21/0.4</f>
        <v>8241.7582417582398</v>
      </c>
      <c r="O28" s="34" t="s">
        <v>264</v>
      </c>
      <c r="P28" s="35">
        <f>P20/0.4</f>
        <v>7.5</v>
      </c>
      <c r="R28" s="34" t="s">
        <v>264</v>
      </c>
      <c r="S28" s="35">
        <f>3/3.75</f>
        <v>0.8</v>
      </c>
      <c r="U28" s="34" t="s">
        <v>264</v>
      </c>
      <c r="V28" s="35">
        <v>7</v>
      </c>
      <c r="Z28" s="60" t="s">
        <v>175</v>
      </c>
      <c r="AA28" s="152">
        <v>0</v>
      </c>
      <c r="AB28" s="152">
        <v>0</v>
      </c>
      <c r="AC28" s="152">
        <f>AA10</f>
        <v>131.11241460750273</v>
      </c>
    </row>
    <row r="29" spans="1:29" x14ac:dyDescent="0.3">
      <c r="A29" s="85"/>
      <c r="B29" s="51"/>
      <c r="C29" s="51"/>
      <c r="D29" s="51"/>
      <c r="E29" s="51"/>
      <c r="F29" s="51"/>
      <c r="G29" s="51"/>
      <c r="H29" s="38"/>
      <c r="I29" s="51"/>
      <c r="L29" s="36" t="s">
        <v>156</v>
      </c>
      <c r="M29" s="37">
        <v>0.75</v>
      </c>
      <c r="O29" s="36" t="s">
        <v>156</v>
      </c>
      <c r="P29" s="37">
        <v>0.75</v>
      </c>
      <c r="R29" s="36" t="s">
        <v>156</v>
      </c>
      <c r="S29" s="37">
        <v>0.75</v>
      </c>
      <c r="U29" s="36" t="s">
        <v>156</v>
      </c>
      <c r="V29" s="37">
        <v>0.9</v>
      </c>
      <c r="Z29" s="60" t="s">
        <v>176</v>
      </c>
      <c r="AA29" s="152">
        <v>0</v>
      </c>
      <c r="AB29" s="152">
        <v>0</v>
      </c>
      <c r="AC29" s="152">
        <f>AB10</f>
        <v>40.6</v>
      </c>
    </row>
    <row r="30" spans="1:29" x14ac:dyDescent="0.3">
      <c r="A30" s="85"/>
      <c r="B30" s="51"/>
      <c r="C30" s="51"/>
      <c r="D30" s="51"/>
      <c r="E30" s="51"/>
      <c r="F30" s="51"/>
      <c r="G30" s="51"/>
      <c r="H30" s="38"/>
      <c r="I30" s="51"/>
      <c r="Z30" s="60" t="s">
        <v>177</v>
      </c>
      <c r="AA30" s="152">
        <f>P10</f>
        <v>56.769982976922414</v>
      </c>
      <c r="AB30" s="152">
        <f>V10</f>
        <v>938.27029012486992</v>
      </c>
      <c r="AC30" s="152">
        <v>0</v>
      </c>
    </row>
    <row r="31" spans="1:29" x14ac:dyDescent="0.3">
      <c r="A31" s="85"/>
      <c r="B31" s="51"/>
      <c r="C31" s="51"/>
      <c r="D31" s="51"/>
      <c r="E31" s="51"/>
      <c r="F31" s="51"/>
      <c r="G31" s="51"/>
      <c r="H31" s="38"/>
      <c r="I31" s="51"/>
      <c r="Z31" s="60" t="s">
        <v>161</v>
      </c>
      <c r="AA31" s="152">
        <f>Q10</f>
        <v>1381.3564523553782</v>
      </c>
      <c r="AB31" s="152">
        <f>W10</f>
        <v>1429.4614086236002</v>
      </c>
      <c r="AC31" s="152">
        <f>AC10</f>
        <v>456.71321160042964</v>
      </c>
    </row>
    <row r="32" spans="1:29" x14ac:dyDescent="0.3">
      <c r="A32" s="85"/>
      <c r="B32" s="51"/>
      <c r="C32" s="51"/>
      <c r="D32" s="51"/>
      <c r="E32" s="51"/>
      <c r="F32" s="51"/>
      <c r="G32" s="51"/>
      <c r="H32" s="38"/>
      <c r="I32" s="51"/>
      <c r="L32" s="38" t="s">
        <v>274</v>
      </c>
      <c r="M32" s="196">
        <v>120.26239067055394</v>
      </c>
      <c r="N32">
        <f>M32/1000</f>
        <v>0.12026239067055394</v>
      </c>
      <c r="P32" t="s">
        <v>274</v>
      </c>
      <c r="Q32">
        <v>125.07288629737612</v>
      </c>
      <c r="R32">
        <f>Q32/1000</f>
        <v>0.12507288629737612</v>
      </c>
      <c r="T32" t="s">
        <v>278</v>
      </c>
      <c r="U32">
        <v>22.835660580021482</v>
      </c>
      <c r="V32">
        <f>U32/1000</f>
        <v>2.2835660580021483E-2</v>
      </c>
      <c r="W32" s="176" t="s">
        <v>258</v>
      </c>
      <c r="X32" s="176">
        <f>0.1/(1-(1.1)^(-20))</f>
        <v>0.11745962477254576</v>
      </c>
      <c r="Z32" s="60" t="s">
        <v>162</v>
      </c>
      <c r="AA32" s="152">
        <f>R10</f>
        <v>-640.58309037900881</v>
      </c>
      <c r="AB32" s="152">
        <f>X10</f>
        <v>-392.93877551020415</v>
      </c>
      <c r="AC32" s="152">
        <f>AD10</f>
        <v>1564.8979591836737</v>
      </c>
    </row>
    <row r="33" spans="1:29" x14ac:dyDescent="0.3">
      <c r="A33" s="85"/>
      <c r="B33" s="51"/>
      <c r="C33" s="51"/>
      <c r="D33" s="51"/>
      <c r="E33" s="51"/>
      <c r="F33" s="51"/>
      <c r="G33" s="51"/>
      <c r="H33" s="38"/>
      <c r="I33" s="51"/>
      <c r="L33" s="93" t="s">
        <v>275</v>
      </c>
      <c r="M33" s="196">
        <v>17.873254564983885</v>
      </c>
      <c r="N33">
        <f t="shared" ref="N33:N34" si="8">M33/1000</f>
        <v>1.7873254564983884E-2</v>
      </c>
      <c r="P33" t="s">
        <v>275</v>
      </c>
      <c r="Q33">
        <v>17.873254564983885</v>
      </c>
      <c r="R33">
        <f t="shared" ref="R33:R34" si="9">Q33/1000</f>
        <v>1.7873254564983884E-2</v>
      </c>
      <c r="T33" t="s">
        <v>279</v>
      </c>
      <c r="U33">
        <v>26.081632653061227</v>
      </c>
      <c r="V33">
        <f>U33/1000</f>
        <v>2.6081632653061227E-2</v>
      </c>
      <c r="Z33" s="60"/>
      <c r="AA33" s="152"/>
      <c r="AB33" s="152"/>
      <c r="AC33" s="152"/>
    </row>
    <row r="34" spans="1:29" x14ac:dyDescent="0.3">
      <c r="A34" s="85"/>
      <c r="B34" s="51"/>
      <c r="C34" s="51"/>
      <c r="D34" s="51"/>
      <c r="E34" s="51"/>
      <c r="F34" s="51"/>
      <c r="G34" s="51"/>
      <c r="H34" s="38"/>
      <c r="I34" s="51"/>
      <c r="L34" s="93" t="s">
        <v>276</v>
      </c>
      <c r="M34" s="196">
        <v>-32.029154518950442</v>
      </c>
      <c r="N34">
        <f t="shared" si="8"/>
        <v>-3.2029154518950442E-2</v>
      </c>
      <c r="P34" t="s">
        <v>276</v>
      </c>
      <c r="Q34">
        <v>-19.646938775510208</v>
      </c>
      <c r="R34">
        <f t="shared" si="9"/>
        <v>-1.9646938775510207E-2</v>
      </c>
      <c r="Z34" s="60" t="s">
        <v>172</v>
      </c>
      <c r="AA34" s="200">
        <f>SUM(AA21:AA32)</f>
        <v>2039.0017290962051</v>
      </c>
      <c r="AB34" s="152">
        <f t="shared" ref="AB34:AC34" si="10">SUM(AB21:AB32)</f>
        <v>5697.1529446697195</v>
      </c>
      <c r="AC34" s="152">
        <f t="shared" si="10"/>
        <v>4320.6632115363063</v>
      </c>
    </row>
    <row r="36" spans="1:29" x14ac:dyDescent="0.3">
      <c r="A36" s="70" t="s">
        <v>187</v>
      </c>
      <c r="B36" s="72">
        <f>B15/B9</f>
        <v>6.6979236436704619E-4</v>
      </c>
      <c r="C36" s="75">
        <f t="shared" ref="C36:E36" si="11">C15/C9</f>
        <v>2.4236716891356067E-2</v>
      </c>
      <c r="D36" s="75">
        <f t="shared" si="11"/>
        <v>1.3446056103669094E-4</v>
      </c>
      <c r="E36" s="80">
        <f t="shared" si="11"/>
        <v>1.9918386834468509E-3</v>
      </c>
      <c r="W36" t="s">
        <v>287</v>
      </c>
    </row>
    <row r="37" spans="1:29" x14ac:dyDescent="0.3">
      <c r="A37" s="81" t="s">
        <v>194</v>
      </c>
      <c r="B37" s="73">
        <f>B10/B9*1000</f>
        <v>6.0281312793034161</v>
      </c>
      <c r="C37" s="76">
        <f>C10/C9*1000</f>
        <v>1.8338620142743853</v>
      </c>
      <c r="D37" s="76">
        <f>D10/D9*1000</f>
        <v>7.2272551557221378</v>
      </c>
      <c r="E37" s="78">
        <f>E10/E9*1000</f>
        <v>9.5861899184614359</v>
      </c>
      <c r="K37" t="s">
        <v>206</v>
      </c>
      <c r="O37" t="s">
        <v>210</v>
      </c>
      <c r="W37" t="s">
        <v>278</v>
      </c>
      <c r="X37">
        <v>54.736842105263158</v>
      </c>
      <c r="Y37">
        <f>X37/1000</f>
        <v>5.473684210526316E-2</v>
      </c>
    </row>
    <row r="38" spans="1:29" x14ac:dyDescent="0.3">
      <c r="A38" s="71" t="s">
        <v>195</v>
      </c>
      <c r="B38" s="74" cm="1">
        <f t="array" ref="B38:E38">MMULT(B37:E37,B60:E63)</f>
        <v>10.166658746263318</v>
      </c>
      <c r="C38" s="77">
        <v>7.6551632241877758</v>
      </c>
      <c r="D38" s="77">
        <v>13.406911851319437</v>
      </c>
      <c r="E38" s="79">
        <v>13.622046089482653</v>
      </c>
      <c r="H38" t="s">
        <v>202</v>
      </c>
      <c r="K38" t="s">
        <v>205</v>
      </c>
      <c r="O38" t="s">
        <v>211</v>
      </c>
      <c r="P38" t="s">
        <v>212</v>
      </c>
      <c r="W38" t="s">
        <v>279</v>
      </c>
      <c r="X38">
        <v>18.947368421052634</v>
      </c>
      <c r="Y38">
        <f>X38/1000</f>
        <v>1.8947368421052633E-2</v>
      </c>
    </row>
    <row r="39" spans="1:29" x14ac:dyDescent="0.3">
      <c r="H39" t="s">
        <v>203</v>
      </c>
      <c r="K39" t="s">
        <v>207</v>
      </c>
      <c r="P39" t="s">
        <v>213</v>
      </c>
    </row>
    <row r="40" spans="1:29" x14ac:dyDescent="0.3">
      <c r="A40" s="68"/>
      <c r="H40" t="s">
        <v>204</v>
      </c>
      <c r="K40" t="s">
        <v>208</v>
      </c>
      <c r="O40" t="s">
        <v>209</v>
      </c>
    </row>
    <row r="41" spans="1:29" x14ac:dyDescent="0.3">
      <c r="A41" t="s">
        <v>188</v>
      </c>
      <c r="B41" t="s">
        <v>196</v>
      </c>
      <c r="J41" s="85"/>
      <c r="K41" s="38"/>
      <c r="L41" s="86">
        <v>1</v>
      </c>
      <c r="M41" s="86">
        <v>2</v>
      </c>
      <c r="N41" s="86">
        <v>3</v>
      </c>
      <c r="O41" s="86">
        <v>4</v>
      </c>
      <c r="Q41" t="s">
        <v>198</v>
      </c>
    </row>
    <row r="42" spans="1:29" x14ac:dyDescent="0.3">
      <c r="J42" s="61" t="s">
        <v>76</v>
      </c>
      <c r="K42" s="32" t="s">
        <v>197</v>
      </c>
      <c r="L42" s="97">
        <f>B$66*L61</f>
        <v>2.856992799458843E-6</v>
      </c>
      <c r="M42" s="94">
        <f t="shared" ref="M42:N43" si="12">C$66*M61</f>
        <v>8.0306300170372485E-4</v>
      </c>
      <c r="N42" s="94">
        <f t="shared" si="12"/>
        <v>2.7942051462336676E-7</v>
      </c>
      <c r="O42" s="98">
        <v>0</v>
      </c>
      <c r="Q42">
        <v>2.6986007953750195E-6</v>
      </c>
    </row>
    <row r="43" spans="1:29" x14ac:dyDescent="0.3">
      <c r="A43" t="s">
        <v>189</v>
      </c>
      <c r="B43" t="s">
        <v>190</v>
      </c>
      <c r="J43" s="61" t="s">
        <v>77</v>
      </c>
      <c r="K43" s="34" t="s">
        <v>197</v>
      </c>
      <c r="L43" s="99">
        <f>B$66*L62</f>
        <v>1.1331170257469783E-5</v>
      </c>
      <c r="M43" s="95">
        <f t="shared" si="12"/>
        <v>1.1236810336444653E-3</v>
      </c>
      <c r="N43" s="95">
        <f t="shared" si="12"/>
        <v>0</v>
      </c>
      <c r="O43" s="100">
        <f>E$66*O62</f>
        <v>1.4385997917764214E-5</v>
      </c>
      <c r="Q43">
        <v>1.4219545837005384E-4</v>
      </c>
    </row>
    <row r="44" spans="1:29" x14ac:dyDescent="0.3">
      <c r="J44" s="61" t="s">
        <v>78</v>
      </c>
      <c r="K44" s="34" t="s">
        <v>197</v>
      </c>
      <c r="L44" s="99">
        <f>B$66*L63</f>
        <v>5.2395517075981866E-6</v>
      </c>
      <c r="M44" s="96">
        <v>0</v>
      </c>
      <c r="N44" s="95">
        <f>D$66*N63</f>
        <v>8.731891081980211E-7</v>
      </c>
      <c r="O44" s="100">
        <f>E$66*O63</f>
        <v>1.857190977629961E-6</v>
      </c>
      <c r="Q44">
        <v>1.8904041837350463E-6</v>
      </c>
    </row>
    <row r="45" spans="1:29" x14ac:dyDescent="0.3">
      <c r="A45" t="s">
        <v>191</v>
      </c>
      <c r="B45" s="72">
        <f>B2/B$9</f>
        <v>7.9571332886805096E-2</v>
      </c>
      <c r="C45" s="75">
        <f t="shared" ref="C45:E45" si="13">C2/C$9</f>
        <v>4.212926249008723E-3</v>
      </c>
      <c r="D45" s="75">
        <f t="shared" si="13"/>
        <v>8.7903591777736701E-3</v>
      </c>
      <c r="E45" s="80">
        <f t="shared" si="13"/>
        <v>3.8195558274336612E-3</v>
      </c>
      <c r="J45" s="61" t="s">
        <v>88</v>
      </c>
      <c r="K45" s="34" t="s">
        <v>197</v>
      </c>
      <c r="L45" s="99">
        <f>B$66*L64</f>
        <v>0</v>
      </c>
      <c r="M45" s="95">
        <f>C$66*M64</f>
        <v>2.3576046142874717E-3</v>
      </c>
      <c r="N45" s="95">
        <f>D$66*N64</f>
        <v>0</v>
      </c>
      <c r="O45" s="100">
        <f>E$66*O64</f>
        <v>4.3911765997891826E-7</v>
      </c>
      <c r="Q45">
        <v>3.1013344274521139E-6</v>
      </c>
    </row>
    <row r="46" spans="1:29" x14ac:dyDescent="0.3">
      <c r="B46" s="73">
        <f t="shared" ref="B46:E46" si="14">B3/B$9</f>
        <v>7.367716008037508E-3</v>
      </c>
      <c r="C46" s="76">
        <f t="shared" si="14"/>
        <v>0.23498215701823949</v>
      </c>
      <c r="D46" s="76">
        <f t="shared" si="14"/>
        <v>1.5631040220515321E-3</v>
      </c>
      <c r="E46" s="78">
        <f t="shared" si="14"/>
        <v>1.1437779286369706E-2</v>
      </c>
      <c r="J46" s="61"/>
      <c r="K46" s="32" t="s">
        <v>198</v>
      </c>
      <c r="L46" s="97">
        <f>SUM(L42:L45)</f>
        <v>1.9427714764526814E-5</v>
      </c>
      <c r="M46" s="94">
        <f t="shared" ref="M46:O46" si="15">SUM(M42:M45)</f>
        <v>4.2843486496356616E-3</v>
      </c>
      <c r="N46" s="94">
        <f t="shared" si="15"/>
        <v>1.1526096228213879E-6</v>
      </c>
      <c r="O46" s="101">
        <f t="shared" si="15"/>
        <v>1.6682306555373094E-5</v>
      </c>
    </row>
    <row r="47" spans="1:29" x14ac:dyDescent="0.3">
      <c r="B47" s="73">
        <f>B4/B$9</f>
        <v>2.4112525117213662E-3</v>
      </c>
      <c r="C47" s="76">
        <f>C4/C$9</f>
        <v>8.2771609833465504E-3</v>
      </c>
      <c r="D47" s="76">
        <f>D4/D$9</f>
        <v>0.22318772375077736</v>
      </c>
      <c r="E47" s="78">
        <f>E4/E$9</f>
        <v>1.5169306288092982E-2</v>
      </c>
      <c r="J47" s="87"/>
      <c r="K47" s="34" t="s">
        <v>199</v>
      </c>
      <c r="L47" s="74" t="e">
        <f>#REF!+#REF!</f>
        <v>#REF!</v>
      </c>
      <c r="M47" s="77" t="e">
        <f>#REF!+#REF!</f>
        <v>#REF!</v>
      </c>
      <c r="N47" s="77" t="e">
        <f>#REF!+#REF!</f>
        <v>#REF!</v>
      </c>
      <c r="O47" s="79" t="e">
        <f>#REF!+#REF!</f>
        <v>#REF!</v>
      </c>
    </row>
    <row r="48" spans="1:29" x14ac:dyDescent="0.3">
      <c r="B48" s="74">
        <f t="shared" ref="B48:E48" si="16">B5/B$9</f>
        <v>0.23791024782317483</v>
      </c>
      <c r="C48" s="77">
        <f t="shared" si="16"/>
        <v>0.28400079302141157</v>
      </c>
      <c r="D48" s="77">
        <f t="shared" si="16"/>
        <v>0.22654923777669461</v>
      </c>
      <c r="E48" s="79">
        <f t="shared" si="16"/>
        <v>0.27206576797690363</v>
      </c>
      <c r="J48" s="88"/>
      <c r="K48" s="105" t="s">
        <v>200</v>
      </c>
      <c r="L48" s="102" t="e">
        <f>L46+L47</f>
        <v>#REF!</v>
      </c>
      <c r="M48" s="103" t="e">
        <f t="shared" ref="M48:O48" si="17">M46+M47</f>
        <v>#REF!</v>
      </c>
      <c r="N48" s="103" t="e">
        <f t="shared" si="17"/>
        <v>#REF!</v>
      </c>
      <c r="O48" s="104" t="e">
        <f t="shared" si="17"/>
        <v>#REF!</v>
      </c>
    </row>
    <row r="49" spans="1:19" x14ac:dyDescent="0.3">
      <c r="J49" s="38"/>
      <c r="K49" s="38"/>
      <c r="L49" s="38"/>
      <c r="M49" s="38"/>
      <c r="N49" s="38"/>
      <c r="O49" s="38"/>
      <c r="S49" s="93" t="s">
        <v>215</v>
      </c>
    </row>
    <row r="50" spans="1:19" x14ac:dyDescent="0.3">
      <c r="A50" t="s">
        <v>192</v>
      </c>
      <c r="B50" s="32">
        <v>1</v>
      </c>
      <c r="C50" s="43">
        <v>0</v>
      </c>
      <c r="D50" s="43">
        <v>0</v>
      </c>
      <c r="E50" s="33">
        <v>0</v>
      </c>
      <c r="S50" cm="1">
        <f t="array" ref="S50:S53">MMULT(B60:E63,Q42:Q45)</f>
        <v>4.1799049729693956E-6</v>
      </c>
    </row>
    <row r="51" spans="1:19" x14ac:dyDescent="0.3">
      <c r="B51" s="34">
        <v>0</v>
      </c>
      <c r="C51" s="38">
        <v>1</v>
      </c>
      <c r="D51" s="38">
        <v>0</v>
      </c>
      <c r="E51" s="35">
        <v>0</v>
      </c>
      <c r="J51" s="38"/>
      <c r="K51" s="38" t="s">
        <v>201</v>
      </c>
      <c r="S51">
        <v>1.8712825415210933E-4</v>
      </c>
    </row>
    <row r="52" spans="1:19" ht="57.6" x14ac:dyDescent="0.3">
      <c r="B52" s="34">
        <v>0</v>
      </c>
      <c r="C52" s="38">
        <v>0</v>
      </c>
      <c r="D52" s="38">
        <v>1</v>
      </c>
      <c r="E52" s="35">
        <v>0</v>
      </c>
      <c r="J52" s="38"/>
      <c r="K52" s="168"/>
      <c r="L52" s="170" t="s">
        <v>178</v>
      </c>
      <c r="M52" s="170" t="s">
        <v>2</v>
      </c>
      <c r="N52" s="170" t="s">
        <v>3</v>
      </c>
      <c r="O52" s="170" t="s">
        <v>4</v>
      </c>
      <c r="P52" s="92"/>
      <c r="S52">
        <v>6.0124968909737541E-6</v>
      </c>
    </row>
    <row r="53" spans="1:19" x14ac:dyDescent="0.3">
      <c r="B53" s="36">
        <v>0</v>
      </c>
      <c r="C53" s="39">
        <v>0</v>
      </c>
      <c r="D53" s="39">
        <v>0</v>
      </c>
      <c r="E53" s="37">
        <v>1</v>
      </c>
      <c r="J53" s="38"/>
      <c r="K53" s="192" t="s">
        <v>76</v>
      </c>
      <c r="L53" s="163">
        <f>L11+M11</f>
        <v>0.83974502561103348</v>
      </c>
      <c r="M53" s="163">
        <f>Q11+R11</f>
        <v>0.74077336197636945</v>
      </c>
      <c r="N53" s="163">
        <f>N11</f>
        <v>0.18793539963607322</v>
      </c>
      <c r="O53" s="163">
        <f>P11+O11</f>
        <v>0.27054794187272885</v>
      </c>
      <c r="Q53" s="28">
        <f>SUM(L53:O53)</f>
        <v>2.039001729096205</v>
      </c>
      <c r="S53">
        <v>8.0505179233397224E-5</v>
      </c>
    </row>
    <row r="54" spans="1:19" x14ac:dyDescent="0.3">
      <c r="J54" s="38"/>
      <c r="K54" s="192" t="s">
        <v>77</v>
      </c>
      <c r="L54" s="163">
        <f>S11+T11</f>
        <v>3.3305277702709928</v>
      </c>
      <c r="M54" s="163">
        <f>W11+X11</f>
        <v>1.0365226331133961</v>
      </c>
      <c r="N54" s="163">
        <v>0</v>
      </c>
      <c r="O54" s="163">
        <f>U11+V11</f>
        <v>1.3301025412853311</v>
      </c>
      <c r="Q54" s="28">
        <f t="shared" ref="Q54:Q56" si="18">SUM(L54:O54)</f>
        <v>5.6971529446697202</v>
      </c>
    </row>
    <row r="55" spans="1:19" x14ac:dyDescent="0.3">
      <c r="A55" t="s">
        <v>193</v>
      </c>
      <c r="B55" s="72">
        <f>B50-B45</f>
        <v>0.92042866711319493</v>
      </c>
      <c r="C55" s="43">
        <f t="shared" ref="C55:D55" si="19">C50-C45</f>
        <v>-4.212926249008723E-3</v>
      </c>
      <c r="D55" s="75">
        <f t="shared" si="19"/>
        <v>-8.7903591777736701E-3</v>
      </c>
      <c r="E55" s="80">
        <f>E50-E45</f>
        <v>-3.8195558274336612E-3</v>
      </c>
      <c r="J55" s="38"/>
      <c r="K55" s="192" t="s">
        <v>78</v>
      </c>
      <c r="L55" s="163">
        <f>Y11</f>
        <v>1.5400415022819718</v>
      </c>
      <c r="M55" s="163">
        <f>AC11+AD11</f>
        <v>2.0216111707841034</v>
      </c>
      <c r="N55" s="163">
        <f>Z11</f>
        <v>0.58729812386272884</v>
      </c>
      <c r="O55" s="163">
        <f>AA11+AB11</f>
        <v>0.17171241460750272</v>
      </c>
      <c r="Q55" s="28">
        <f t="shared" si="18"/>
        <v>4.3206632115363064</v>
      </c>
    </row>
    <row r="56" spans="1:19" x14ac:dyDescent="0.3">
      <c r="B56" s="73">
        <f t="shared" ref="B56:E56" si="20">B51-B46</f>
        <v>-7.367716008037508E-3</v>
      </c>
      <c r="C56" s="76">
        <f t="shared" si="20"/>
        <v>0.76501784298176045</v>
      </c>
      <c r="D56" s="76">
        <f>D51-D46</f>
        <v>-1.5631040220515321E-3</v>
      </c>
      <c r="E56" s="78">
        <f t="shared" si="20"/>
        <v>-1.1437779286369706E-2</v>
      </c>
      <c r="K56" s="192" t="s">
        <v>88</v>
      </c>
      <c r="L56" s="163">
        <v>0</v>
      </c>
      <c r="M56" s="163">
        <f>AG11+AH11</f>
        <v>2.1747368421052631</v>
      </c>
      <c r="N56" s="163">
        <v>0</v>
      </c>
      <c r="O56" s="163">
        <f>AF11</f>
        <v>4.0600000000000004E-2</v>
      </c>
      <c r="Q56" s="28">
        <f t="shared" si="18"/>
        <v>2.215336842105263</v>
      </c>
    </row>
    <row r="57" spans="1:19" x14ac:dyDescent="0.3">
      <c r="B57" s="73">
        <f t="shared" ref="B57:E57" si="21">B52-B47</f>
        <v>-2.4112525117213662E-3</v>
      </c>
      <c r="C57" s="38">
        <f t="shared" si="21"/>
        <v>-8.2771609833465504E-3</v>
      </c>
      <c r="D57" s="76">
        <f t="shared" si="21"/>
        <v>0.77681227624922267</v>
      </c>
      <c r="E57" s="78">
        <f t="shared" si="21"/>
        <v>-1.5169306288092982E-2</v>
      </c>
    </row>
    <row r="58" spans="1:19" x14ac:dyDescent="0.3">
      <c r="B58" s="74">
        <f t="shared" ref="B58:E58" si="22">B53-B48</f>
        <v>-0.23791024782317483</v>
      </c>
      <c r="C58" s="39">
        <f t="shared" si="22"/>
        <v>-0.28400079302141157</v>
      </c>
      <c r="D58" s="77">
        <f t="shared" si="22"/>
        <v>-0.22654923777669461</v>
      </c>
      <c r="E58" s="79">
        <f t="shared" si="22"/>
        <v>0.72793423202309637</v>
      </c>
    </row>
    <row r="59" spans="1:19" x14ac:dyDescent="0.3">
      <c r="G59" s="38"/>
      <c r="H59" s="38"/>
      <c r="I59" s="38"/>
      <c r="J59" s="38"/>
      <c r="K59" s="38"/>
      <c r="L59" s="188">
        <v>1</v>
      </c>
      <c r="M59" s="189">
        <v>2</v>
      </c>
      <c r="N59" s="189">
        <v>3</v>
      </c>
      <c r="O59" s="190">
        <v>4</v>
      </c>
      <c r="P59" s="93" t="s">
        <v>214</v>
      </c>
      <c r="Q59" t="s">
        <v>12</v>
      </c>
    </row>
    <row r="60" spans="1:19" x14ac:dyDescent="0.3">
      <c r="A60" t="s">
        <v>189</v>
      </c>
      <c r="B60" s="72">
        <f t="array" ref="B60:E63">MINVERSE(B55:E58)</f>
        <v>1.088140780596768</v>
      </c>
      <c r="C60" s="75">
        <v>8.4230876698390203E-3</v>
      </c>
      <c r="D60" s="75">
        <v>1.4119838680001001E-2</v>
      </c>
      <c r="E60" s="80">
        <v>6.1361917580593107E-3</v>
      </c>
      <c r="G60" s="76"/>
      <c r="H60" s="38"/>
      <c r="I60" s="76"/>
      <c r="J60" s="38"/>
      <c r="K60" s="38"/>
      <c r="L60" s="34" t="s">
        <v>284</v>
      </c>
      <c r="M60" s="145" t="s">
        <v>284</v>
      </c>
      <c r="N60" s="145" t="s">
        <v>284</v>
      </c>
      <c r="O60" s="204" t="s">
        <v>284</v>
      </c>
    </row>
    <row r="61" spans="1:19" x14ac:dyDescent="0.3">
      <c r="B61" s="73">
        <v>1.5961371484375472E-2</v>
      </c>
      <c r="C61" s="76">
        <v>1.3151149478681188</v>
      </c>
      <c r="D61" s="76">
        <v>8.9320308647302411E-3</v>
      </c>
      <c r="E61" s="78">
        <v>2.0933831520738848E-2</v>
      </c>
      <c r="G61" s="76"/>
      <c r="H61" s="38"/>
      <c r="I61" s="76"/>
      <c r="J61" s="38"/>
      <c r="K61" s="38" t="s">
        <v>76</v>
      </c>
      <c r="L61" s="205">
        <f t="shared" ref="L61:O64" si="23">L53*B$66</f>
        <v>1.5489175225143863E-3</v>
      </c>
      <c r="M61" s="203">
        <f t="shared" si="23"/>
        <v>2.439031938394623E-2</v>
      </c>
      <c r="N61" s="203">
        <f t="shared" si="23"/>
        <v>2.29157164588541E-4</v>
      </c>
      <c r="O61" s="206">
        <f t="shared" si="23"/>
        <v>8.8975752450358241E-4</v>
      </c>
      <c r="Q61" s="213">
        <f>SUM(L61:O61)</f>
        <v>2.7058151595552738E-2</v>
      </c>
    </row>
    <row r="62" spans="1:19" x14ac:dyDescent="0.3">
      <c r="B62" s="73">
        <v>1.0678940393258366E-2</v>
      </c>
      <c r="C62" s="76">
        <v>2.4259650530871067E-2</v>
      </c>
      <c r="D62" s="76">
        <v>1.2954826777519199</v>
      </c>
      <c r="E62" s="78">
        <v>2.7433575711343344E-2</v>
      </c>
      <c r="G62" s="76"/>
      <c r="H62" s="38"/>
      <c r="I62" s="76"/>
      <c r="J62" s="38"/>
      <c r="K62" s="38" t="s">
        <v>77</v>
      </c>
      <c r="L62" s="205">
        <f t="shared" si="23"/>
        <v>6.1431894983120803E-3</v>
      </c>
      <c r="M62" s="203">
        <f t="shared" si="23"/>
        <v>3.4128006442989661E-2</v>
      </c>
      <c r="N62" s="203">
        <f t="shared" si="23"/>
        <v>0</v>
      </c>
      <c r="O62" s="206">
        <f t="shared" si="23"/>
        <v>4.3743402233186734E-3</v>
      </c>
      <c r="Q62" s="213">
        <f t="shared" ref="Q62:Q71" si="24">SUM(L62:O62)</f>
        <v>4.4645536164620414E-2</v>
      </c>
    </row>
    <row r="63" spans="1:19" x14ac:dyDescent="0.3">
      <c r="B63" s="74">
        <v>0.36518709939646432</v>
      </c>
      <c r="C63" s="77">
        <v>0.52339018493670075</v>
      </c>
      <c r="D63" s="77">
        <v>0.41128244585228824</v>
      </c>
      <c r="E63" s="79">
        <v>1.3924611575204093</v>
      </c>
      <c r="G63" s="76"/>
      <c r="H63" s="38"/>
      <c r="I63" s="76"/>
      <c r="J63" s="38"/>
      <c r="K63" s="38" t="s">
        <v>78</v>
      </c>
      <c r="L63" s="205">
        <f t="shared" si="23"/>
        <v>2.8406208974542137E-3</v>
      </c>
      <c r="M63" s="203">
        <f t="shared" si="23"/>
        <v>6.6562520544779874E-2</v>
      </c>
      <c r="N63" s="203">
        <f t="shared" si="23"/>
        <v>7.1611613933919062E-4</v>
      </c>
      <c r="O63" s="206">
        <f t="shared" si="23"/>
        <v>5.6471474848467454E-4</v>
      </c>
      <c r="Q63" s="213">
        <f t="shared" si="24"/>
        <v>7.0683972330057951E-2</v>
      </c>
    </row>
    <row r="64" spans="1:19" x14ac:dyDescent="0.3">
      <c r="G64" s="38"/>
      <c r="H64" s="38"/>
      <c r="I64" s="38"/>
      <c r="J64" s="38"/>
      <c r="K64" s="38" t="s">
        <v>88</v>
      </c>
      <c r="L64" s="102">
        <f t="shared" si="23"/>
        <v>0</v>
      </c>
      <c r="M64" s="207">
        <f t="shared" si="23"/>
        <v>7.1604256953119297E-2</v>
      </c>
      <c r="N64" s="207">
        <f t="shared" si="23"/>
        <v>0</v>
      </c>
      <c r="O64" s="208">
        <f t="shared" si="23"/>
        <v>1.3352219663840197E-4</v>
      </c>
      <c r="Q64" s="213">
        <f t="shared" si="24"/>
        <v>7.1737779149757694E-2</v>
      </c>
    </row>
    <row r="65" spans="1:17" x14ac:dyDescent="0.3">
      <c r="Q65" s="213"/>
    </row>
    <row r="66" spans="1:17" x14ac:dyDescent="0.3">
      <c r="A66" s="18" t="s">
        <v>220</v>
      </c>
      <c r="B66" s="82" cm="1">
        <f t="array" ref="B66:E66">MMULT(B36:E36,B60:E63)</f>
        <v>1.8445093156548673E-3</v>
      </c>
      <c r="C66" s="83">
        <v>3.2925481173989996E-2</v>
      </c>
      <c r="D66" s="83">
        <v>1.2193400766023405E-3</v>
      </c>
      <c r="E66" s="84">
        <v>3.2887240551330533E-3</v>
      </c>
      <c r="K66" s="38"/>
      <c r="L66" s="188">
        <v>1</v>
      </c>
      <c r="M66" s="189">
        <v>2</v>
      </c>
      <c r="N66" s="189">
        <v>3</v>
      </c>
      <c r="O66" s="190">
        <v>4</v>
      </c>
      <c r="Q66" s="213"/>
    </row>
    <row r="67" spans="1:17" x14ac:dyDescent="0.3">
      <c r="K67" s="38"/>
      <c r="L67" s="34" t="s">
        <v>285</v>
      </c>
      <c r="M67" s="34" t="s">
        <v>285</v>
      </c>
      <c r="N67" s="34" t="s">
        <v>285</v>
      </c>
      <c r="O67" s="87" t="s">
        <v>285</v>
      </c>
      <c r="Q67" s="213"/>
    </row>
    <row r="68" spans="1:17" x14ac:dyDescent="0.3">
      <c r="K68" s="38" t="s">
        <v>76</v>
      </c>
      <c r="L68" s="209">
        <f t="shared" ref="L68:O71" si="25">L53*B$38</f>
        <v>8.5374011092595268</v>
      </c>
      <c r="M68" s="209">
        <f t="shared" si="25"/>
        <v>5.6707409980594425</v>
      </c>
      <c r="N68" s="209">
        <f t="shared" si="25"/>
        <v>2.5196333366633246</v>
      </c>
      <c r="O68" s="210">
        <f t="shared" si="25"/>
        <v>3.685416533604986</v>
      </c>
      <c r="Q68" s="213">
        <f>SUM(L68:O68)</f>
        <v>20.413191977587282</v>
      </c>
    </row>
    <row r="69" spans="1:17" x14ac:dyDescent="0.3">
      <c r="K69" s="38" t="s">
        <v>77</v>
      </c>
      <c r="L69" s="209">
        <f t="shared" si="25"/>
        <v>33.860339285298451</v>
      </c>
      <c r="M69" s="209">
        <f t="shared" si="25"/>
        <v>7.9347499420479481</v>
      </c>
      <c r="N69" s="209">
        <f t="shared" si="25"/>
        <v>0</v>
      </c>
      <c r="O69" s="210">
        <f t="shared" si="25"/>
        <v>18.118718121126783</v>
      </c>
      <c r="Q69" s="213">
        <f t="shared" si="24"/>
        <v>59.913807348473185</v>
      </c>
    </row>
    <row r="70" spans="1:17" x14ac:dyDescent="0.3">
      <c r="A70" s="214" t="s">
        <v>286</v>
      </c>
      <c r="B70" s="214">
        <f>673/(307*0.95-96*0.95)</f>
        <v>3.3574457470690948</v>
      </c>
      <c r="K70" s="38" t="s">
        <v>78</v>
      </c>
      <c r="L70" s="209">
        <f t="shared" si="25"/>
        <v>15.657076408783508</v>
      </c>
      <c r="M70" s="209">
        <f t="shared" si="25"/>
        <v>15.47576348819366</v>
      </c>
      <c r="N70" s="209">
        <f t="shared" si="25"/>
        <v>7.8738541770728903</v>
      </c>
      <c r="O70" s="210">
        <f t="shared" si="25"/>
        <v>2.3390744259197565</v>
      </c>
      <c r="Q70" s="213">
        <f t="shared" si="24"/>
        <v>41.345768499969815</v>
      </c>
    </row>
    <row r="71" spans="1:17" x14ac:dyDescent="0.3">
      <c r="K71" s="38" t="s">
        <v>88</v>
      </c>
      <c r="L71" s="211">
        <f t="shared" si="25"/>
        <v>0</v>
      </c>
      <c r="M71" s="211">
        <f t="shared" si="25"/>
        <v>16.647965495970467</v>
      </c>
      <c r="N71" s="211">
        <f t="shared" si="25"/>
        <v>0</v>
      </c>
      <c r="O71" s="212">
        <f t="shared" si="25"/>
        <v>0.5530550712329958</v>
      </c>
      <c r="Q71" s="213">
        <f t="shared" si="24"/>
        <v>17.201020567203464</v>
      </c>
    </row>
    <row r="74" spans="1:17" x14ac:dyDescent="0.3">
      <c r="K74" t="s">
        <v>288</v>
      </c>
      <c r="L74" s="215">
        <f>(N32+N33)*1.15+(N34*B70)*1.1+Q61-M61</f>
        <v>4.3234060748419054E-2</v>
      </c>
      <c r="M74" s="216">
        <v>0.10100000000000001</v>
      </c>
      <c r="N74" s="216">
        <v>0.126</v>
      </c>
      <c r="O74" s="217">
        <v>0.13600000000000001</v>
      </c>
    </row>
    <row r="75" spans="1:17" x14ac:dyDescent="0.3">
      <c r="K75" t="s">
        <v>289</v>
      </c>
      <c r="L75" s="211">
        <f>L74*1000</f>
        <v>43.234060748419054</v>
      </c>
      <c r="M75" s="218">
        <f t="shared" ref="M75:O75" si="26">M74*1000</f>
        <v>101</v>
      </c>
      <c r="N75" s="218">
        <f t="shared" si="26"/>
        <v>126</v>
      </c>
      <c r="O75" s="154">
        <f t="shared" si="26"/>
        <v>136</v>
      </c>
    </row>
    <row r="77" spans="1:17" x14ac:dyDescent="0.3">
      <c r="K77" t="s">
        <v>290</v>
      </c>
      <c r="L77" s="219">
        <f>Q61/L74</f>
        <v>0.62585265244931165</v>
      </c>
      <c r="M77" s="220">
        <f>Q62/M74</f>
        <v>0.44203501153089514</v>
      </c>
      <c r="N77" s="220">
        <f>Q63/N74</f>
        <v>0.56098390738141235</v>
      </c>
      <c r="O77" s="221">
        <f>Q64/O74</f>
        <v>0.52748367021880649</v>
      </c>
    </row>
    <row r="79" spans="1:17" x14ac:dyDescent="0.3">
      <c r="K79" s="40" t="s">
        <v>215</v>
      </c>
      <c r="L79" s="41">
        <v>4.1799049729693998E-6</v>
      </c>
      <c r="M79" s="41">
        <v>1.8712825415210933E-4</v>
      </c>
      <c r="N79" s="41">
        <v>6.0124968909737541E-6</v>
      </c>
      <c r="O79" s="42">
        <v>8.0505179233397224E-5</v>
      </c>
    </row>
    <row r="81" spans="11:16" x14ac:dyDescent="0.3">
      <c r="K81" s="105" t="s">
        <v>216</v>
      </c>
      <c r="L81" s="147">
        <f>L79*B37</f>
        <v>2.5197015912072739E-5</v>
      </c>
      <c r="M81" s="147">
        <f>M79*C37</f>
        <v>3.4316739708703634E-4</v>
      </c>
      <c r="N81" s="147">
        <f>N79*D37</f>
        <v>4.3453849154053387E-5</v>
      </c>
      <c r="O81" s="146">
        <f>O79*E37</f>
        <v>7.7173793755112342E-4</v>
      </c>
    </row>
    <row r="84" spans="11:16" x14ac:dyDescent="0.3">
      <c r="K84" s="168"/>
      <c r="L84" s="191" t="s">
        <v>76</v>
      </c>
      <c r="M84" s="191" t="s">
        <v>77</v>
      </c>
      <c r="N84" s="191" t="s">
        <v>78</v>
      </c>
      <c r="O84" s="191" t="s">
        <v>88</v>
      </c>
    </row>
    <row r="85" spans="11:16" x14ac:dyDescent="0.3">
      <c r="K85" s="192" t="s">
        <v>291</v>
      </c>
      <c r="L85" s="222">
        <f>(N43+N44)+(N45*B81)</f>
        <v>8.731891081980211E-7</v>
      </c>
      <c r="M85" s="167">
        <v>0.10100000000000001</v>
      </c>
      <c r="N85" s="167">
        <v>0.126</v>
      </c>
      <c r="O85" s="167">
        <v>0.13600000000000001</v>
      </c>
    </row>
    <row r="86" spans="11:16" x14ac:dyDescent="0.3">
      <c r="K86" s="192" t="s">
        <v>294</v>
      </c>
      <c r="L86" s="167">
        <v>2.7058151595552738E-2</v>
      </c>
      <c r="M86" s="167">
        <v>4.4645536164620414E-2</v>
      </c>
      <c r="N86" s="167">
        <v>7.0683972330057951E-2</v>
      </c>
      <c r="O86" s="167">
        <v>7.1737779149757694E-2</v>
      </c>
    </row>
    <row r="87" spans="11:16" x14ac:dyDescent="0.3">
      <c r="K87" s="192" t="s">
        <v>293</v>
      </c>
      <c r="L87" s="167">
        <v>4.3234060748419054E-2</v>
      </c>
      <c r="M87" s="167">
        <v>0.10100000000000001</v>
      </c>
      <c r="N87" s="167">
        <v>0.126</v>
      </c>
      <c r="O87" s="167">
        <v>0.13600000000000001</v>
      </c>
    </row>
    <row r="88" spans="11:16" x14ac:dyDescent="0.3">
      <c r="K88" s="192" t="s">
        <v>292</v>
      </c>
      <c r="L88" s="167">
        <v>0.62585265244931165</v>
      </c>
      <c r="M88" s="167">
        <v>0.44203501153089514</v>
      </c>
      <c r="N88" s="167">
        <v>0.56098390738141235</v>
      </c>
      <c r="O88" s="167">
        <v>0.52748367021880649</v>
      </c>
    </row>
    <row r="94" spans="11:16" x14ac:dyDescent="0.3">
      <c r="K94" t="s">
        <v>285</v>
      </c>
    </row>
    <row r="95" spans="11:16" ht="57.6" x14ac:dyDescent="0.3">
      <c r="K95" s="168"/>
      <c r="L95" s="170" t="s">
        <v>178</v>
      </c>
      <c r="M95" s="170" t="s">
        <v>2</v>
      </c>
      <c r="N95" s="170" t="s">
        <v>3</v>
      </c>
      <c r="O95" s="170" t="s">
        <v>4</v>
      </c>
      <c r="P95" s="170" t="s">
        <v>295</v>
      </c>
    </row>
    <row r="96" spans="11:16" x14ac:dyDescent="0.3">
      <c r="K96" s="199" t="s">
        <v>76</v>
      </c>
      <c r="L96" s="198">
        <f t="shared" ref="L96:O99" si="27">L68</f>
        <v>8.5374011092595268</v>
      </c>
      <c r="M96" s="198">
        <f t="shared" si="27"/>
        <v>5.6707409980594425</v>
      </c>
      <c r="N96" s="198">
        <f t="shared" si="27"/>
        <v>2.5196333366633246</v>
      </c>
      <c r="O96" s="198">
        <f t="shared" si="27"/>
        <v>3.685416533604986</v>
      </c>
      <c r="P96" s="198">
        <f>SUM(L96:O96)</f>
        <v>20.413191977587282</v>
      </c>
    </row>
    <row r="97" spans="11:16" x14ac:dyDescent="0.3">
      <c r="K97" s="199" t="s">
        <v>77</v>
      </c>
      <c r="L97" s="198">
        <f t="shared" si="27"/>
        <v>33.860339285298451</v>
      </c>
      <c r="M97" s="198">
        <f t="shared" si="27"/>
        <v>7.9347499420479481</v>
      </c>
      <c r="N97" s="198">
        <f t="shared" si="27"/>
        <v>0</v>
      </c>
      <c r="O97" s="198">
        <f t="shared" si="27"/>
        <v>18.118718121126783</v>
      </c>
      <c r="P97" s="198">
        <f t="shared" ref="P97:P99" si="28">SUM(L97:O97)</f>
        <v>59.913807348473185</v>
      </c>
    </row>
    <row r="98" spans="11:16" x14ac:dyDescent="0.3">
      <c r="K98" s="199" t="s">
        <v>78</v>
      </c>
      <c r="L98" s="198">
        <f t="shared" si="27"/>
        <v>15.657076408783508</v>
      </c>
      <c r="M98" s="198">
        <f t="shared" si="27"/>
        <v>15.47576348819366</v>
      </c>
      <c r="N98" s="198">
        <f t="shared" si="27"/>
        <v>7.8738541770728903</v>
      </c>
      <c r="O98" s="198">
        <f t="shared" si="27"/>
        <v>2.3390744259197565</v>
      </c>
      <c r="P98" s="198">
        <f t="shared" si="28"/>
        <v>41.345768499969815</v>
      </c>
    </row>
    <row r="99" spans="11:16" x14ac:dyDescent="0.3">
      <c r="K99" s="199" t="s">
        <v>88</v>
      </c>
      <c r="L99" s="198">
        <f t="shared" si="27"/>
        <v>0</v>
      </c>
      <c r="M99" s="198">
        <f t="shared" si="27"/>
        <v>16.647965495970467</v>
      </c>
      <c r="N99" s="198">
        <f t="shared" si="27"/>
        <v>0</v>
      </c>
      <c r="O99" s="198">
        <f t="shared" si="27"/>
        <v>0.5530550712329958</v>
      </c>
      <c r="P99" s="198">
        <f t="shared" si="28"/>
        <v>17.201020567203464</v>
      </c>
    </row>
  </sheetData>
  <mergeCells count="4">
    <mergeCell ref="L7:R7"/>
    <mergeCell ref="S7:X7"/>
    <mergeCell ref="Y7:AD7"/>
    <mergeCell ref="AE7:AH7"/>
  </mergeCells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6"/>
  <sheetViews>
    <sheetView workbookViewId="0">
      <selection activeCell="B17" sqref="B17"/>
    </sheetView>
  </sheetViews>
  <sheetFormatPr defaultColWidth="9.109375" defaultRowHeight="13.8" x14ac:dyDescent="0.25"/>
  <cols>
    <col min="1" max="1" width="2.88671875" style="1" customWidth="1"/>
    <col min="2" max="2" width="40.33203125" style="1" customWidth="1"/>
    <col min="3" max="9" width="14" style="1" customWidth="1"/>
    <col min="10" max="16384" width="9.109375" style="1"/>
  </cols>
  <sheetData>
    <row r="1" spans="1:26" ht="14.4" thickBot="1" x14ac:dyDescent="0.3">
      <c r="A1" s="2"/>
      <c r="B1" s="106" t="s">
        <v>13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8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"/>
      <c r="B2" s="109" t="s">
        <v>0</v>
      </c>
      <c r="C2" s="3">
        <v>1</v>
      </c>
      <c r="D2" s="3">
        <v>2</v>
      </c>
      <c r="E2" s="3">
        <v>3</v>
      </c>
      <c r="F2" s="3">
        <v>4</v>
      </c>
      <c r="G2" s="3" t="s">
        <v>5</v>
      </c>
      <c r="H2" s="3" t="s">
        <v>11</v>
      </c>
      <c r="I2" s="3" t="s">
        <v>12</v>
      </c>
      <c r="J2" s="110"/>
      <c r="K2" s="110"/>
      <c r="L2" s="110"/>
      <c r="M2" s="110"/>
      <c r="N2" s="110"/>
      <c r="O2" s="111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112" t="s">
        <v>1</v>
      </c>
      <c r="C3" s="4">
        <v>1188</v>
      </c>
      <c r="D3" s="5">
        <v>85</v>
      </c>
      <c r="E3" s="5">
        <v>523</v>
      </c>
      <c r="F3" s="4">
        <v>2560</v>
      </c>
      <c r="G3" s="16">
        <f>SUM(C3:F3)</f>
        <v>4356</v>
      </c>
      <c r="H3" s="4">
        <v>10574</v>
      </c>
      <c r="I3" s="16">
        <f>G3+H3</f>
        <v>14930</v>
      </c>
      <c r="J3" s="110"/>
      <c r="K3" s="110"/>
      <c r="L3" s="110"/>
      <c r="M3" s="110"/>
      <c r="N3" s="110"/>
      <c r="O3" s="111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112" t="s">
        <v>2</v>
      </c>
      <c r="C4" s="5">
        <v>110</v>
      </c>
      <c r="D4" s="4">
        <v>4741</v>
      </c>
      <c r="E4" s="5">
        <v>93</v>
      </c>
      <c r="F4" s="4">
        <v>7666</v>
      </c>
      <c r="G4" s="16">
        <f t="shared" ref="G4:G10" si="0">SUM(C4:F4)</f>
        <v>12610</v>
      </c>
      <c r="H4" s="4">
        <v>7566</v>
      </c>
      <c r="I4" s="16">
        <f t="shared" ref="I4:I7" si="1">G4+H4</f>
        <v>20176</v>
      </c>
      <c r="J4" s="110"/>
      <c r="K4" s="110"/>
      <c r="L4" s="110"/>
      <c r="M4" s="110"/>
      <c r="N4" s="110"/>
      <c r="O4" s="111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112" t="s">
        <v>3</v>
      </c>
      <c r="C5" s="5">
        <v>36</v>
      </c>
      <c r="D5" s="5">
        <v>167</v>
      </c>
      <c r="E5" s="4">
        <v>13279</v>
      </c>
      <c r="F5" s="4">
        <v>10167</v>
      </c>
      <c r="G5" s="16">
        <f t="shared" si="0"/>
        <v>23649</v>
      </c>
      <c r="H5" s="4">
        <v>35848</v>
      </c>
      <c r="I5" s="16">
        <f t="shared" si="1"/>
        <v>59497</v>
      </c>
      <c r="J5" s="110"/>
      <c r="K5" s="110"/>
      <c r="L5" s="110"/>
      <c r="M5" s="110"/>
      <c r="N5" s="110"/>
      <c r="O5" s="111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112" t="s">
        <v>4</v>
      </c>
      <c r="C6" s="4">
        <v>3552</v>
      </c>
      <c r="D6" s="4">
        <v>5730</v>
      </c>
      <c r="E6" s="4">
        <v>13479</v>
      </c>
      <c r="F6" s="4">
        <v>182348</v>
      </c>
      <c r="G6" s="16">
        <f t="shared" si="0"/>
        <v>205109</v>
      </c>
      <c r="H6" s="4">
        <v>465126</v>
      </c>
      <c r="I6" s="16">
        <f t="shared" si="1"/>
        <v>670235</v>
      </c>
      <c r="J6" s="110"/>
      <c r="K6" s="110"/>
      <c r="L6" s="110"/>
      <c r="M6" s="110"/>
      <c r="N6" s="110"/>
      <c r="O6" s="111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112" t="s">
        <v>5</v>
      </c>
      <c r="C7" s="4">
        <v>4886</v>
      </c>
      <c r="D7" s="4">
        <v>10723</v>
      </c>
      <c r="E7" s="4">
        <v>27374</v>
      </c>
      <c r="F7" s="4">
        <v>202741</v>
      </c>
      <c r="G7" s="16">
        <f t="shared" si="0"/>
        <v>245724</v>
      </c>
      <c r="H7" s="16">
        <f>SUM(H3:H6)</f>
        <v>519114</v>
      </c>
      <c r="I7" s="16">
        <f t="shared" si="1"/>
        <v>764838</v>
      </c>
      <c r="J7" s="110"/>
      <c r="K7" s="110"/>
      <c r="L7" s="110"/>
      <c r="M7" s="110"/>
      <c r="N7" s="110"/>
      <c r="O7" s="111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112" t="s">
        <v>6</v>
      </c>
      <c r="C8" s="4">
        <v>5339</v>
      </c>
      <c r="D8" s="4">
        <v>1960</v>
      </c>
      <c r="E8" s="4">
        <v>11066</v>
      </c>
      <c r="F8" s="4">
        <v>124900</v>
      </c>
      <c r="G8" s="16">
        <f t="shared" si="0"/>
        <v>143265</v>
      </c>
      <c r="H8" s="6"/>
      <c r="I8" s="7"/>
      <c r="J8" s="110"/>
      <c r="K8" s="110"/>
      <c r="L8" s="110"/>
      <c r="M8" s="110"/>
      <c r="N8" s="110"/>
      <c r="O8" s="111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112" t="s">
        <v>7</v>
      </c>
      <c r="C9" s="16">
        <f>C10-C7-C8</f>
        <v>4705</v>
      </c>
      <c r="D9" s="16">
        <f t="shared" ref="D9:F9" si="2">D10-D7-D8</f>
        <v>7493</v>
      </c>
      <c r="E9" s="16">
        <f t="shared" si="2"/>
        <v>21057</v>
      </c>
      <c r="F9" s="16">
        <f t="shared" si="2"/>
        <v>342594</v>
      </c>
      <c r="G9" s="16">
        <f t="shared" si="0"/>
        <v>375849</v>
      </c>
      <c r="H9" s="8"/>
      <c r="I9" s="9"/>
      <c r="J9" s="110"/>
      <c r="K9" s="110"/>
      <c r="L9" s="110"/>
      <c r="M9" s="110"/>
      <c r="N9" s="110"/>
      <c r="O9" s="111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112" t="s">
        <v>8</v>
      </c>
      <c r="C10" s="16">
        <f t="array" ref="C10:F10">TRANSPOSE(TotCol)</f>
        <v>14930</v>
      </c>
      <c r="D10" s="16">
        <v>20176</v>
      </c>
      <c r="E10" s="16">
        <v>59497</v>
      </c>
      <c r="F10" s="16">
        <v>670235</v>
      </c>
      <c r="G10" s="16">
        <f t="shared" si="0"/>
        <v>764838</v>
      </c>
      <c r="H10" s="8"/>
      <c r="I10" s="9"/>
      <c r="J10" s="110"/>
      <c r="K10" s="110"/>
      <c r="L10" s="110"/>
      <c r="M10" s="110"/>
      <c r="N10" s="110"/>
      <c r="O10" s="11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113"/>
      <c r="C11" s="10"/>
      <c r="D11" s="10"/>
      <c r="E11" s="10"/>
      <c r="F11" s="10"/>
      <c r="G11" s="10"/>
      <c r="H11" s="11"/>
      <c r="I11" s="11"/>
      <c r="J11" s="110"/>
      <c r="K11" s="110"/>
      <c r="L11" s="110"/>
      <c r="M11" s="110"/>
      <c r="N11" s="110"/>
      <c r="O11" s="11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5">
      <c r="A12" s="2"/>
      <c r="B12" s="113"/>
      <c r="C12" s="10"/>
      <c r="D12" s="10"/>
      <c r="E12" s="10"/>
      <c r="F12" s="10"/>
      <c r="G12" s="10"/>
      <c r="H12" s="11"/>
      <c r="I12" s="11"/>
      <c r="J12" s="110"/>
      <c r="K12" s="110"/>
      <c r="L12" s="110"/>
      <c r="M12" s="110"/>
      <c r="N12" s="110"/>
      <c r="O12" s="11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5">
      <c r="A13" s="2"/>
      <c r="B13" s="113"/>
      <c r="C13" s="10"/>
      <c r="D13" s="10"/>
      <c r="E13" s="10"/>
      <c r="F13" s="10"/>
      <c r="G13" s="10"/>
      <c r="H13" s="11"/>
      <c r="I13" s="11"/>
      <c r="J13" s="110"/>
      <c r="K13" s="110"/>
      <c r="L13" s="110"/>
      <c r="M13" s="110"/>
      <c r="N13" s="110"/>
      <c r="O13" s="111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25">
      <c r="A14" s="2"/>
      <c r="B14" s="113"/>
      <c r="C14" s="10"/>
      <c r="D14" s="10"/>
      <c r="E14" s="10"/>
      <c r="F14" s="10"/>
      <c r="G14" s="10"/>
      <c r="H14" s="11"/>
      <c r="I14" s="11"/>
      <c r="J14" s="110"/>
      <c r="K14" s="110"/>
      <c r="L14" s="110"/>
      <c r="M14" s="110"/>
      <c r="N14" s="110"/>
      <c r="O14" s="11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5">
      <c r="A15" s="2"/>
      <c r="B15" s="113"/>
      <c r="C15" s="10"/>
      <c r="D15" s="10"/>
      <c r="E15" s="10"/>
      <c r="F15" s="10"/>
      <c r="G15" s="10"/>
      <c r="H15" s="11"/>
      <c r="I15" s="11"/>
      <c r="J15" s="110"/>
      <c r="K15" s="110"/>
      <c r="L15" s="110"/>
      <c r="M15" s="110"/>
      <c r="N15" s="110"/>
      <c r="O15" s="11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25">
      <c r="A16" s="2"/>
      <c r="B16" s="113"/>
      <c r="C16" s="10"/>
      <c r="D16" s="10"/>
      <c r="E16" s="10"/>
      <c r="F16" s="10"/>
      <c r="G16" s="10"/>
      <c r="H16" s="11"/>
      <c r="I16" s="11"/>
      <c r="J16" s="110"/>
      <c r="K16" s="110"/>
      <c r="L16" s="110"/>
      <c r="M16" s="110"/>
      <c r="N16" s="110"/>
      <c r="O16" s="111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25">
      <c r="A17" s="2"/>
      <c r="B17" s="113"/>
      <c r="C17" s="10"/>
      <c r="D17" s="10"/>
      <c r="E17" s="10"/>
      <c r="F17" s="10"/>
      <c r="G17" s="10"/>
      <c r="H17" s="11"/>
      <c r="I17" s="11"/>
      <c r="J17" s="110"/>
      <c r="K17" s="110"/>
      <c r="L17" s="110"/>
      <c r="M17" s="110"/>
      <c r="N17" s="110"/>
      <c r="O17" s="111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25">
      <c r="A18" s="2"/>
      <c r="B18" s="113"/>
      <c r="C18" s="10"/>
      <c r="D18" s="10"/>
      <c r="E18" s="10"/>
      <c r="F18" s="10"/>
      <c r="G18" s="10"/>
      <c r="H18" s="11"/>
      <c r="I18" s="11"/>
      <c r="J18" s="110"/>
      <c r="K18" s="110"/>
      <c r="L18" s="110"/>
      <c r="M18" s="110"/>
      <c r="N18" s="110"/>
      <c r="O18" s="111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25">
      <c r="A19" s="2"/>
      <c r="B19" s="113"/>
      <c r="C19" s="10"/>
      <c r="D19" s="10"/>
      <c r="E19" s="10"/>
      <c r="F19" s="10"/>
      <c r="G19" s="10"/>
      <c r="H19" s="11"/>
      <c r="I19" s="11"/>
      <c r="J19" s="110"/>
      <c r="K19" s="110"/>
      <c r="L19" s="110"/>
      <c r="M19" s="110"/>
      <c r="N19" s="110"/>
      <c r="O19" s="111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x14ac:dyDescent="0.25">
      <c r="A20" s="2"/>
      <c r="B20" s="113"/>
      <c r="C20" s="10"/>
      <c r="D20" s="10"/>
      <c r="E20" s="10"/>
      <c r="F20" s="10"/>
      <c r="G20" s="10"/>
      <c r="H20" s="11"/>
      <c r="I20" s="11"/>
      <c r="J20" s="110"/>
      <c r="K20" s="110"/>
      <c r="L20" s="110"/>
      <c r="M20" s="110"/>
      <c r="N20" s="110"/>
      <c r="O20" s="11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25">
      <c r="A21" s="2"/>
      <c r="B21" s="113"/>
      <c r="C21" s="10"/>
      <c r="D21" s="10"/>
      <c r="E21" s="10"/>
      <c r="F21" s="10"/>
      <c r="G21" s="10"/>
      <c r="H21" s="11"/>
      <c r="I21" s="11"/>
      <c r="J21" s="110"/>
      <c r="K21" s="110"/>
      <c r="L21" s="110"/>
      <c r="M21" s="110"/>
      <c r="N21" s="110"/>
      <c r="O21" s="11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 x14ac:dyDescent="0.25">
      <c r="A22" s="2"/>
      <c r="B22" s="113"/>
      <c r="C22" s="10"/>
      <c r="D22" s="10"/>
      <c r="E22" s="10"/>
      <c r="F22" s="10"/>
      <c r="G22" s="10"/>
      <c r="H22" s="11"/>
      <c r="I22" s="11"/>
      <c r="J22" s="110"/>
      <c r="K22" s="110"/>
      <c r="L22" s="110"/>
      <c r="M22" s="110"/>
      <c r="N22" s="110"/>
      <c r="O22" s="1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112" t="s">
        <v>9</v>
      </c>
      <c r="C23" s="5">
        <v>90</v>
      </c>
      <c r="D23" s="5">
        <v>37</v>
      </c>
      <c r="E23" s="5">
        <v>430</v>
      </c>
      <c r="F23" s="4">
        <v>6425</v>
      </c>
      <c r="G23" s="16">
        <f>SUM(C23:F23)</f>
        <v>6982</v>
      </c>
      <c r="H23" s="12"/>
      <c r="I23" s="11"/>
      <c r="J23" s="110"/>
      <c r="K23" s="110"/>
      <c r="L23" s="110"/>
      <c r="M23" s="110"/>
      <c r="N23" s="110"/>
      <c r="O23" s="111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4" thickBot="1" x14ac:dyDescent="0.3">
      <c r="A24" s="2"/>
      <c r="B24" s="114" t="s">
        <v>10</v>
      </c>
      <c r="C24" s="13">
        <v>10</v>
      </c>
      <c r="D24" s="13">
        <v>489</v>
      </c>
      <c r="E24" s="13">
        <v>8</v>
      </c>
      <c r="F24" s="13">
        <v>1335</v>
      </c>
      <c r="G24" s="17">
        <f>SUM(C24:F24)</f>
        <v>1842</v>
      </c>
      <c r="H24" s="14"/>
      <c r="I24" s="15"/>
      <c r="J24" s="110"/>
      <c r="K24" s="110"/>
      <c r="L24" s="110"/>
      <c r="M24" s="110"/>
      <c r="N24" s="110"/>
      <c r="O24" s="11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115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1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115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1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115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1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115"/>
      <c r="C28" s="110"/>
      <c r="D28" s="110"/>
      <c r="E28" s="110"/>
      <c r="F28" s="110"/>
      <c r="G28" s="116"/>
      <c r="H28" s="110"/>
      <c r="I28" s="110"/>
      <c r="J28" s="110"/>
      <c r="K28" s="110"/>
      <c r="L28" s="110"/>
      <c r="M28" s="110"/>
      <c r="N28" s="110"/>
      <c r="O28" s="111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115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1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115"/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1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115"/>
      <c r="C31" s="120"/>
      <c r="D31" s="121"/>
      <c r="E31" s="122"/>
      <c r="F31" s="110"/>
      <c r="G31" s="110"/>
      <c r="H31" s="110"/>
      <c r="I31" s="110"/>
      <c r="J31" s="110"/>
      <c r="K31" s="110"/>
      <c r="L31" s="110"/>
      <c r="M31" s="110"/>
      <c r="N31" s="110"/>
      <c r="O31" s="111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115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1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115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1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115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1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115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1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115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1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115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1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115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1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115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1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115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1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115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1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115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1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115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1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115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1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115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1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115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1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115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1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115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1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115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1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115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1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115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1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115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1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115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1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115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1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115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1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115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1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115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1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115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1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115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1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115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1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115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1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115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1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115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1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115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1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115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1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115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1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115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1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117"/>
      <c r="C68" s="118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9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54AE-C30C-4984-BE96-7FA37B4938BA}">
  <dimension ref="A1:I29"/>
  <sheetViews>
    <sheetView topLeftCell="A13" workbookViewId="0">
      <selection activeCell="A24" sqref="A24:B29"/>
    </sheetView>
  </sheetViews>
  <sheetFormatPr defaultRowHeight="14.4" x14ac:dyDescent="0.3"/>
  <cols>
    <col min="1" max="1" width="34.109375" bestFit="1" customWidth="1"/>
    <col min="2" max="2" width="7.6640625" customWidth="1"/>
    <col min="3" max="4" width="6.44140625" bestFit="1" customWidth="1"/>
    <col min="5" max="5" width="7.44140625" bestFit="1" customWidth="1"/>
    <col min="6" max="6" width="12.88671875" bestFit="1" customWidth="1"/>
    <col min="7" max="7" width="10" bestFit="1" customWidth="1"/>
    <col min="8" max="8" width="7.44140625" bestFit="1" customWidth="1"/>
  </cols>
  <sheetData>
    <row r="1" spans="1:9" x14ac:dyDescent="0.3">
      <c r="A1" s="123" t="s">
        <v>217</v>
      </c>
      <c r="B1" s="123"/>
      <c r="C1" s="123"/>
      <c r="D1" s="123"/>
      <c r="E1" s="123"/>
      <c r="F1" s="123"/>
      <c r="G1" s="123"/>
      <c r="H1" s="123"/>
      <c r="I1" s="124"/>
    </row>
    <row r="2" spans="1:9" x14ac:dyDescent="0.3">
      <c r="A2" s="125" t="s">
        <v>0</v>
      </c>
      <c r="B2" s="126">
        <v>1</v>
      </c>
      <c r="C2" s="126">
        <v>2</v>
      </c>
      <c r="D2" s="126">
        <v>3</v>
      </c>
      <c r="E2" s="126">
        <v>4</v>
      </c>
      <c r="F2" s="126" t="s">
        <v>5</v>
      </c>
      <c r="G2" s="126" t="s">
        <v>11</v>
      </c>
      <c r="H2" s="126" t="s">
        <v>12</v>
      </c>
      <c r="I2" s="124"/>
    </row>
    <row r="3" spans="1:9" ht="28.8" x14ac:dyDescent="0.3">
      <c r="A3" s="127" t="s">
        <v>1</v>
      </c>
      <c r="B3" s="128">
        <v>1188</v>
      </c>
      <c r="C3" s="129">
        <v>85</v>
      </c>
      <c r="D3" s="129">
        <v>523</v>
      </c>
      <c r="E3" s="128">
        <v>2560</v>
      </c>
      <c r="F3" s="130">
        <f>SUM(B3:E3)</f>
        <v>4356</v>
      </c>
      <c r="G3" s="128">
        <v>10574</v>
      </c>
      <c r="H3" s="130">
        <f>F3+G3</f>
        <v>14930</v>
      </c>
      <c r="I3" s="124"/>
    </row>
    <row r="4" spans="1:9" x14ac:dyDescent="0.3">
      <c r="A4" s="127" t="s">
        <v>2</v>
      </c>
      <c r="B4" s="129">
        <v>110</v>
      </c>
      <c r="C4" s="128">
        <v>4741</v>
      </c>
      <c r="D4" s="129">
        <v>93</v>
      </c>
      <c r="E4" s="128">
        <v>7666</v>
      </c>
      <c r="F4" s="130">
        <f t="shared" ref="F4:F10" si="0">SUM(B4:E4)</f>
        <v>12610</v>
      </c>
      <c r="G4" s="128">
        <v>7566</v>
      </c>
      <c r="H4" s="130">
        <f t="shared" ref="H4:H7" si="1">F4+G4</f>
        <v>20176</v>
      </c>
      <c r="I4" s="124"/>
    </row>
    <row r="5" spans="1:9" x14ac:dyDescent="0.3">
      <c r="A5" s="127" t="s">
        <v>3</v>
      </c>
      <c r="B5" s="129">
        <v>36</v>
      </c>
      <c r="C5" s="129">
        <v>167</v>
      </c>
      <c r="D5" s="128">
        <v>13279</v>
      </c>
      <c r="E5" s="128">
        <v>10167</v>
      </c>
      <c r="F5" s="130">
        <f t="shared" si="0"/>
        <v>23649</v>
      </c>
      <c r="G5" s="128">
        <v>35848</v>
      </c>
      <c r="H5" s="130">
        <f t="shared" si="1"/>
        <v>59497</v>
      </c>
      <c r="I5" s="124"/>
    </row>
    <row r="6" spans="1:9" x14ac:dyDescent="0.3">
      <c r="A6" s="127" t="s">
        <v>4</v>
      </c>
      <c r="B6" s="128">
        <v>3552</v>
      </c>
      <c r="C6" s="128">
        <v>5730</v>
      </c>
      <c r="D6" s="128">
        <v>13479</v>
      </c>
      <c r="E6" s="128">
        <v>182348</v>
      </c>
      <c r="F6" s="130">
        <f t="shared" si="0"/>
        <v>205109</v>
      </c>
      <c r="G6" s="128">
        <v>465126</v>
      </c>
      <c r="H6" s="130">
        <f t="shared" si="1"/>
        <v>670235</v>
      </c>
      <c r="I6" s="124"/>
    </row>
    <row r="7" spans="1:9" x14ac:dyDescent="0.3">
      <c r="A7" s="127" t="s">
        <v>5</v>
      </c>
      <c r="B7" s="128">
        <v>4886</v>
      </c>
      <c r="C7" s="128">
        <v>10723</v>
      </c>
      <c r="D7" s="128">
        <v>27374</v>
      </c>
      <c r="E7" s="128">
        <v>202741</v>
      </c>
      <c r="F7" s="130">
        <f t="shared" si="0"/>
        <v>245724</v>
      </c>
      <c r="G7" s="130">
        <f>SUM(G3:G6)</f>
        <v>519114</v>
      </c>
      <c r="H7" s="130">
        <f t="shared" si="1"/>
        <v>764838</v>
      </c>
      <c r="I7" s="124"/>
    </row>
    <row r="8" spans="1:9" x14ac:dyDescent="0.3">
      <c r="A8" s="127" t="s">
        <v>6</v>
      </c>
      <c r="B8" s="128">
        <v>5339</v>
      </c>
      <c r="C8" s="128">
        <v>1960</v>
      </c>
      <c r="D8" s="128">
        <v>11066</v>
      </c>
      <c r="E8" s="128">
        <v>124900</v>
      </c>
      <c r="F8" s="130">
        <f t="shared" si="0"/>
        <v>143265</v>
      </c>
      <c r="G8" s="131"/>
      <c r="H8" s="132"/>
      <c r="I8" s="124"/>
    </row>
    <row r="9" spans="1:9" x14ac:dyDescent="0.3">
      <c r="A9" s="127" t="s">
        <v>7</v>
      </c>
      <c r="B9" s="130">
        <f>B10-B7-B8</f>
        <v>4705</v>
      </c>
      <c r="C9" s="130">
        <f t="shared" ref="C9:E9" si="2">C10-C7-C8</f>
        <v>7493</v>
      </c>
      <c r="D9" s="130">
        <f t="shared" si="2"/>
        <v>21057</v>
      </c>
      <c r="E9" s="130">
        <f t="shared" si="2"/>
        <v>342594</v>
      </c>
      <c r="F9" s="130">
        <f t="shared" si="0"/>
        <v>375849</v>
      </c>
      <c r="G9" s="133"/>
      <c r="H9" s="134"/>
      <c r="I9" s="124"/>
    </row>
    <row r="10" spans="1:9" x14ac:dyDescent="0.3">
      <c r="A10" s="127" t="s">
        <v>8</v>
      </c>
      <c r="B10" s="130">
        <f t="array" ref="B10:E10">TRANSPOSE(TotCol)</f>
        <v>14930</v>
      </c>
      <c r="C10" s="130">
        <v>20176</v>
      </c>
      <c r="D10" s="130">
        <v>59497</v>
      </c>
      <c r="E10" s="130">
        <v>670235</v>
      </c>
      <c r="F10" s="130">
        <f t="shared" si="0"/>
        <v>764838</v>
      </c>
      <c r="G10" s="135"/>
      <c r="H10" s="136"/>
      <c r="I10" s="124"/>
    </row>
    <row r="11" spans="1:9" x14ac:dyDescent="0.3">
      <c r="A11" s="137"/>
      <c r="B11" s="137"/>
      <c r="C11" s="137"/>
      <c r="D11" s="137"/>
      <c r="E11" s="137"/>
      <c r="F11" s="137"/>
      <c r="G11" s="138"/>
      <c r="H11" s="138"/>
      <c r="I11" s="124"/>
    </row>
    <row r="12" spans="1:9" x14ac:dyDescent="0.3">
      <c r="A12" s="127" t="s">
        <v>9</v>
      </c>
      <c r="B12" s="129">
        <v>90</v>
      </c>
      <c r="C12" s="129">
        <v>37</v>
      </c>
      <c r="D12" s="129">
        <v>430</v>
      </c>
      <c r="E12" s="128">
        <v>6425</v>
      </c>
      <c r="F12" s="130">
        <f>SUM(B12:E12)</f>
        <v>6982</v>
      </c>
      <c r="G12" s="139"/>
      <c r="H12" s="140"/>
      <c r="I12" s="124"/>
    </row>
    <row r="13" spans="1:9" x14ac:dyDescent="0.3">
      <c r="A13" s="127" t="s">
        <v>10</v>
      </c>
      <c r="B13" s="129">
        <v>10</v>
      </c>
      <c r="C13" s="129">
        <v>489</v>
      </c>
      <c r="D13" s="129">
        <v>8</v>
      </c>
      <c r="E13" s="129">
        <v>1335</v>
      </c>
      <c r="F13" s="141">
        <f>SUM(B13:E13)</f>
        <v>1842</v>
      </c>
      <c r="G13" s="142"/>
      <c r="H13" s="143"/>
      <c r="I13" s="124"/>
    </row>
    <row r="14" spans="1:9" x14ac:dyDescent="0.3">
      <c r="A14" s="124"/>
      <c r="B14" s="124"/>
      <c r="C14" s="124"/>
      <c r="D14" s="124"/>
      <c r="E14" s="124"/>
      <c r="F14" s="124"/>
      <c r="G14" s="124"/>
      <c r="H14" s="124"/>
      <c r="I14" s="124"/>
    </row>
    <row r="15" spans="1:9" x14ac:dyDescent="0.3">
      <c r="A15" s="137" t="s">
        <v>218</v>
      </c>
      <c r="B15" s="124"/>
      <c r="C15" s="124"/>
      <c r="D15" s="124"/>
      <c r="E15" s="124"/>
      <c r="F15" s="124"/>
      <c r="G15" s="124"/>
      <c r="H15" s="124"/>
      <c r="I15" s="124"/>
    </row>
    <row r="16" spans="1:9" x14ac:dyDescent="0.3">
      <c r="A16" s="137" t="s">
        <v>219</v>
      </c>
      <c r="B16" s="124"/>
      <c r="C16" s="124"/>
      <c r="D16" s="124"/>
      <c r="E16" s="124"/>
      <c r="F16" s="124"/>
      <c r="G16" s="124"/>
      <c r="H16" s="124"/>
      <c r="I16" s="124"/>
    </row>
    <row r="17" spans="1:2" x14ac:dyDescent="0.3">
      <c r="A17" s="137" t="s">
        <v>166</v>
      </c>
    </row>
    <row r="18" spans="1:2" x14ac:dyDescent="0.3">
      <c r="A18" s="137" t="s">
        <v>221</v>
      </c>
    </row>
    <row r="19" spans="1:2" x14ac:dyDescent="0.3">
      <c r="A19" s="137" t="s">
        <v>222</v>
      </c>
    </row>
    <row r="20" spans="1:2" x14ac:dyDescent="0.3">
      <c r="A20" s="137" t="s">
        <v>223</v>
      </c>
    </row>
    <row r="24" spans="1:2" x14ac:dyDescent="0.3">
      <c r="A24" s="185" t="s">
        <v>302</v>
      </c>
      <c r="B24" s="185" t="s">
        <v>303</v>
      </c>
    </row>
    <row r="25" spans="1:2" x14ac:dyDescent="0.3">
      <c r="A25" s="152" t="s">
        <v>219</v>
      </c>
      <c r="B25" s="152">
        <v>40</v>
      </c>
    </row>
    <row r="26" spans="1:2" x14ac:dyDescent="0.3">
      <c r="A26" s="152" t="s">
        <v>166</v>
      </c>
      <c r="B26" s="152">
        <v>30</v>
      </c>
    </row>
    <row r="27" spans="1:2" x14ac:dyDescent="0.3">
      <c r="A27" s="152" t="s">
        <v>304</v>
      </c>
      <c r="B27" s="152">
        <v>15</v>
      </c>
    </row>
    <row r="28" spans="1:2" x14ac:dyDescent="0.3">
      <c r="A28" s="152" t="s">
        <v>305</v>
      </c>
      <c r="B28" s="152">
        <v>10</v>
      </c>
    </row>
    <row r="29" spans="1:2" x14ac:dyDescent="0.3">
      <c r="A29" s="152" t="s">
        <v>306</v>
      </c>
      <c r="B29" s="152">
        <v>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85E4-30CF-4366-9E13-3D35F909F478}">
  <dimension ref="A4:E9"/>
  <sheetViews>
    <sheetView workbookViewId="0">
      <selection activeCell="C4" sqref="C4:E9"/>
    </sheetView>
  </sheetViews>
  <sheetFormatPr defaultRowHeight="14.4" x14ac:dyDescent="0.3"/>
  <cols>
    <col min="1" max="1" width="34.109375" bestFit="1" customWidth="1"/>
    <col min="3" max="5" width="9.88671875" customWidth="1"/>
  </cols>
  <sheetData>
    <row r="4" spans="1:5" x14ac:dyDescent="0.3">
      <c r="A4" s="185" t="s">
        <v>302</v>
      </c>
      <c r="B4" s="185" t="s">
        <v>303</v>
      </c>
      <c r="C4" s="185" t="s">
        <v>76</v>
      </c>
      <c r="D4" s="185" t="s">
        <v>77</v>
      </c>
      <c r="E4" s="185" t="s">
        <v>78</v>
      </c>
    </row>
    <row r="5" spans="1:5" x14ac:dyDescent="0.3">
      <c r="A5" s="152" t="s">
        <v>219</v>
      </c>
      <c r="B5" s="152">
        <v>40</v>
      </c>
      <c r="C5" s="152">
        <v>6455.13</v>
      </c>
      <c r="D5" s="152">
        <v>3432.19</v>
      </c>
      <c r="E5" s="152">
        <v>-10.72</v>
      </c>
    </row>
    <row r="6" spans="1:5" x14ac:dyDescent="0.3">
      <c r="A6" s="152" t="s">
        <v>166</v>
      </c>
      <c r="B6" s="152">
        <v>30</v>
      </c>
      <c r="C6" s="152">
        <v>1581.29</v>
      </c>
      <c r="D6" s="152">
        <v>2150.6999999999998</v>
      </c>
      <c r="E6" s="152">
        <v>3089.61</v>
      </c>
    </row>
    <row r="7" spans="1:5" x14ac:dyDescent="0.3">
      <c r="A7" s="152" t="s">
        <v>304</v>
      </c>
      <c r="B7" s="152">
        <v>15</v>
      </c>
      <c r="C7" s="152">
        <v>20.41</v>
      </c>
      <c r="D7" s="152">
        <v>59.91</v>
      </c>
      <c r="E7" s="152">
        <v>41.35</v>
      </c>
    </row>
    <row r="8" spans="1:5" x14ac:dyDescent="0.3">
      <c r="A8" s="152" t="s">
        <v>305</v>
      </c>
      <c r="B8" s="152">
        <v>10</v>
      </c>
      <c r="C8" s="152">
        <v>2.7E-2</v>
      </c>
      <c r="D8" s="152">
        <v>4.4999999999999998E-2</v>
      </c>
      <c r="E8" s="152">
        <v>7.0999999999999994E-2</v>
      </c>
    </row>
    <row r="9" spans="1:5" x14ac:dyDescent="0.3">
      <c r="A9" s="152" t="s">
        <v>306</v>
      </c>
      <c r="B9" s="152">
        <v>5</v>
      </c>
      <c r="C9" s="152">
        <v>2</v>
      </c>
      <c r="D9" s="152">
        <v>1</v>
      </c>
      <c r="E9" s="152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Q2 Q3</vt:lpstr>
      <vt:lpstr>Q4</vt:lpstr>
      <vt:lpstr>Q5</vt:lpstr>
      <vt:lpstr>Q6</vt:lpstr>
      <vt:lpstr>Q7</vt:lpstr>
      <vt:lpstr>Question 8; Input-Output Table</vt:lpstr>
      <vt:lpstr>Q8</vt:lpstr>
      <vt:lpstr>Sheet1</vt:lpstr>
      <vt:lpstr>TotCol</vt:lpstr>
    </vt:vector>
  </TitlesOfParts>
  <Company>Universiteit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Eerhart, A.</dc:creator>
  <cp:lastModifiedBy>Alice Hartog</cp:lastModifiedBy>
  <dcterms:created xsi:type="dcterms:W3CDTF">2010-04-06T08:39:41Z</dcterms:created>
  <dcterms:modified xsi:type="dcterms:W3CDTF">2021-03-17T12:55:36Z</dcterms:modified>
</cp:coreProperties>
</file>