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JasonCrawford\Downloads\"/>
    </mc:Choice>
  </mc:AlternateContent>
  <xr:revisionPtr revIDLastSave="0" documentId="8_{328E6507-A066-48CC-81B6-C8DE8EC4FC27}" xr6:coauthVersionLast="47" xr6:coauthVersionMax="47" xr10:uidLastSave="{00000000-0000-0000-0000-000000000000}"/>
  <bookViews>
    <workbookView xWindow="-108" yWindow="-108" windowWidth="23256" windowHeight="12456" activeTab="3" xr2:uid="{00000000-000D-0000-FFFF-FFFF00000000}"/>
  </bookViews>
  <sheets>
    <sheet name="Notes" sheetId="5" r:id="rId1"/>
    <sheet name="Rates" sheetId="1" r:id="rId2"/>
    <sheet name="Inputs" sheetId="2" r:id="rId3"/>
    <sheet name="Outpu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0" i="1"/>
  <c r="B28" i="3"/>
  <c r="B4" i="3"/>
  <c r="B5" i="3"/>
  <c r="B14" i="3" s="1"/>
  <c r="B6" i="3"/>
  <c r="B7" i="3"/>
  <c r="B16" i="3" s="1"/>
  <c r="B8" i="3"/>
  <c r="B17" i="3" s="1"/>
  <c r="B9" i="3"/>
  <c r="B18" i="3" s="1"/>
  <c r="B10" i="3"/>
  <c r="B19" i="3" s="1"/>
  <c r="B11" i="3"/>
  <c r="B12" i="3"/>
  <c r="B3" i="3"/>
  <c r="B20" i="3" s="1"/>
  <c r="B2" i="3"/>
  <c r="D29" i="1"/>
  <c r="D28" i="1"/>
  <c r="D27" i="1"/>
  <c r="D26" i="1"/>
  <c r="B12" i="1"/>
  <c r="B15" i="3" l="1"/>
  <c r="B21" i="3"/>
  <c r="B29" i="3" s="1"/>
  <c r="B13" i="3"/>
  <c r="B23" i="3" l="1"/>
  <c r="B22" i="3"/>
  <c r="B25" i="3"/>
  <c r="B24" i="3"/>
  <c r="B26" i="3" l="1"/>
  <c r="B27" i="3" s="1"/>
  <c r="B30" i="3" s="1"/>
  <c r="B31" i="3" l="1"/>
  <c r="B32" i="3" s="1"/>
  <c r="B33" i="3" l="1"/>
  <c r="B34" i="3" l="1"/>
</calcChain>
</file>

<file path=xl/sharedStrings.xml><?xml version="1.0" encoding="utf-8"?>
<sst xmlns="http://schemas.openxmlformats.org/spreadsheetml/2006/main" count="193" uniqueCount="148">
  <si>
    <t>Personal_Relief</t>
  </si>
  <si>
    <t>KES / month</t>
  </si>
  <si>
    <t>Insurance_Relief</t>
  </si>
  <si>
    <t>KES / month (edit if applicable)</t>
  </si>
  <si>
    <t>Housing_Levy_Rate</t>
  </si>
  <si>
    <t>AHL as fraction of Gross (default 1.5%)</t>
  </si>
  <si>
    <t>SHIF_Flat_Rate</t>
  </si>
  <si>
    <t>If Use_SHIF_Table=FALSE, SHIF = Gross*rate</t>
  </si>
  <si>
    <t>Pension_Deductible_Cap</t>
  </si>
  <si>
    <t>NSSF_Tier1_Ceiling</t>
  </si>
  <si>
    <t>NSSF_Tier2_Ceiling</t>
  </si>
  <si>
    <t>NSSF_Employee_Rate</t>
  </si>
  <si>
    <t>PAYE_Tax_Bands</t>
  </si>
  <si>
    <t>Lower</t>
  </si>
  <si>
    <t>Upper</t>
  </si>
  <si>
    <t>Rate</t>
  </si>
  <si>
    <t>Employee</t>
  </si>
  <si>
    <t>Sample Employee</t>
  </si>
  <si>
    <t>Total_Income</t>
  </si>
  <si>
    <t>Taxable_Income</t>
  </si>
  <si>
    <t>PAYE_Before_Relief</t>
  </si>
  <si>
    <t>PAYE_After_Relief</t>
  </si>
  <si>
    <t>Net_Pay</t>
  </si>
  <si>
    <t>Meals_Deductible_Cap</t>
  </si>
  <si>
    <t>Monthly cap on deductible</t>
  </si>
  <si>
    <t>Night-Out_Deductible_Cap</t>
  </si>
  <si>
    <t>Daily cap on deductible</t>
  </si>
  <si>
    <t>NightOut_Allowance_Deductible</t>
  </si>
  <si>
    <t>Meal_Allowance_Deductible</t>
  </si>
  <si>
    <t>Mortgage_Interest_Deductible_Cap</t>
  </si>
  <si>
    <t>Mortgage_Interest_Deductible</t>
  </si>
  <si>
    <t>Post-Retirement_Medical_Fund_Deductible_Cap</t>
  </si>
  <si>
    <t>Pension_Cover_Employer</t>
  </si>
  <si>
    <t>Pension_Cover_Deductible</t>
  </si>
  <si>
    <t>Medical_Cover_Employer</t>
  </si>
  <si>
    <t>Medical_Cover_Employer_Deductible</t>
  </si>
  <si>
    <t>Post-retirement_Medical Fund_Cover_Deductible</t>
  </si>
  <si>
    <t>Provident_Fund_Deductible_Cap</t>
  </si>
  <si>
    <t>Provident_Fund_Deductible</t>
  </si>
  <si>
    <t>Life_And_Health_Insurance_Contribution_Cover</t>
  </si>
  <si>
    <t>Life_And_Health_Insurance_Deductible_Limit</t>
  </si>
  <si>
    <t>Life_And_Health_Insurance_Rate</t>
  </si>
  <si>
    <t>Tax</t>
  </si>
  <si>
    <t>&lt;-Input</t>
  </si>
  <si>
    <t>Earned_Wage</t>
  </si>
  <si>
    <t>Earned Wage Days</t>
  </si>
  <si>
    <t>Earned_Wage_Days</t>
  </si>
  <si>
    <t>Days in Month</t>
  </si>
  <si>
    <t>Number of Days in Month</t>
  </si>
  <si>
    <t>&lt;-Available Earned Wage</t>
  </si>
  <si>
    <t>Earned_Wage_Available</t>
  </si>
  <si>
    <t>Earned_Wage_Cap</t>
  </si>
  <si>
    <t>Monthly cap on net pay</t>
  </si>
  <si>
    <t>Earned_Wage_Max_Cap</t>
  </si>
  <si>
    <t>&lt;-Available Earned Wage Max</t>
  </si>
  <si>
    <t>&lt;-Earned Wage</t>
  </si>
  <si>
    <t>Gross_Pay_Employer</t>
  </si>
  <si>
    <t>Meal_Allowance_Employer</t>
  </si>
  <si>
    <t>NightOut_Allowance_Employer</t>
  </si>
  <si>
    <t>Mortgage_Interest_Contribution_Employee</t>
  </si>
  <si>
    <t>Post-retirement_Medical Fund_Contribution_Employee</t>
  </si>
  <si>
    <t>Provident_Fund_Contribution_Employee</t>
  </si>
  <si>
    <t>Life_And_Health_Insurance_Contribution_Employee</t>
  </si>
  <si>
    <t>Other_Remuneration_Employer [Incl. Bonuses, Travel, Cellphone, Housing Allowance, Car Allowance, Housing Allownace]</t>
  </si>
  <si>
    <t>SHIF_Employee</t>
  </si>
  <si>
    <t>Housing Levy_Employee</t>
  </si>
  <si>
    <t>AHL_Employee_Rate</t>
  </si>
  <si>
    <t>&lt;-Input Not Required [Mabye Consider for More Advanced Modelling]</t>
  </si>
  <si>
    <t>Amount/Threshold</t>
  </si>
  <si>
    <t xml:space="preserve">General </t>
  </si>
  <si>
    <t>Description</t>
  </si>
  <si>
    <t>Inputs</t>
  </si>
  <si>
    <t>Outputs</t>
  </si>
  <si>
    <t xml:space="preserve">This matrix outlines the key Statutory Acts &amp; Legal References for statutory PAYE tax limits, rates, levies and reliefts. 
</t>
  </si>
  <si>
    <t>Income Tax Act (Cap 470, Laws of Kenya)</t>
  </si>
  <si>
    <t>Comprehensive Statutroy Acts &amp; Legal Frameworks Matrix (Kenya)</t>
  </si>
  <si>
    <t>Personal Relief</t>
  </si>
  <si>
    <t>Insurance Relief</t>
  </si>
  <si>
    <t>Mortgage Interest Deduction</t>
  </si>
  <si>
    <t>Provident &amp; Pension Fund Deductions</t>
  </si>
  <si>
    <t>Post-Retirement Medical Fund Deductions</t>
  </si>
  <si>
    <t>Meal, Night-out, and Other Allowances</t>
  </si>
  <si>
    <t>Life and Health Insurance Relief</t>
  </si>
  <si>
    <t>Section 30 and Third Schedule</t>
  </si>
  <si>
    <t>Reference</t>
  </si>
  <si>
    <t>Limit</t>
  </si>
  <si>
    <t>Ksh 2,400/month</t>
  </si>
  <si>
    <t>Section 31</t>
  </si>
  <si>
    <t>allows up to 15% of premiums paid for life, education, or health policies (subject to limit).</t>
  </si>
  <si>
    <t>Section 15(3)(b)</t>
  </si>
  <si>
    <t>up to KSh 300,000 per year (≈ KSh 25,000/month)</t>
  </si>
  <si>
    <t>Section 22B</t>
  </si>
  <si>
    <t>Ksh 5,000/month</t>
  </si>
  <si>
    <t>Section 22A</t>
  </si>
  <si>
    <t>KSh 30,000/month</t>
  </si>
  <si>
    <t>Taxable per Section 5(2)(a); deductibility guided by allowable expense limits in Schedule 3.</t>
  </si>
  <si>
    <t>Capped at 15% of annual premium, limited to KSh 5,000/month</t>
  </si>
  <si>
    <t>Life and Health Insurance 15%</t>
  </si>
  <si>
    <t>Employer 1.5%</t>
  </si>
  <si>
    <t>Employee 1.5%</t>
  </si>
  <si>
    <t>Tier I ceiling</t>
  </si>
  <si>
    <t>Tier II ceiling</t>
  </si>
  <si>
    <t>Employee 6%</t>
  </si>
  <si>
    <t>National Social Security Fund Act, 2013 (NSSF Act No. 45 of 2013)</t>
  </si>
  <si>
    <t>NSSF Employee Contribution (Tier I &amp; II)</t>
  </si>
  <si>
    <t>Tier I: 6% of pensionable earnings up to KSh 7,000.
Tier II: 6% on next band up to KSh 72,000</t>
  </si>
  <si>
    <t>Section 18(1).  NSSFI Tier II updated through Legal Notice No. 17 of 2024). 
Employer matches employee contribution 1:1.
The contributions are deductible under Section 22 of the Income Tax Act.</t>
  </si>
  <si>
    <t>National Health Insurance Fund Act, 1998 (Amended 2021) / Social Health Insurance Act, 2023</t>
  </si>
  <si>
    <t>SHIF / NHIF Contributions</t>
  </si>
  <si>
    <t xml:space="preserve"> 2.75% of gross pay contribution rate</t>
  </si>
  <si>
    <t>Section 26: Employer and employee rates based on income bands.
Contributions are deductible under Section 15(3) of the Income Tax Act.</t>
  </si>
  <si>
    <t>Affordable Housing Levy (AHL) – Finance Act, 2023</t>
  </si>
  <si>
    <t>AHL</t>
  </si>
  <si>
    <t>Collected by employers under the Income Tax (Affordable Housing Levy) Regulations, 2023.
Filed monthly via PAYE returns under the Income Tax Act (Cap 470).
Effective from July 2023 (replacing the earlier Housing Fund contributions).</t>
  </si>
  <si>
    <t>1.5% of gross monthly pay (employee) + 1.5% (employer match).</t>
  </si>
  <si>
    <t>Retirement Benefits Act, 1997</t>
  </si>
  <si>
    <t>Pension and provident fund contributions and benefit deductions</t>
  </si>
  <si>
    <t>Supports limits aligned to Section 22A of the Income Tax Act</t>
  </si>
  <si>
    <t>KSh 20,000 or 30% of salary per month, whichever lower</t>
  </si>
  <si>
    <t>Provident_Fund_Deductible_Rate</t>
  </si>
  <si>
    <t>Upto 30%</t>
  </si>
  <si>
    <t>Employment Act, 2007</t>
  </si>
  <si>
    <t>Earned wage access (EWA) or advance payments</t>
  </si>
  <si>
    <t>KSh 5,000 cap (Night-Out) / KSh 2,000 daily (Meal)</t>
  </si>
  <si>
    <t>Feature</t>
  </si>
  <si>
    <t>Earned Wage Access (EWA)</t>
  </si>
  <si>
    <t>Traditional Loan</t>
  </si>
  <si>
    <t>Source of funds</t>
  </si>
  <si>
    <r>
      <t xml:space="preserve">Employee’s </t>
    </r>
    <r>
      <rPr>
        <b/>
        <sz val="11"/>
        <color theme="1"/>
        <rFont val="Calibri"/>
        <family val="2"/>
        <scheme val="minor"/>
      </rPr>
      <t>already earned salary</t>
    </r>
    <r>
      <rPr>
        <sz val="11"/>
        <color theme="1"/>
        <rFont val="Calibri"/>
        <family val="2"/>
        <scheme val="minor"/>
      </rPr>
      <t xml:space="preserve"> (portion of wages due)</t>
    </r>
  </si>
  <si>
    <r>
      <t>Third-party credit</t>
    </r>
    <r>
      <rPr>
        <sz val="11"/>
        <color theme="1"/>
        <rFont val="Calibri"/>
        <family val="2"/>
        <scheme val="minor"/>
      </rPr>
      <t xml:space="preserve"> not yet earned</t>
    </r>
  </si>
  <si>
    <t>Legal classification</t>
  </si>
  <si>
    <t>Advance on wages under the Employment Act</t>
  </si>
  <si>
    <t>Credit facility under the Banking/Finance Acts</t>
  </si>
  <si>
    <t>Interest or finance charge</t>
  </si>
  <si>
    <t>Typically a small facilitation or service fee (not interest)</t>
  </si>
  <si>
    <t>Interest-bearing under the Credit or Microfinance Acts</t>
  </si>
  <si>
    <t>Repayment source</t>
  </si>
  <si>
    <t>Automatically deducted from future salary payment</t>
  </si>
  <si>
    <t>Paid over time from future income</t>
  </si>
  <si>
    <t>Regulatory body</t>
  </si>
  <si>
    <t>Ministry of Labour (Employment Act)</t>
  </si>
  <si>
    <t>Central Bank of Kenya (CBK Act, Banking Act, Microfinance Act)</t>
  </si>
  <si>
    <t>Section 19(1)(e) authorizes statutory deductions from wages.
Since EWA represents earned income, not credit, it: Is not subject to the Banking Act or CBK lending regulations. However, if the provider adds interest or structured credit terms, the service risks reclassification as a credit product, subject to the Microfinance Act (2006) or CBK (Digital Credit Providers) Regulations, 2022.
However, Section 19(3) of the Act sets an important restriction: "The total amount of all deductions from wages in any one wage period shall not exceed two-thirds of such wages.”</t>
  </si>
  <si>
    <t xml:space="preserve">Earned Wage Access (EWA) is not a loan under Kenyan law if:
1) The amount represents wages already earned;
2) The employee consents to the advance; and
3) The deduction is made under Section 19(1)(e) of the Employment Act, 2007 and the deduction on payday must appear on the payslip as “salary advance” or “earned wage access”.
Deductions must not exceed ⅔ (67%) of wages in a pay period. </t>
  </si>
  <si>
    <t>Other_Remuneration_Employer [Incl. Bonuses, Travel, Cellphone, Housing Allowance, Car Allowance]</t>
  </si>
  <si>
    <t>NSSF_2_Employee</t>
  </si>
  <si>
    <t>NSSF_1_Employee</t>
  </si>
  <si>
    <t>Days_Worked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</si>
</sst>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_-;\-* #,##0.0_-;_-* &quot;-&quot;?_-;_-@_-"/>
  </numFmts>
  <fonts count="11"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font>
    <font>
      <b/>
      <sz val="11"/>
      <color theme="0"/>
      <name val="Calibri"/>
      <family val="2"/>
      <scheme val="minor"/>
    </font>
    <font>
      <sz val="11"/>
      <color theme="0"/>
      <name val="Calibri"/>
      <family val="2"/>
      <scheme val="minor"/>
    </font>
    <font>
      <sz val="10"/>
      <color theme="0"/>
      <name val="Calibri"/>
      <family val="2"/>
      <scheme val="minor"/>
    </font>
    <font>
      <sz val="10"/>
      <color rgb="FF000000"/>
      <name val="Calibri"/>
      <family val="2"/>
      <scheme val="minor"/>
    </font>
    <font>
      <b/>
      <sz val="10"/>
      <color theme="1"/>
      <name val="Calibri"/>
      <family val="2"/>
      <scheme val="minor"/>
    </font>
  </fonts>
  <fills count="11">
    <fill>
      <patternFill patternType="none"/>
    </fill>
    <fill>
      <patternFill patternType="gray125"/>
    </fill>
    <fill>
      <patternFill patternType="solid">
        <fgColor rgb="FFE6F2FF"/>
      </patternFill>
    </fill>
    <fill>
      <patternFill patternType="solid">
        <fgColor rgb="FFFFFF00"/>
        <bgColor indexed="64"/>
      </patternFill>
    </fill>
    <fill>
      <patternFill patternType="solid">
        <fgColor theme="0" tint="-4.9989318521683403E-2"/>
        <bgColor indexed="64"/>
      </patternFill>
    </fill>
    <fill>
      <patternFill patternType="solid">
        <fgColor rgb="FF1CADE4"/>
        <bgColor indexed="64"/>
      </patternFill>
    </fill>
    <fill>
      <patternFill patternType="solid">
        <fgColor rgb="FFD1EFFA"/>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0" fontId="1" fillId="0" borderId="0" xfId="0" applyFont="1"/>
    <xf numFmtId="0" fontId="3" fillId="0" borderId="0" xfId="0" applyFont="1"/>
    <xf numFmtId="165" fontId="0" fillId="0" borderId="0" xfId="1" applyNumberFormat="1" applyFont="1"/>
    <xf numFmtId="43" fontId="0" fillId="0" borderId="1" xfId="1" applyFont="1" applyBorder="1"/>
    <xf numFmtId="165" fontId="0" fillId="0" borderId="0" xfId="0" applyNumberFormat="1"/>
    <xf numFmtId="43" fontId="0" fillId="0" borderId="0" xfId="0" applyNumberFormat="1"/>
    <xf numFmtId="9" fontId="0" fillId="0" borderId="0" xfId="0" applyNumberFormat="1"/>
    <xf numFmtId="166" fontId="0" fillId="0" borderId="0" xfId="0" applyNumberFormat="1"/>
    <xf numFmtId="43" fontId="4" fillId="4" borderId="1" xfId="1" applyFont="1" applyFill="1" applyBorder="1"/>
    <xf numFmtId="0" fontId="1" fillId="3" borderId="0" xfId="0" applyFont="1" applyFill="1" applyAlignment="1">
      <alignment horizontal="left"/>
    </xf>
    <xf numFmtId="43" fontId="1" fillId="2" borderId="0" xfId="1" applyFont="1" applyFill="1" applyAlignment="1">
      <alignment horizontal="left"/>
    </xf>
    <xf numFmtId="0" fontId="8" fillId="5" borderId="0" xfId="0" applyFont="1" applyFill="1" applyAlignment="1">
      <alignment vertical="center"/>
    </xf>
    <xf numFmtId="37" fontId="9" fillId="6" borderId="0" xfId="1" applyNumberFormat="1" applyFont="1" applyFill="1" applyBorder="1" applyAlignment="1">
      <alignment vertical="center"/>
    </xf>
    <xf numFmtId="0" fontId="0" fillId="6" borderId="0" xfId="0" applyFill="1"/>
    <xf numFmtId="164" fontId="0" fillId="6" borderId="0" xfId="2" applyNumberFormat="1" applyFont="1" applyFill="1"/>
    <xf numFmtId="10" fontId="0" fillId="6" borderId="0" xfId="2" applyNumberFormat="1" applyFont="1" applyFill="1"/>
    <xf numFmtId="165" fontId="0" fillId="6" borderId="0" xfId="1" applyNumberFormat="1" applyFont="1" applyFill="1"/>
    <xf numFmtId="9" fontId="0" fillId="6" borderId="0" xfId="0" applyNumberFormat="1" applyFill="1"/>
    <xf numFmtId="2" fontId="0" fillId="6" borderId="0" xfId="0" applyNumberFormat="1" applyFill="1"/>
    <xf numFmtId="9" fontId="0" fillId="6" borderId="0" xfId="2" applyFont="1" applyFill="1"/>
    <xf numFmtId="165" fontId="7" fillId="7" borderId="0" xfId="0" applyNumberFormat="1" applyFont="1" applyFill="1"/>
    <xf numFmtId="0" fontId="7" fillId="7" borderId="0" xfId="0" applyFont="1" applyFill="1"/>
    <xf numFmtId="0" fontId="5" fillId="8" borderId="0" xfId="0" applyFont="1" applyFill="1" applyAlignment="1">
      <alignment horizontal="left"/>
    </xf>
    <xf numFmtId="0" fontId="1" fillId="2" borderId="0" xfId="0" applyFont="1" applyFill="1" applyAlignment="1">
      <alignment horizontal="right"/>
    </xf>
    <xf numFmtId="43" fontId="6" fillId="7" borderId="1" xfId="1" applyFont="1" applyFill="1" applyBorder="1"/>
    <xf numFmtId="43" fontId="3" fillId="9" borderId="1" xfId="1" applyFont="1" applyFill="1" applyBorder="1"/>
    <xf numFmtId="43" fontId="3" fillId="4" borderId="1" xfId="1" applyFont="1" applyFill="1" applyBorder="1"/>
    <xf numFmtId="43" fontId="3" fillId="10" borderId="1" xfId="1" applyFont="1" applyFill="1" applyBorder="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10" fillId="4" borderId="0" xfId="0" applyFont="1" applyFill="1" applyAlignment="1">
      <alignment horizontal="left" vertical="center"/>
    </xf>
    <xf numFmtId="0" fontId="0" fillId="0" borderId="0" xfId="0" applyAlignment="1">
      <alignment vertical="top"/>
    </xf>
    <xf numFmtId="0" fontId="0" fillId="0" borderId="0" xfId="0" applyAlignment="1">
      <alignment vertical="center" wrapText="1"/>
    </xf>
    <xf numFmtId="0" fontId="3" fillId="0" borderId="0" xfId="0" applyFont="1" applyAlignment="1">
      <alignment vertical="center" wrapText="1"/>
    </xf>
    <xf numFmtId="0" fontId="8" fillId="5" borderId="3" xfId="0" applyFont="1" applyFill="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2" fontId="1" fillId="2" borderId="0" xfId="1" applyNumberFormat="1" applyFont="1" applyFill="1" applyAlignment="1">
      <alignment horizontal="right"/>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1CAD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886C-59C2-4070-B428-D28C427B7CA4}">
  <dimension ref="A1:G33"/>
  <sheetViews>
    <sheetView workbookViewId="0">
      <selection activeCell="C28" sqref="C28"/>
    </sheetView>
  </sheetViews>
  <sheetFormatPr defaultRowHeight="14.4" x14ac:dyDescent="0.3"/>
  <cols>
    <col min="1" max="1" width="38.44140625" customWidth="1"/>
    <col min="2" max="2" width="75.5546875" customWidth="1"/>
    <col min="3" max="3" width="78.88671875" customWidth="1"/>
    <col min="4" max="7" width="28" customWidth="1"/>
  </cols>
  <sheetData>
    <row r="1" spans="1:7" x14ac:dyDescent="0.3">
      <c r="A1" s="12" t="s">
        <v>75</v>
      </c>
      <c r="B1" s="12"/>
      <c r="C1" s="12"/>
      <c r="D1" s="12"/>
      <c r="E1" s="12"/>
      <c r="F1" s="12"/>
      <c r="G1" s="12"/>
    </row>
    <row r="2" spans="1:7" x14ac:dyDescent="0.3">
      <c r="A2" s="37" t="s">
        <v>73</v>
      </c>
      <c r="B2" s="38"/>
      <c r="C2" s="38"/>
      <c r="D2" s="38"/>
      <c r="E2" s="38"/>
      <c r="F2" s="38"/>
      <c r="G2" s="39"/>
    </row>
    <row r="3" spans="1:7" x14ac:dyDescent="0.3">
      <c r="A3" s="40"/>
      <c r="B3" s="41"/>
      <c r="C3" s="41"/>
      <c r="D3" s="41"/>
      <c r="E3" s="41"/>
      <c r="F3" s="41"/>
      <c r="G3" s="42"/>
    </row>
    <row r="4" spans="1:7" x14ac:dyDescent="0.3">
      <c r="A4" s="36" t="s">
        <v>74</v>
      </c>
      <c r="B4" s="36"/>
      <c r="C4" s="36"/>
    </row>
    <row r="5" spans="1:7" x14ac:dyDescent="0.3">
      <c r="A5" s="32" t="s">
        <v>70</v>
      </c>
      <c r="B5" s="32" t="s">
        <v>84</v>
      </c>
      <c r="C5" s="32" t="s">
        <v>85</v>
      </c>
    </row>
    <row r="6" spans="1:7" x14ac:dyDescent="0.3">
      <c r="A6" t="s">
        <v>76</v>
      </c>
      <c r="B6" t="s">
        <v>83</v>
      </c>
      <c r="C6" t="s">
        <v>86</v>
      </c>
    </row>
    <row r="7" spans="1:7" x14ac:dyDescent="0.3">
      <c r="A7" t="s">
        <v>77</v>
      </c>
      <c r="B7" t="s">
        <v>87</v>
      </c>
      <c r="C7" t="s">
        <v>88</v>
      </c>
    </row>
    <row r="8" spans="1:7" x14ac:dyDescent="0.3">
      <c r="A8" t="s">
        <v>78</v>
      </c>
      <c r="B8" t="s">
        <v>89</v>
      </c>
      <c r="C8" t="s">
        <v>90</v>
      </c>
    </row>
    <row r="9" spans="1:7" x14ac:dyDescent="0.3">
      <c r="A9" t="s">
        <v>80</v>
      </c>
      <c r="B9" t="s">
        <v>91</v>
      </c>
      <c r="C9" t="s">
        <v>92</v>
      </c>
    </row>
    <row r="10" spans="1:7" x14ac:dyDescent="0.3">
      <c r="A10" t="s">
        <v>79</v>
      </c>
      <c r="B10" t="s">
        <v>93</v>
      </c>
      <c r="C10" t="s">
        <v>94</v>
      </c>
    </row>
    <row r="11" spans="1:7" x14ac:dyDescent="0.3">
      <c r="A11" t="s">
        <v>81</v>
      </c>
      <c r="B11" s="31" t="s">
        <v>95</v>
      </c>
      <c r="C11" t="s">
        <v>123</v>
      </c>
    </row>
    <row r="12" spans="1:7" x14ac:dyDescent="0.3">
      <c r="A12" t="s">
        <v>82</v>
      </c>
      <c r="B12" t="s">
        <v>87</v>
      </c>
      <c r="C12" t="s">
        <v>96</v>
      </c>
    </row>
    <row r="13" spans="1:7" x14ac:dyDescent="0.3">
      <c r="A13" s="36" t="s">
        <v>103</v>
      </c>
      <c r="B13" s="36"/>
      <c r="C13" s="36"/>
    </row>
    <row r="14" spans="1:7" x14ac:dyDescent="0.3">
      <c r="A14" s="32" t="s">
        <v>70</v>
      </c>
      <c r="B14" s="32" t="s">
        <v>84</v>
      </c>
      <c r="C14" s="32" t="s">
        <v>85</v>
      </c>
    </row>
    <row r="15" spans="1:7" ht="72" x14ac:dyDescent="0.3">
      <c r="A15" s="33" t="s">
        <v>104</v>
      </c>
      <c r="B15" s="29" t="s">
        <v>106</v>
      </c>
      <c r="C15" s="30" t="s">
        <v>105</v>
      </c>
    </row>
    <row r="16" spans="1:7" x14ac:dyDescent="0.3">
      <c r="A16" s="36" t="s">
        <v>107</v>
      </c>
      <c r="B16" s="36"/>
      <c r="C16" s="36"/>
    </row>
    <row r="17" spans="1:3" x14ac:dyDescent="0.3">
      <c r="A17" s="32" t="s">
        <v>70</v>
      </c>
      <c r="B17" s="32" t="s">
        <v>84</v>
      </c>
      <c r="C17" s="32" t="s">
        <v>85</v>
      </c>
    </row>
    <row r="18" spans="1:3" ht="43.2" x14ac:dyDescent="0.3">
      <c r="A18" s="33" t="s">
        <v>108</v>
      </c>
      <c r="B18" s="29" t="s">
        <v>110</v>
      </c>
      <c r="C18" s="33" t="s">
        <v>109</v>
      </c>
    </row>
    <row r="19" spans="1:3" x14ac:dyDescent="0.3">
      <c r="A19" s="36" t="s">
        <v>111</v>
      </c>
      <c r="B19" s="36"/>
      <c r="C19" s="36"/>
    </row>
    <row r="20" spans="1:3" x14ac:dyDescent="0.3">
      <c r="A20" s="32" t="s">
        <v>70</v>
      </c>
      <c r="B20" s="32" t="s">
        <v>84</v>
      </c>
      <c r="C20" s="32" t="s">
        <v>85</v>
      </c>
    </row>
    <row r="21" spans="1:3" ht="86.4" x14ac:dyDescent="0.3">
      <c r="A21" s="33" t="s">
        <v>112</v>
      </c>
      <c r="B21" s="30" t="s">
        <v>113</v>
      </c>
      <c r="C21" s="33" t="s">
        <v>114</v>
      </c>
    </row>
    <row r="22" spans="1:3" x14ac:dyDescent="0.3">
      <c r="A22" s="36" t="s">
        <v>115</v>
      </c>
      <c r="B22" s="36"/>
      <c r="C22" s="36"/>
    </row>
    <row r="23" spans="1:3" x14ac:dyDescent="0.3">
      <c r="A23" s="32" t="s">
        <v>70</v>
      </c>
      <c r="B23" s="32" t="s">
        <v>84</v>
      </c>
      <c r="C23" s="32" t="s">
        <v>85</v>
      </c>
    </row>
    <row r="24" spans="1:3" x14ac:dyDescent="0.3">
      <c r="A24" s="33" t="s">
        <v>116</v>
      </c>
      <c r="B24" s="29" t="s">
        <v>117</v>
      </c>
      <c r="C24" s="33" t="s">
        <v>118</v>
      </c>
    </row>
    <row r="25" spans="1:3" x14ac:dyDescent="0.3">
      <c r="A25" s="36" t="s">
        <v>121</v>
      </c>
      <c r="B25" s="36"/>
      <c r="C25" s="36"/>
    </row>
    <row r="26" spans="1:3" x14ac:dyDescent="0.3">
      <c r="A26" s="32" t="s">
        <v>70</v>
      </c>
      <c r="B26" s="32" t="s">
        <v>84</v>
      </c>
      <c r="C26" s="32" t="s">
        <v>85</v>
      </c>
    </row>
    <row r="27" spans="1:3" ht="144" x14ac:dyDescent="0.3">
      <c r="A27" s="33" t="s">
        <v>122</v>
      </c>
      <c r="B27" s="30" t="s">
        <v>142</v>
      </c>
      <c r="C27" s="30" t="s">
        <v>143</v>
      </c>
    </row>
    <row r="28" spans="1:3" x14ac:dyDescent="0.3">
      <c r="A28" s="32" t="s">
        <v>124</v>
      </c>
      <c r="B28" s="32" t="s">
        <v>125</v>
      </c>
      <c r="C28" s="32" t="s">
        <v>126</v>
      </c>
    </row>
    <row r="29" spans="1:3" x14ac:dyDescent="0.3">
      <c r="A29" s="34" t="s">
        <v>127</v>
      </c>
      <c r="B29" s="34" t="s">
        <v>128</v>
      </c>
      <c r="C29" s="35" t="s">
        <v>129</v>
      </c>
    </row>
    <row r="30" spans="1:3" x14ac:dyDescent="0.3">
      <c r="A30" s="34" t="s">
        <v>130</v>
      </c>
      <c r="B30" s="34" t="s">
        <v>131</v>
      </c>
      <c r="C30" s="34" t="s">
        <v>132</v>
      </c>
    </row>
    <row r="31" spans="1:3" x14ac:dyDescent="0.3">
      <c r="A31" s="34" t="s">
        <v>133</v>
      </c>
      <c r="B31" s="34" t="s">
        <v>134</v>
      </c>
      <c r="C31" s="34" t="s">
        <v>135</v>
      </c>
    </row>
    <row r="32" spans="1:3" x14ac:dyDescent="0.3">
      <c r="A32" s="34" t="s">
        <v>136</v>
      </c>
      <c r="B32" s="34" t="s">
        <v>137</v>
      </c>
      <c r="C32" s="34" t="s">
        <v>138</v>
      </c>
    </row>
    <row r="33" spans="1:3" x14ac:dyDescent="0.3">
      <c r="A33" s="34" t="s">
        <v>139</v>
      </c>
      <c r="B33" s="34" t="s">
        <v>140</v>
      </c>
      <c r="C33" s="34" t="s">
        <v>141</v>
      </c>
    </row>
  </sheetData>
  <mergeCells count="7">
    <mergeCell ref="A25:C25"/>
    <mergeCell ref="A2:G3"/>
    <mergeCell ref="A4:C4"/>
    <mergeCell ref="A13:C13"/>
    <mergeCell ref="A16:C16"/>
    <mergeCell ref="A19:C19"/>
    <mergeCell ref="A22: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workbookViewId="0">
      <pane ySplit="1" topLeftCell="A6" activePane="bottomLeft" state="frozen"/>
      <selection pane="bottomLeft" activeCell="B2" sqref="B2:B22"/>
    </sheetView>
  </sheetViews>
  <sheetFormatPr defaultRowHeight="14.4" x14ac:dyDescent="0.3"/>
  <cols>
    <col min="1" max="1" width="44.6640625" customWidth="1"/>
    <col min="2" max="2" width="24" customWidth="1"/>
    <col min="3" max="3" width="46.44140625" bestFit="1" customWidth="1"/>
    <col min="5" max="5" width="12.77734375" bestFit="1" customWidth="1"/>
    <col min="6" max="6" width="15" customWidth="1"/>
    <col min="7" max="7" width="11.33203125" bestFit="1" customWidth="1"/>
  </cols>
  <sheetData>
    <row r="1" spans="1:3" x14ac:dyDescent="0.3">
      <c r="A1" s="12" t="s">
        <v>69</v>
      </c>
      <c r="B1" s="12" t="s">
        <v>68</v>
      </c>
      <c r="C1" s="12" t="s">
        <v>70</v>
      </c>
    </row>
    <row r="2" spans="1:3" ht="18" customHeight="1" x14ac:dyDescent="0.3">
      <c r="A2" t="s">
        <v>0</v>
      </c>
      <c r="B2" s="13">
        <v>2400</v>
      </c>
      <c r="C2" t="s">
        <v>1</v>
      </c>
    </row>
    <row r="3" spans="1:3" ht="18" customHeight="1" x14ac:dyDescent="0.3">
      <c r="A3" t="s">
        <v>2</v>
      </c>
      <c r="B3" s="14">
        <v>0</v>
      </c>
      <c r="C3" t="s">
        <v>3</v>
      </c>
    </row>
    <row r="4" spans="1:3" ht="18" customHeight="1" x14ac:dyDescent="0.3">
      <c r="A4" t="s">
        <v>4</v>
      </c>
      <c r="B4" s="15">
        <v>1.4999999999999999E-2</v>
      </c>
      <c r="C4" t="s">
        <v>5</v>
      </c>
    </row>
    <row r="5" spans="1:3" ht="18" customHeight="1" x14ac:dyDescent="0.3">
      <c r="A5" t="s">
        <v>6</v>
      </c>
      <c r="B5" s="16">
        <v>2.75E-2</v>
      </c>
      <c r="C5" t="s">
        <v>7</v>
      </c>
    </row>
    <row r="6" spans="1:3" ht="18" customHeight="1" x14ac:dyDescent="0.3">
      <c r="A6" t="s">
        <v>8</v>
      </c>
      <c r="B6" s="17">
        <v>30000</v>
      </c>
      <c r="C6" t="s">
        <v>24</v>
      </c>
    </row>
    <row r="7" spans="1:3" ht="18" customHeight="1" x14ac:dyDescent="0.3">
      <c r="A7" t="s">
        <v>23</v>
      </c>
      <c r="B7" s="17">
        <v>5000</v>
      </c>
      <c r="C7" t="s">
        <v>24</v>
      </c>
    </row>
    <row r="8" spans="1:3" ht="18" customHeight="1" x14ac:dyDescent="0.3">
      <c r="A8" t="s">
        <v>25</v>
      </c>
      <c r="B8" s="17">
        <v>2000</v>
      </c>
      <c r="C8" t="s">
        <v>26</v>
      </c>
    </row>
    <row r="9" spans="1:3" ht="18" customHeight="1" x14ac:dyDescent="0.3">
      <c r="A9" t="s">
        <v>31</v>
      </c>
      <c r="B9" s="17">
        <v>5000</v>
      </c>
      <c r="C9" t="s">
        <v>24</v>
      </c>
    </row>
    <row r="10" spans="1:3" ht="18" customHeight="1" x14ac:dyDescent="0.3">
      <c r="A10" t="s">
        <v>29</v>
      </c>
      <c r="B10" s="17">
        <v>25000</v>
      </c>
      <c r="C10" t="s">
        <v>24</v>
      </c>
    </row>
    <row r="11" spans="1:3" ht="18" customHeight="1" x14ac:dyDescent="0.3">
      <c r="A11" t="s">
        <v>37</v>
      </c>
      <c r="B11" s="17">
        <v>30000</v>
      </c>
      <c r="C11" t="s">
        <v>24</v>
      </c>
    </row>
    <row r="12" spans="1:3" ht="18" customHeight="1" x14ac:dyDescent="0.3">
      <c r="A12" t="s">
        <v>40</v>
      </c>
      <c r="B12" s="17">
        <f>60000/12</f>
        <v>5000</v>
      </c>
      <c r="C12" t="s">
        <v>24</v>
      </c>
    </row>
    <row r="13" spans="1:3" ht="18" customHeight="1" x14ac:dyDescent="0.3">
      <c r="A13" t="s">
        <v>9</v>
      </c>
      <c r="B13" s="17">
        <v>7000</v>
      </c>
      <c r="C13" t="s">
        <v>100</v>
      </c>
    </row>
    <row r="14" spans="1:3" ht="18" customHeight="1" x14ac:dyDescent="0.3">
      <c r="A14" t="s">
        <v>10</v>
      </c>
      <c r="B14" s="17">
        <v>72000</v>
      </c>
      <c r="C14" t="s">
        <v>101</v>
      </c>
    </row>
    <row r="15" spans="1:3" ht="18" customHeight="1" x14ac:dyDescent="0.3">
      <c r="A15" t="s">
        <v>11</v>
      </c>
      <c r="B15" s="15">
        <v>0.06</v>
      </c>
      <c r="C15" t="s">
        <v>102</v>
      </c>
    </row>
    <row r="16" spans="1:3" ht="18" customHeight="1" x14ac:dyDescent="0.3">
      <c r="A16" t="s">
        <v>66</v>
      </c>
      <c r="B16" s="15">
        <v>1.4999999999999999E-2</v>
      </c>
      <c r="C16" t="s">
        <v>99</v>
      </c>
    </row>
    <row r="17" spans="1:7" ht="18" customHeight="1" x14ac:dyDescent="0.3">
      <c r="A17" t="s">
        <v>66</v>
      </c>
      <c r="B17" s="15">
        <v>1.4999999999999999E-2</v>
      </c>
      <c r="C17" t="s">
        <v>98</v>
      </c>
    </row>
    <row r="18" spans="1:7" ht="18" customHeight="1" x14ac:dyDescent="0.3">
      <c r="A18" t="s">
        <v>41</v>
      </c>
      <c r="B18" s="18">
        <v>0.15</v>
      </c>
      <c r="C18" t="s">
        <v>97</v>
      </c>
      <c r="E18" s="8"/>
    </row>
    <row r="19" spans="1:7" ht="18" customHeight="1" x14ac:dyDescent="0.3">
      <c r="A19" t="s">
        <v>119</v>
      </c>
      <c r="B19" s="18">
        <v>0.3</v>
      </c>
      <c r="C19" t="s">
        <v>120</v>
      </c>
      <c r="E19" s="8"/>
    </row>
    <row r="20" spans="1:7" ht="18" customHeight="1" x14ac:dyDescent="0.3">
      <c r="A20" t="s">
        <v>46</v>
      </c>
      <c r="B20" s="19">
        <f>Inputs!B9</f>
        <v>30</v>
      </c>
      <c r="C20" t="s">
        <v>45</v>
      </c>
    </row>
    <row r="21" spans="1:7" ht="18" customHeight="1" x14ac:dyDescent="0.3">
      <c r="A21" t="s">
        <v>47</v>
      </c>
      <c r="B21" s="19">
        <f ca="1">_xlfn.DAYS(EOMONTH(TODAY(),0),(EOMONTH(TODAY(), - 1) + 0))</f>
        <v>31</v>
      </c>
      <c r="C21" t="s">
        <v>48</v>
      </c>
    </row>
    <row r="22" spans="1:7" ht="18" customHeight="1" x14ac:dyDescent="0.3">
      <c r="A22" t="s">
        <v>51</v>
      </c>
      <c r="B22" s="20">
        <v>0.6</v>
      </c>
      <c r="C22" t="s">
        <v>52</v>
      </c>
    </row>
    <row r="23" spans="1:7" ht="18" customHeight="1" x14ac:dyDescent="0.3">
      <c r="B23" s="7"/>
    </row>
    <row r="24" spans="1:7" ht="18" customHeight="1" x14ac:dyDescent="0.3">
      <c r="A24" s="12" t="s">
        <v>12</v>
      </c>
    </row>
    <row r="25" spans="1:7" ht="18" customHeight="1" x14ac:dyDescent="0.3">
      <c r="A25" s="1" t="s">
        <v>13</v>
      </c>
      <c r="B25" s="1" t="s">
        <v>14</v>
      </c>
      <c r="C25" s="1" t="s">
        <v>15</v>
      </c>
      <c r="D25" s="1" t="s">
        <v>42</v>
      </c>
    </row>
    <row r="26" spans="1:7" ht="18" customHeight="1" x14ac:dyDescent="0.3">
      <c r="A26" s="17">
        <v>0</v>
      </c>
      <c r="B26" s="17">
        <v>24000</v>
      </c>
      <c r="C26" s="20">
        <v>0.1</v>
      </c>
      <c r="D26" s="21">
        <f>B26*C26</f>
        <v>2400</v>
      </c>
      <c r="E26" s="5"/>
    </row>
    <row r="27" spans="1:7" ht="18" customHeight="1" x14ac:dyDescent="0.3">
      <c r="A27" s="17">
        <v>24000</v>
      </c>
      <c r="B27" s="17">
        <v>32333</v>
      </c>
      <c r="C27" s="20">
        <v>0.25</v>
      </c>
      <c r="D27" s="21">
        <f>(B27-B26)*C27</f>
        <v>2083.25</v>
      </c>
      <c r="E27" s="6"/>
      <c r="F27" s="6"/>
    </row>
    <row r="28" spans="1:7" ht="18" customHeight="1" x14ac:dyDescent="0.3">
      <c r="A28" s="17">
        <v>32333</v>
      </c>
      <c r="B28" s="17">
        <v>500000</v>
      </c>
      <c r="C28" s="20">
        <v>0.3</v>
      </c>
      <c r="D28" s="21">
        <f>(B28-B27)*C28</f>
        <v>140300.1</v>
      </c>
      <c r="E28" s="6"/>
    </row>
    <row r="29" spans="1:7" ht="18" customHeight="1" x14ac:dyDescent="0.3">
      <c r="A29" s="17">
        <v>500000</v>
      </c>
      <c r="B29" s="17">
        <v>800000</v>
      </c>
      <c r="C29" s="20">
        <v>0.32500000000000001</v>
      </c>
      <c r="D29" s="21">
        <f>(B29-B28)*C29</f>
        <v>97500</v>
      </c>
      <c r="E29" s="5"/>
    </row>
    <row r="30" spans="1:7" ht="18" customHeight="1" x14ac:dyDescent="0.3">
      <c r="A30" s="17">
        <v>800000</v>
      </c>
      <c r="B30" s="17"/>
      <c r="C30" s="20">
        <v>0.35</v>
      </c>
      <c r="D30" s="22"/>
      <c r="E30" s="6"/>
      <c r="F30" s="6"/>
      <c r="G30" s="6"/>
    </row>
    <row r="31" spans="1:7" ht="18" customHeight="1" x14ac:dyDescent="0.3">
      <c r="E31" s="5"/>
      <c r="F31" s="6"/>
      <c r="G31" s="6"/>
    </row>
    <row r="32" spans="1:7" ht="18" customHeight="1" x14ac:dyDescent="0.3">
      <c r="E32" s="5"/>
    </row>
    <row r="33" spans="1:3" ht="18" customHeight="1" x14ac:dyDescent="0.3">
      <c r="A33" s="1"/>
      <c r="B33" s="2"/>
      <c r="C33" s="2"/>
    </row>
    <row r="34" spans="1:3" ht="18" customHeight="1" x14ac:dyDescent="0.3">
      <c r="A34" s="3"/>
      <c r="B34" s="3"/>
      <c r="C34" s="3"/>
    </row>
    <row r="35" spans="1:3" ht="18" customHeight="1" x14ac:dyDescent="0.3">
      <c r="A35" s="3"/>
      <c r="B35" s="3"/>
      <c r="C35" s="3"/>
    </row>
    <row r="36" spans="1:3" ht="18" customHeight="1" x14ac:dyDescent="0.3">
      <c r="A36" s="3"/>
      <c r="B36" s="3"/>
      <c r="C36" s="3"/>
    </row>
    <row r="37" spans="1:3" ht="18" customHeight="1" x14ac:dyDescent="0.3">
      <c r="A37" s="3"/>
      <c r="B37" s="3"/>
      <c r="C37" s="3"/>
    </row>
    <row r="38" spans="1:3" ht="18" customHeight="1" x14ac:dyDescent="0.3">
      <c r="A38" s="3"/>
      <c r="B38" s="3"/>
      <c r="C38" s="3"/>
    </row>
    <row r="39" spans="1:3" ht="18" customHeight="1" x14ac:dyDescent="0.3">
      <c r="A39" s="3"/>
      <c r="B39" s="3"/>
      <c r="C39" s="3"/>
    </row>
    <row r="40" spans="1:3" ht="18" customHeight="1" x14ac:dyDescent="0.3">
      <c r="A40" s="3"/>
      <c r="B40" s="3"/>
      <c r="C40" s="3"/>
    </row>
    <row r="41" spans="1:3" ht="18" customHeight="1" x14ac:dyDescent="0.3">
      <c r="A41" s="3"/>
      <c r="B41" s="3"/>
      <c r="C41" s="3"/>
    </row>
    <row r="42" spans="1:3" ht="18" customHeight="1" x14ac:dyDescent="0.3">
      <c r="A42" s="3"/>
      <c r="B42" s="3"/>
      <c r="C42" s="3"/>
    </row>
    <row r="43" spans="1:3" ht="18" customHeight="1" x14ac:dyDescent="0.3">
      <c r="A43" s="3"/>
      <c r="B43" s="3"/>
      <c r="C43" s="3"/>
    </row>
    <row r="44" spans="1:3" ht="18" customHeight="1" x14ac:dyDescent="0.3">
      <c r="A44" s="3"/>
      <c r="B44" s="3"/>
      <c r="C44" s="3"/>
    </row>
    <row r="45" spans="1:3" ht="18" customHeight="1" x14ac:dyDescent="0.3">
      <c r="A45" s="3"/>
      <c r="B45" s="3"/>
      <c r="C45" s="3"/>
    </row>
    <row r="46" spans="1:3" ht="18" customHeight="1" x14ac:dyDescent="0.3">
      <c r="A46" s="3"/>
      <c r="B46" s="3"/>
      <c r="C46" s="3"/>
    </row>
    <row r="47" spans="1:3" ht="18" customHeight="1" x14ac:dyDescent="0.3">
      <c r="A47" s="3"/>
      <c r="B47" s="3"/>
      <c r="C47" s="3"/>
    </row>
    <row r="48" spans="1:3" ht="18" customHeight="1" x14ac:dyDescent="0.3">
      <c r="A48" s="3"/>
      <c r="B48" s="3"/>
      <c r="C48" s="3"/>
    </row>
    <row r="49" spans="1:3" ht="18" customHeight="1" x14ac:dyDescent="0.3">
      <c r="A49" s="3"/>
      <c r="B49" s="3"/>
      <c r="C49" s="3"/>
    </row>
    <row r="50" spans="1:3" ht="18" customHeight="1" x14ac:dyDescent="0.3">
      <c r="A50" s="3"/>
      <c r="B50" s="3"/>
      <c r="C50" s="3"/>
    </row>
    <row r="51" spans="1:3" ht="18" customHeight="1" x14ac:dyDescent="0.3">
      <c r="A51" s="3"/>
      <c r="B51" s="3"/>
      <c r="C51" s="3"/>
    </row>
    <row r="52" spans="1:3" ht="18" customHeight="1" x14ac:dyDescent="0.3">
      <c r="A52" s="3"/>
      <c r="B52" s="3"/>
      <c r="C52"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pane ySplit="2" topLeftCell="A3" activePane="bottomLeft" state="frozen"/>
      <selection pane="bottomLeft" activeCell="B3" sqref="B3:B9"/>
    </sheetView>
  </sheetViews>
  <sheetFormatPr defaultRowHeight="14.4" x14ac:dyDescent="0.3"/>
  <cols>
    <col min="1" max="1" width="46.21875" bestFit="1" customWidth="1"/>
    <col min="2" max="2" width="22" customWidth="1"/>
    <col min="3" max="3" width="58.88671875" bestFit="1" customWidth="1"/>
    <col min="4" max="9" width="22" customWidth="1"/>
    <col min="10" max="10" width="39" bestFit="1" customWidth="1"/>
    <col min="11" max="11" width="10.33203125" bestFit="1" customWidth="1"/>
    <col min="12" max="12" width="11.33203125" bestFit="1" customWidth="1"/>
  </cols>
  <sheetData>
    <row r="1" spans="1:3" x14ac:dyDescent="0.3">
      <c r="A1" s="12" t="s">
        <v>71</v>
      </c>
      <c r="B1" s="12"/>
      <c r="C1" s="12"/>
    </row>
    <row r="2" spans="1:3" x14ac:dyDescent="0.3">
      <c r="A2" s="23" t="s">
        <v>16</v>
      </c>
      <c r="B2" s="24" t="s">
        <v>17</v>
      </c>
      <c r="C2" t="s">
        <v>43</v>
      </c>
    </row>
    <row r="3" spans="1:3" x14ac:dyDescent="0.3">
      <c r="A3" s="23" t="s">
        <v>56</v>
      </c>
      <c r="B3" s="11">
        <v>35000</v>
      </c>
      <c r="C3" t="s">
        <v>43</v>
      </c>
    </row>
    <row r="4" spans="1:3" x14ac:dyDescent="0.3">
      <c r="A4" s="23" t="s">
        <v>144</v>
      </c>
      <c r="B4" s="11"/>
      <c r="C4" t="s">
        <v>43</v>
      </c>
    </row>
    <row r="5" spans="1:3" x14ac:dyDescent="0.3">
      <c r="A5" s="23" t="s">
        <v>57</v>
      </c>
      <c r="B5" s="11"/>
      <c r="C5" t="s">
        <v>43</v>
      </c>
    </row>
    <row r="6" spans="1:3" x14ac:dyDescent="0.3">
      <c r="A6" s="23" t="s">
        <v>58</v>
      </c>
      <c r="B6" s="11"/>
      <c r="C6" t="s">
        <v>43</v>
      </c>
    </row>
    <row r="7" spans="1:3" x14ac:dyDescent="0.3">
      <c r="A7" s="23" t="s">
        <v>32</v>
      </c>
      <c r="B7" s="11"/>
      <c r="C7" t="s">
        <v>43</v>
      </c>
    </row>
    <row r="8" spans="1:3" x14ac:dyDescent="0.3">
      <c r="A8" s="23" t="s">
        <v>34</v>
      </c>
      <c r="B8" s="11"/>
      <c r="C8" t="s">
        <v>43</v>
      </c>
    </row>
    <row r="9" spans="1:3" x14ac:dyDescent="0.3">
      <c r="A9" s="23" t="s">
        <v>147</v>
      </c>
      <c r="B9" s="43">
        <v>30</v>
      </c>
      <c r="C9" t="s">
        <v>43</v>
      </c>
    </row>
    <row r="10" spans="1:3" x14ac:dyDescent="0.3">
      <c r="A10" s="23" t="s">
        <v>59</v>
      </c>
      <c r="B10" s="10"/>
      <c r="C10" t="s">
        <v>67</v>
      </c>
    </row>
    <row r="11" spans="1:3" x14ac:dyDescent="0.3">
      <c r="A11" s="23" t="s">
        <v>60</v>
      </c>
      <c r="B11" s="10"/>
      <c r="C11" t="s">
        <v>67</v>
      </c>
    </row>
    <row r="12" spans="1:3" x14ac:dyDescent="0.3">
      <c r="A12" s="23" t="s">
        <v>61</v>
      </c>
      <c r="B12" s="10"/>
      <c r="C12" t="s">
        <v>67</v>
      </c>
    </row>
    <row r="13" spans="1:3" x14ac:dyDescent="0.3">
      <c r="A13" s="23" t="s">
        <v>62</v>
      </c>
      <c r="B13" s="10"/>
      <c r="C13" t="s">
        <v>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4"/>
  <sheetViews>
    <sheetView tabSelected="1" workbookViewId="0">
      <pane ySplit="2" topLeftCell="A8" activePane="bottomLeft" state="frozen"/>
      <selection pane="bottomLeft" activeCell="A32" sqref="A32"/>
    </sheetView>
  </sheetViews>
  <sheetFormatPr defaultRowHeight="14.4" x14ac:dyDescent="0.3"/>
  <cols>
    <col min="1" max="1" width="105.33203125" bestFit="1" customWidth="1"/>
    <col min="2" max="29" width="22" customWidth="1"/>
  </cols>
  <sheetData>
    <row r="1" spans="1:21" x14ac:dyDescent="0.3">
      <c r="A1" s="12" t="s">
        <v>72</v>
      </c>
      <c r="B1" s="12"/>
    </row>
    <row r="2" spans="1:21" x14ac:dyDescent="0.3">
      <c r="A2" s="23" t="s">
        <v>16</v>
      </c>
      <c r="B2" s="4" t="str">
        <f>Inputs!B2</f>
        <v>Sample Employee</v>
      </c>
      <c r="U2" s="6"/>
    </row>
    <row r="3" spans="1:21" x14ac:dyDescent="0.3">
      <c r="A3" s="23" t="s">
        <v>56</v>
      </c>
      <c r="B3" s="4">
        <f>Inputs!B3</f>
        <v>35000</v>
      </c>
    </row>
    <row r="4" spans="1:21" x14ac:dyDescent="0.3">
      <c r="A4" s="23" t="s">
        <v>63</v>
      </c>
      <c r="B4" s="4">
        <f>Inputs!B4</f>
        <v>0</v>
      </c>
    </row>
    <row r="5" spans="1:21" x14ac:dyDescent="0.3">
      <c r="A5" s="23" t="s">
        <v>57</v>
      </c>
      <c r="B5" s="4">
        <f>Inputs!B5</f>
        <v>0</v>
      </c>
    </row>
    <row r="6" spans="1:21" x14ac:dyDescent="0.3">
      <c r="A6" s="23" t="s">
        <v>58</v>
      </c>
      <c r="B6" s="4">
        <f>Inputs!B6</f>
        <v>0</v>
      </c>
    </row>
    <row r="7" spans="1:21" x14ac:dyDescent="0.3">
      <c r="A7" s="23" t="s">
        <v>32</v>
      </c>
      <c r="B7" s="4">
        <f>Inputs!B7</f>
        <v>0</v>
      </c>
    </row>
    <row r="8" spans="1:21" x14ac:dyDescent="0.3">
      <c r="A8" s="23" t="s">
        <v>34</v>
      </c>
      <c r="B8" s="4">
        <f>Inputs!B8</f>
        <v>0</v>
      </c>
    </row>
    <row r="9" spans="1:21" hidden="1" x14ac:dyDescent="0.3">
      <c r="A9" s="23" t="s">
        <v>59</v>
      </c>
      <c r="B9" s="4">
        <f>Inputs!B10</f>
        <v>0</v>
      </c>
    </row>
    <row r="10" spans="1:21" hidden="1" x14ac:dyDescent="0.3">
      <c r="A10" s="23" t="s">
        <v>60</v>
      </c>
      <c r="B10" s="4">
        <f>Inputs!B11</f>
        <v>0</v>
      </c>
    </row>
    <row r="11" spans="1:21" hidden="1" x14ac:dyDescent="0.3">
      <c r="A11" s="23" t="s">
        <v>61</v>
      </c>
      <c r="B11" s="4">
        <f>Inputs!B12</f>
        <v>0</v>
      </c>
    </row>
    <row r="12" spans="1:21" hidden="1" x14ac:dyDescent="0.3">
      <c r="A12" s="23" t="s">
        <v>62</v>
      </c>
      <c r="B12" s="4">
        <f>Inputs!B13</f>
        <v>0</v>
      </c>
    </row>
    <row r="13" spans="1:21" x14ac:dyDescent="0.3">
      <c r="A13" s="23" t="s">
        <v>18</v>
      </c>
      <c r="B13" s="9">
        <f>SUM(B3:B12)</f>
        <v>35000</v>
      </c>
    </row>
    <row r="14" spans="1:21" x14ac:dyDescent="0.3">
      <c r="A14" s="23" t="s">
        <v>28</v>
      </c>
      <c r="B14" s="4">
        <f>-MIN(B5,Rates!B7)</f>
        <v>0</v>
      </c>
    </row>
    <row r="15" spans="1:21" x14ac:dyDescent="0.3">
      <c r="A15" s="23" t="s">
        <v>27</v>
      </c>
      <c r="B15" s="4">
        <f ca="1">-MIN(B6,Rates!$B$8*Rates!B21)</f>
        <v>0</v>
      </c>
    </row>
    <row r="16" spans="1:21" x14ac:dyDescent="0.3">
      <c r="A16" s="23" t="s">
        <v>33</v>
      </c>
      <c r="B16" s="4">
        <f>-MIN(B7,Rates!$B$6)</f>
        <v>0</v>
      </c>
    </row>
    <row r="17" spans="1:3" x14ac:dyDescent="0.3">
      <c r="A17" s="23" t="s">
        <v>35</v>
      </c>
      <c r="B17" s="4">
        <f>-B8</f>
        <v>0</v>
      </c>
    </row>
    <row r="18" spans="1:3" hidden="1" x14ac:dyDescent="0.3">
      <c r="A18" s="23" t="s">
        <v>36</v>
      </c>
      <c r="B18" s="4">
        <f>MIN(B9,Rates!B9)</f>
        <v>0</v>
      </c>
    </row>
    <row r="19" spans="1:3" hidden="1" x14ac:dyDescent="0.3">
      <c r="A19" s="23" t="s">
        <v>30</v>
      </c>
      <c r="B19" s="4">
        <f>MIN(B10,Rates!$B$10)</f>
        <v>0</v>
      </c>
    </row>
    <row r="20" spans="1:3" hidden="1" x14ac:dyDescent="0.3">
      <c r="A20" s="23" t="s">
        <v>38</v>
      </c>
      <c r="B20" s="4">
        <f>MIN(B11,Rates!B11,B3*Rates!B19)</f>
        <v>0</v>
      </c>
    </row>
    <row r="21" spans="1:3" hidden="1" x14ac:dyDescent="0.3">
      <c r="A21" s="23" t="s">
        <v>39</v>
      </c>
      <c r="B21" s="4">
        <f>MIN(Rates!$B$18*Output!B12,Rates!B12)</f>
        <v>0</v>
      </c>
    </row>
    <row r="22" spans="1:3" x14ac:dyDescent="0.3">
      <c r="A22" s="23" t="s">
        <v>146</v>
      </c>
      <c r="B22" s="4">
        <f>-Rates!B15*MIN(Output!B13,Rates!B13)</f>
        <v>-420</v>
      </c>
      <c r="C22" s="6"/>
    </row>
    <row r="23" spans="1:3" x14ac:dyDescent="0.3">
      <c r="A23" s="23" t="s">
        <v>145</v>
      </c>
      <c r="B23" s="4">
        <f>-Rates!B15*MAX(MIN(B13, Rates!B14)-Rates!B13, 0)</f>
        <v>-1680</v>
      </c>
      <c r="C23" s="6"/>
    </row>
    <row r="24" spans="1:3" x14ac:dyDescent="0.3">
      <c r="A24" s="23" t="s">
        <v>64</v>
      </c>
      <c r="B24" s="4">
        <f>-IF(B13=0,0,IF(B13*Rates!$B$5&lt;300,300,B13*Rates!$B$5))</f>
        <v>-962.5</v>
      </c>
    </row>
    <row r="25" spans="1:3" x14ac:dyDescent="0.3">
      <c r="A25" s="23" t="s">
        <v>65</v>
      </c>
      <c r="B25" s="4">
        <f>-B13*Rates!B16</f>
        <v>-525</v>
      </c>
    </row>
    <row r="26" spans="1:3" x14ac:dyDescent="0.3">
      <c r="A26" s="23" t="s">
        <v>19</v>
      </c>
      <c r="B26" s="9">
        <f ca="1">B13+SUM(B14:B25)</f>
        <v>31412.5</v>
      </c>
    </row>
    <row r="27" spans="1:3" x14ac:dyDescent="0.3">
      <c r="A27" s="23" t="s">
        <v>20</v>
      </c>
      <c r="B27" s="4">
        <f ca="1">IF(B26&gt;Rates!B26,Rates!D26,0)+IF(B26&gt;Rates!B27,Rates!D27,0)+IF(B26&gt;Rates!B28,Rates!D28,0)+IF(B26&gt;Rates!B29,Rates!D29,0)+IF(B26&gt;Rates!B29,(B26-Rates!B29)*Rates!C30,0)+IF(B26&lt;Rates!B26,B26*Rates!C26)+IF(AND(Output!B26&gt;=Rates!A27,Output!B26&lt;Rates!B27),(Output!B26-Rates!A27)*Rates!C27,0)+IF(AND(Output!B26&gt;=Rates!A28,Output!B26&lt;Rates!B28),(Output!B26-Rates!A28)*Rates!C28,0)+IF(AND(Output!B26&gt;=Rates!A29,Output!B26&lt;Rates!B29),(Output!B26-Rates!A29)*Rates!C29,0)</f>
        <v>4253.125</v>
      </c>
    </row>
    <row r="28" spans="1:3" x14ac:dyDescent="0.3">
      <c r="A28" s="23" t="s">
        <v>0</v>
      </c>
      <c r="B28" s="4">
        <f>Rates!B2</f>
        <v>2400</v>
      </c>
    </row>
    <row r="29" spans="1:3" x14ac:dyDescent="0.3">
      <c r="A29" s="23" t="s">
        <v>2</v>
      </c>
      <c r="B29" s="4">
        <f>MIN(B21*Rates!B18,Rates!B12)</f>
        <v>0</v>
      </c>
    </row>
    <row r="30" spans="1:3" x14ac:dyDescent="0.3">
      <c r="A30" s="23" t="s">
        <v>21</v>
      </c>
      <c r="B30" s="9">
        <f ca="1">MAX(B27-B28-B29,0)</f>
        <v>1853.125</v>
      </c>
      <c r="C30" s="6"/>
    </row>
    <row r="31" spans="1:3" x14ac:dyDescent="0.3">
      <c r="A31" s="23" t="s">
        <v>22</v>
      </c>
      <c r="B31" s="27">
        <f ca="1">B13+SUM(B14:B25)-B30</f>
        <v>29559.375</v>
      </c>
    </row>
    <row r="32" spans="1:3" x14ac:dyDescent="0.3">
      <c r="A32" s="23" t="s">
        <v>44</v>
      </c>
      <c r="B32" s="28">
        <f ca="1">B31*Inputs!B9/Rates!B21</f>
        <v>28605.846774193549</v>
      </c>
      <c r="C32" t="s">
        <v>55</v>
      </c>
    </row>
    <row r="33" spans="1:3" x14ac:dyDescent="0.3">
      <c r="A33" s="23" t="s">
        <v>53</v>
      </c>
      <c r="B33" s="26">
        <f ca="1">IFERROR(B31*Rates!B22,0)</f>
        <v>17735.625</v>
      </c>
      <c r="C33" t="s">
        <v>54</v>
      </c>
    </row>
    <row r="34" spans="1:3" x14ac:dyDescent="0.3">
      <c r="A34" s="23" t="s">
        <v>50</v>
      </c>
      <c r="B34" s="25">
        <f ca="1">IFERROR(MIN(B32:B33),0)</f>
        <v>17735.625</v>
      </c>
      <c r="C34" t="s">
        <v>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Rates</vt:lpstr>
      <vt:lpstr>Inputs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Jason Crawford</cp:lastModifiedBy>
  <dcterms:created xsi:type="dcterms:W3CDTF">2025-10-07T11:20:53Z</dcterms:created>
  <dcterms:modified xsi:type="dcterms:W3CDTF">2025-10-22T09:38:55Z</dcterms:modified>
</cp:coreProperties>
</file>