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rcellation\Github\Histological_evaluation\Fig_3A\statistical_analysis\"/>
    </mc:Choice>
  </mc:AlternateContent>
  <xr:revisionPtr revIDLastSave="0" documentId="13_ncr:1_{375756F7-F5B0-4365-BB78-2AE86A522517}" xr6:coauthVersionLast="47" xr6:coauthVersionMax="47" xr10:uidLastSave="{00000000-0000-0000-0000-000000000000}"/>
  <bookViews>
    <workbookView xWindow="28680" yWindow="-120" windowWidth="29040" windowHeight="15720" activeTab="4" xr2:uid="{1A2B7F8B-8612-4DFF-A253-3F1AF97C53AC}"/>
  </bookViews>
  <sheets>
    <sheet name="voxel_counts_1" sheetId="2" r:id="rId1"/>
    <sheet name="voxel_counts_2" sheetId="3" r:id="rId2"/>
    <sheet name="voxel_counts_3" sheetId="4" r:id="rId3"/>
    <sheet name="voxel_counts_4" sheetId="5" r:id="rId4"/>
    <sheet name="Analysis" sheetId="1" r:id="rId5"/>
  </sheets>
  <externalReferences>
    <externalReference r:id="rId6"/>
  </externalReferences>
  <definedNames>
    <definedName name="ExternalData_1" localSheetId="0" hidden="1">voxel_counts_1!$A$1:$B$16</definedName>
    <definedName name="ExternalData_1" localSheetId="1" hidden="1">voxel_counts_2!$A$1:$B$16</definedName>
    <definedName name="ExternalData_1" localSheetId="2" hidden="1">voxel_counts_3!$A$1:$B$16</definedName>
    <definedName name="ExternalData_1" localSheetId="3" hidden="1">voxel_counts_4!$A$1:$B$16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" i="1" l="1"/>
  <c r="S33" i="1" s="1"/>
  <c r="B17" i="1"/>
  <c r="C18" i="1" s="1"/>
  <c r="B18" i="1"/>
  <c r="O56" i="1"/>
  <c r="O55" i="1"/>
  <c r="O54" i="1"/>
  <c r="O53" i="1"/>
  <c r="M53" i="1"/>
  <c r="O52" i="1"/>
  <c r="O51" i="1"/>
  <c r="N48" i="1"/>
  <c r="N47" i="1"/>
  <c r="L47" i="1"/>
  <c r="M56" i="1" s="1"/>
  <c r="N46" i="1"/>
  <c r="L46" i="1"/>
  <c r="M54" i="1" s="1"/>
  <c r="N45" i="1"/>
  <c r="L45" i="1"/>
  <c r="L55" i="1" s="1"/>
  <c r="N44" i="1"/>
  <c r="L44" i="1"/>
  <c r="L53" i="1" s="1"/>
  <c r="J47" i="1"/>
  <c r="G47" i="1"/>
  <c r="H47" i="1"/>
  <c r="I47" i="1"/>
  <c r="F47" i="1"/>
  <c r="G45" i="1"/>
  <c r="H45" i="1"/>
  <c r="I45" i="1"/>
  <c r="F45" i="1"/>
  <c r="G44" i="1"/>
  <c r="H44" i="1"/>
  <c r="I44" i="1"/>
  <c r="F44" i="1"/>
  <c r="J4" i="1"/>
  <c r="K4" i="1"/>
  <c r="L4" i="1"/>
  <c r="I4" i="1"/>
  <c r="S31" i="1"/>
  <c r="X31" i="1"/>
  <c r="S32" i="1"/>
  <c r="X32" i="1"/>
  <c r="X33" i="1"/>
  <c r="S34" i="1"/>
  <c r="X34" i="1"/>
  <c r="S35" i="1"/>
  <c r="X35" i="1"/>
  <c r="X30" i="1"/>
  <c r="S30" i="1"/>
  <c r="R35" i="1"/>
  <c r="Q35" i="1"/>
  <c r="R34" i="1"/>
  <c r="Q34" i="1"/>
  <c r="Q33" i="1"/>
  <c r="R32" i="1"/>
  <c r="Q32" i="1"/>
  <c r="R31" i="1"/>
  <c r="Q31" i="1"/>
  <c r="R30" i="1"/>
  <c r="Q30" i="1"/>
  <c r="S27" i="1"/>
  <c r="R27" i="1"/>
  <c r="Q27" i="1"/>
  <c r="R26" i="1"/>
  <c r="Q26" i="1"/>
  <c r="P26" i="1"/>
  <c r="O26" i="1"/>
  <c r="P35" i="1" s="1"/>
  <c r="R25" i="1"/>
  <c r="Q25" i="1"/>
  <c r="P25" i="1"/>
  <c r="O25" i="1"/>
  <c r="O35" i="1" s="1"/>
  <c r="R24" i="1"/>
  <c r="Q24" i="1"/>
  <c r="P24" i="1"/>
  <c r="O24" i="1"/>
  <c r="O34" i="1" s="1"/>
  <c r="R23" i="1"/>
  <c r="Q23" i="1"/>
  <c r="P23" i="1"/>
  <c r="O23" i="1"/>
  <c r="O32" i="1" s="1"/>
  <c r="H34" i="1"/>
  <c r="G34" i="1"/>
  <c r="F34" i="1"/>
  <c r="F33" i="1"/>
  <c r="F32" i="1"/>
  <c r="K32" i="1" s="1"/>
  <c r="J28" i="1"/>
  <c r="I28" i="1"/>
  <c r="H28" i="1"/>
  <c r="G28" i="1"/>
  <c r="F28" i="1"/>
  <c r="E28" i="1"/>
  <c r="J27" i="1"/>
  <c r="I27" i="1"/>
  <c r="H27" i="1"/>
  <c r="G27" i="1"/>
  <c r="F27" i="1"/>
  <c r="E27" i="1"/>
  <c r="J26" i="1"/>
  <c r="I26" i="1"/>
  <c r="H26" i="1"/>
  <c r="G26" i="1"/>
  <c r="F26" i="1"/>
  <c r="E26" i="1"/>
  <c r="J25" i="1"/>
  <c r="I25" i="1"/>
  <c r="H25" i="1"/>
  <c r="G25" i="1"/>
  <c r="F25" i="1"/>
  <c r="E25" i="1"/>
  <c r="C17" i="1"/>
  <c r="D17" i="1"/>
  <c r="E17" i="1"/>
  <c r="F46" i="1"/>
  <c r="K13" i="1"/>
  <c r="L6" i="1"/>
  <c r="V30" i="1"/>
  <c r="M44" i="1"/>
  <c r="J13" i="1"/>
  <c r="J17" i="1" a="1"/>
  <c r="P48" i="1"/>
  <c r="T27" i="1"/>
  <c r="K6" i="1"/>
  <c r="J6" i="1"/>
  <c r="M47" i="1"/>
  <c r="H17" i="1" a="1"/>
  <c r="I17" i="1" a="1"/>
  <c r="L12" i="1"/>
  <c r="V31" i="1"/>
  <c r="K17" i="1" a="1"/>
  <c r="V33" i="1"/>
  <c r="I6" i="1"/>
  <c r="I5" i="1"/>
  <c r="I13" i="1"/>
  <c r="I46" i="1"/>
  <c r="H46" i="1"/>
  <c r="K12" i="1"/>
  <c r="J5" i="1"/>
  <c r="K5" i="1"/>
  <c r="J12" i="1"/>
  <c r="V34" i="1"/>
  <c r="M46" i="1"/>
  <c r="G46" i="1"/>
  <c r="L13" i="1"/>
  <c r="I12" i="1"/>
  <c r="M45" i="1"/>
  <c r="V32" i="1"/>
  <c r="L5" i="1"/>
  <c r="V35" i="1"/>
  <c r="P34" i="1" l="1"/>
  <c r="P32" i="1"/>
  <c r="P33" i="1"/>
  <c r="O30" i="1"/>
  <c r="P31" i="1"/>
  <c r="O31" i="1"/>
  <c r="G32" i="1"/>
  <c r="G33" i="1" s="1"/>
  <c r="H33" i="1" s="1"/>
  <c r="L51" i="1"/>
  <c r="L52" i="1"/>
  <c r="L54" i="1"/>
  <c r="M51" i="1"/>
  <c r="J51" i="1"/>
  <c r="O33" i="1"/>
  <c r="P30" i="1"/>
  <c r="M55" i="1"/>
  <c r="L56" i="1"/>
  <c r="M52" i="1"/>
  <c r="K17" i="1"/>
  <c r="J17" i="1"/>
  <c r="I17" i="1"/>
  <c r="H17" i="1"/>
  <c r="E18" i="1"/>
  <c r="D18" i="1"/>
  <c r="W31" i="1"/>
  <c r="U30" i="1"/>
  <c r="T34" i="1"/>
  <c r="T30" i="1"/>
  <c r="U32" i="1"/>
  <c r="W32" i="1"/>
  <c r="T35" i="1"/>
  <c r="W34" i="1"/>
  <c r="U35" i="1"/>
  <c r="T33" i="1"/>
  <c r="W35" i="1"/>
  <c r="T32" i="1"/>
  <c r="U33" i="1"/>
  <c r="U34" i="1"/>
  <c r="T31" i="1"/>
  <c r="W33" i="1"/>
  <c r="U31" i="1"/>
  <c r="W30" i="1"/>
  <c r="G48" i="1"/>
  <c r="I8" i="1"/>
  <c r="H48" i="1"/>
  <c r="I48" i="1"/>
  <c r="I15" i="1"/>
  <c r="O44" i="1"/>
  <c r="R56" i="1"/>
  <c r="R51" i="1"/>
  <c r="R52" i="1"/>
  <c r="R53" i="1"/>
  <c r="R54" i="1"/>
  <c r="R55" i="1"/>
  <c r="O45" i="1"/>
  <c r="O46" i="1"/>
  <c r="F48" i="1"/>
  <c r="O47" i="1"/>
  <c r="K15" i="1"/>
  <c r="J15" i="1"/>
  <c r="L15" i="1"/>
  <c r="K8" i="1"/>
  <c r="J8" i="1"/>
  <c r="L8" i="1"/>
  <c r="J48" i="1" l="1"/>
  <c r="J49" i="1" s="1"/>
  <c r="K28" i="1"/>
  <c r="M28" i="1" s="1"/>
  <c r="K27" i="1"/>
  <c r="M27" i="1" s="1"/>
  <c r="L32" i="1"/>
  <c r="H32" i="1"/>
  <c r="I32" i="1" s="1"/>
  <c r="J32" i="1" s="1"/>
  <c r="M32" i="1"/>
  <c r="K25" i="1"/>
  <c r="M25" i="1" s="1"/>
  <c r="K26" i="1"/>
  <c r="M26" i="1" s="1"/>
  <c r="N51" i="1"/>
  <c r="P51" i="1" s="1"/>
  <c r="N53" i="1"/>
  <c r="P53" i="1" s="1"/>
  <c r="N52" i="1"/>
  <c r="P52" i="1" s="1"/>
  <c r="N56" i="1"/>
  <c r="P56" i="1" s="1"/>
  <c r="N54" i="1"/>
  <c r="P54" i="1" s="1"/>
  <c r="N55" i="1"/>
  <c r="P55" i="1" s="1"/>
  <c r="Q54" i="1"/>
  <c r="Q51" i="1"/>
  <c r="Q53" i="1"/>
  <c r="Q55" i="1"/>
  <c r="Q52" i="1"/>
  <c r="Q56" i="1"/>
  <c r="J50" i="1"/>
  <c r="J52" i="1" l="1"/>
  <c r="J54" i="1" s="1"/>
  <c r="L28" i="1"/>
  <c r="L27" i="1"/>
  <c r="L26" i="1"/>
  <c r="L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C8B4B-D217-40F8-93AB-5DB3E61A2538}" keepAlive="1" name="Query - voxel_counts_1" description="Connection to the 'voxel_counts_1' query in the workbook." type="5" refreshedVersion="8" background="1" saveData="1">
    <dbPr connection="Provider=Microsoft.Mashup.OleDb.1;Data Source=$Workbook$;Location=voxel_counts_1;Extended Properties=&quot;&quot;" command="SELECT * FROM [voxel_counts_1]"/>
  </connection>
  <connection id="2" xr16:uid="{9FED91A8-AD86-40D5-9424-96E7685AE3FB}" keepAlive="1" name="Query - voxel_counts_2" description="Connection to the 'voxel_counts_2' query in the workbook." type="5" refreshedVersion="8" background="1" saveData="1">
    <dbPr connection="Provider=Microsoft.Mashup.OleDb.1;Data Source=$Workbook$;Location=voxel_counts_2;Extended Properties=&quot;&quot;" command="SELECT * FROM [voxel_counts_2]"/>
  </connection>
  <connection id="3" xr16:uid="{BB3FB47F-3F1E-47E8-91B6-3434E3505ED3}" keepAlive="1" name="Query - voxel_counts_3" description="Connection to the 'voxel_counts_3' query in the workbook." type="5" refreshedVersion="8" background="1" saveData="1">
    <dbPr connection="Provider=Microsoft.Mashup.OleDb.1;Data Source=$Workbook$;Location=voxel_counts_3;Extended Properties=&quot;&quot;" command="SELECT * FROM [voxel_counts_3]"/>
  </connection>
  <connection id="4" xr16:uid="{9BE3A60E-69C1-49B4-A0E8-CF311023029E}" keepAlive="1" name="Query - voxel_counts_4" description="Connection to the 'voxel_counts_4' query in the workbook." type="5" refreshedVersion="8" background="1" saveData="1">
    <dbPr connection="Provider=Microsoft.Mashup.OleDb.1;Data Source=$Workbook$;Location=voxel_counts_4;Extended Properties=&quot;&quot;" command="SELECT * FROM [voxel_counts_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<sst xmlns="http://schemas.openxmlformats.org/spreadsheetml/2006/main" count="170" uniqueCount="126">
  <si>
    <t>Column1</t>
  </si>
  <si>
    <t>Column2</t>
  </si>
  <si>
    <t>ag180719c_1.nii.gz</t>
  </si>
  <si>
    <t>ag180720a_1.nii.gz</t>
  </si>
  <si>
    <t>ag180720c_1.nii.gz</t>
  </si>
  <si>
    <t>ag180723c_1.nii.gz</t>
  </si>
  <si>
    <t>ag180724a_1.nii.gz</t>
  </si>
  <si>
    <t>ag180724c_1.nii.gz</t>
  </si>
  <si>
    <t>ag180724d_1.nii.gz</t>
  </si>
  <si>
    <t>ag180725a_1.nii.gz</t>
  </si>
  <si>
    <t>ag180726b_1.nii.gz</t>
  </si>
  <si>
    <t>ag180727c_1.nii.gz</t>
  </si>
  <si>
    <t>ag180727d_1.nii.gz</t>
  </si>
  <si>
    <t>ag180730b_1.nii.gz</t>
  </si>
  <si>
    <t>ag180730c_1.nii.gz</t>
  </si>
  <si>
    <t>ag180731d_1.nii.gz</t>
  </si>
  <si>
    <t>ag180801b_1.nii.gz</t>
  </si>
  <si>
    <t>ag180719c_2.nii.gz</t>
  </si>
  <si>
    <t>ag180720a_2.nii.gz</t>
  </si>
  <si>
    <t>ag180720c_2.nii.gz</t>
  </si>
  <si>
    <t>ag180723c_2.nii.gz</t>
  </si>
  <si>
    <t>ag180724a_2.nii.gz</t>
  </si>
  <si>
    <t>ag180724c_2.nii.gz</t>
  </si>
  <si>
    <t>ag180724d_2.nii.gz</t>
  </si>
  <si>
    <t>ag180725a_2.nii.gz</t>
  </si>
  <si>
    <t>ag180726b_2.nii.gz</t>
  </si>
  <si>
    <t>ag180727c_2.nii.gz</t>
  </si>
  <si>
    <t>ag180727d_2.nii.gz</t>
  </si>
  <si>
    <t>ag180730b_2.nii.gz</t>
  </si>
  <si>
    <t>ag180730c_2.nii.gz</t>
  </si>
  <si>
    <t>ag180731d_2.nii.gz</t>
  </si>
  <si>
    <t>ag180801b_2.nii.gz</t>
  </si>
  <si>
    <t>ag180719c_3.nii.gz</t>
  </si>
  <si>
    <t>ag180720a_3.nii.gz</t>
  </si>
  <si>
    <t>ag180720c_3.nii.gz</t>
  </si>
  <si>
    <t>ag180723c_3.nii.gz</t>
  </si>
  <si>
    <t>ag180724a_3.nii.gz</t>
  </si>
  <si>
    <t>ag180724c_3.nii.gz</t>
  </si>
  <si>
    <t>ag180724d_3.nii.gz</t>
  </si>
  <si>
    <t>ag180725a_3.nii.gz</t>
  </si>
  <si>
    <t>ag180726b_3.nii.gz</t>
  </si>
  <si>
    <t>ag180727c_3.nii.gz</t>
  </si>
  <si>
    <t>ag180727d_3.nii.gz</t>
  </si>
  <si>
    <t>ag180730b_3.nii.gz</t>
  </si>
  <si>
    <t>ag180730c_3.nii.gz</t>
  </si>
  <si>
    <t>ag180731d_3.nii.gz</t>
  </si>
  <si>
    <t>ag180801b_3.nii.gz</t>
  </si>
  <si>
    <t>ag180719c_4.nii.gz</t>
  </si>
  <si>
    <t>ag180720a_4.nii.gz</t>
  </si>
  <si>
    <t>ag180720c_4.nii.gz</t>
  </si>
  <si>
    <t>ag180723c_4.nii.gz</t>
  </si>
  <si>
    <t>ag180724a_4.nii.gz</t>
  </si>
  <si>
    <t>ag180724c_4.nii.gz</t>
  </si>
  <si>
    <t>ag180724d_4.nii.gz</t>
  </si>
  <si>
    <t>ag180725a_4.nii.gz</t>
  </si>
  <si>
    <t>ag180726b_4.nii.gz</t>
  </si>
  <si>
    <t>ag180727c_4.nii.gz</t>
  </si>
  <si>
    <t>ag180727d_4.nii.gz</t>
  </si>
  <si>
    <t>ag180730b_4.nii.gz</t>
  </si>
  <si>
    <t>ag180730c_4.nii.gz</t>
  </si>
  <si>
    <t>ag180731d_4.nii.gz</t>
  </si>
  <si>
    <t>ag180801b_4.nii.gz</t>
  </si>
  <si>
    <t>Cluster_1</t>
  </si>
  <si>
    <t>Cluster_2</t>
  </si>
  <si>
    <t>Mean</t>
  </si>
  <si>
    <t>ANOVA: Single Factor</t>
  </si>
  <si>
    <t>DESCRIPTION</t>
  </si>
  <si>
    <t>Alpha</t>
  </si>
  <si>
    <t>Group</t>
  </si>
  <si>
    <t>Count</t>
  </si>
  <si>
    <t>Sum</t>
  </si>
  <si>
    <t>Variance</t>
  </si>
  <si>
    <t>SS</t>
  </si>
  <si>
    <t>Std Err</t>
  </si>
  <si>
    <t>Lower</t>
  </si>
  <si>
    <t>Upper</t>
  </si>
  <si>
    <t>ANOVA</t>
  </si>
  <si>
    <t>Sources</t>
  </si>
  <si>
    <t>df</t>
  </si>
  <si>
    <t>MS</t>
  </si>
  <si>
    <t>F</t>
  </si>
  <si>
    <t>P value</t>
  </si>
  <si>
    <t>Eta-sq</t>
  </si>
  <si>
    <t>RMSSE</t>
  </si>
  <si>
    <t>Omega Sq</t>
  </si>
  <si>
    <t>Between Groups</t>
  </si>
  <si>
    <t>Within Groups</t>
  </si>
  <si>
    <t>Total</t>
  </si>
  <si>
    <t>TUKEY HSD/KRAMER</t>
  </si>
  <si>
    <t>alpha</t>
  </si>
  <si>
    <t>group</t>
  </si>
  <si>
    <t>mean</t>
  </si>
  <si>
    <t>n</t>
  </si>
  <si>
    <t>ss</t>
  </si>
  <si>
    <t>q-crit</t>
  </si>
  <si>
    <t>Q TEST</t>
  </si>
  <si>
    <t>group 1</t>
  </si>
  <si>
    <t>group 2</t>
  </si>
  <si>
    <t>std err</t>
  </si>
  <si>
    <t>q-stat</t>
  </si>
  <si>
    <t>lower</t>
  </si>
  <si>
    <t>upper</t>
  </si>
  <si>
    <t>p-value</t>
  </si>
  <si>
    <t>mean-crit</t>
  </si>
  <si>
    <t>Cohen d</t>
  </si>
  <si>
    <t>Shapiro-Wilk Test</t>
  </si>
  <si>
    <t>W-stat</t>
  </si>
  <si>
    <t>normal</t>
  </si>
  <si>
    <t>d'Agostino-Pearson</t>
  </si>
  <si>
    <t>DA-stat</t>
  </si>
  <si>
    <t>Kruskal-Wallis Test</t>
  </si>
  <si>
    <t>median</t>
  </si>
  <si>
    <t>rank sum</t>
  </si>
  <si>
    <t>count</t>
  </si>
  <si>
    <t>r^2/n</t>
  </si>
  <si>
    <t>H-stat</t>
  </si>
  <si>
    <t>H-ties</t>
  </si>
  <si>
    <t>sig</t>
  </si>
  <si>
    <t>NEMENYI TEST</t>
  </si>
  <si>
    <t>R sum</t>
  </si>
  <si>
    <t>size</t>
  </si>
  <si>
    <t>R mean</t>
  </si>
  <si>
    <t>R-crit</t>
  </si>
  <si>
    <t>Percentage</t>
  </si>
  <si>
    <t>Cluster_3</t>
  </si>
  <si>
    <t>Clsuter_4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</si>
</sst>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right"/>
    </xf>
    <xf numFmtId="0" fontId="0" fillId="3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eal_Statistics_toolbox\XRealStatsX.xlam" TargetMode="External"/><Relationship Id="rId1" Type="http://schemas.openxmlformats.org/officeDocument/2006/relationships/externalLinkPath" Target="/Real_Statistics_toolbox/XRealStats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L4 2"/>
      <sheetName val="L8 2"/>
      <sheetName val="L8 42"/>
      <sheetName val="L9 3"/>
      <sheetName val="L12 2"/>
      <sheetName val="L16 2"/>
      <sheetName val="L16 4"/>
      <sheetName val="L16 42a"/>
      <sheetName val="L18 23"/>
      <sheetName val="L18 63"/>
      <sheetName val="L25 5"/>
      <sheetName val="L27 3"/>
      <sheetName val="L32 2"/>
      <sheetName val="L32 24"/>
      <sheetName val="L36 23a"/>
      <sheetName val="L36 23b"/>
      <sheetName val="L50 25"/>
      <sheetName val="L54 23"/>
      <sheetName val="L64 4"/>
      <sheetName val="T2"/>
      <sheetName val="T3"/>
      <sheetName val="T4"/>
    </sheetNames>
    <definedNames>
      <definedName name="DAGOSTINO"/>
      <definedName name="DPTEST"/>
      <definedName name="QCRIT"/>
      <definedName name="QDIST"/>
      <definedName name="RANK_SUM"/>
      <definedName name="SHAPIRO"/>
      <definedName name="STDERR"/>
      <definedName name="SWTES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942B73-EE88-4F51-8AE6-BA1950A350C6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EB6953-3262-4916-AA47-E3150311D92E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A060DC-05ED-4CD7-82CC-A23BDB37705D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59CE2AC-D5F5-4A35-BEDA-84F45D994DFE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6336A-58FA-4B11-82E8-10C834316B42}" name="voxel_counts_1" displayName="voxel_counts_1" ref="A1:B16" tableType="queryTable" totalsRowShown="0">
  <autoFilter ref="A1:B16" xr:uid="{8B36336A-58FA-4B11-82E8-10C834316B42}"/>
  <tableColumns count="2">
    <tableColumn id="1" xr3:uid="{BD271A7B-C605-464C-8930-21B9BAB6F826}" uniqueName="1" name="Column1" queryTableFieldId="1" dataDxfId="3"/>
    <tableColumn id="2" xr3:uid="{FBB532FA-6FC4-46A3-A57A-D0CAFC3236FD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5D6F80-A288-4B9E-8C4E-4B12E3E4364D}" name="voxel_counts_2" displayName="voxel_counts_2" ref="A1:B16" tableType="queryTable" totalsRowShown="0">
  <autoFilter ref="A1:B16" xr:uid="{835D6F80-A288-4B9E-8C4E-4B12E3E4364D}"/>
  <tableColumns count="2">
    <tableColumn id="1" xr3:uid="{1B170A8A-AF30-4064-8742-BAA2020817CB}" uniqueName="1" name="Column1" queryTableFieldId="1" dataDxfId="2"/>
    <tableColumn id="2" xr3:uid="{436506BB-F24D-4738-B0F5-ABA74203E4BA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30A234-60C5-4500-B69D-A90E03294FCF}" name="voxel_counts_3" displayName="voxel_counts_3" ref="A1:B16" tableType="queryTable" totalsRowShown="0">
  <autoFilter ref="A1:B16" xr:uid="{5E30A234-60C5-4500-B69D-A90E03294FCF}"/>
  <tableColumns count="2">
    <tableColumn id="1" xr3:uid="{24F75643-6CCC-4A7C-8A59-D33B76E59C7B}" uniqueName="1" name="Column1" queryTableFieldId="1" dataDxfId="1"/>
    <tableColumn id="2" xr3:uid="{E9552513-98BA-4CAC-A6A6-1FF9CC2A5F46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0513B-3D0F-449F-A433-47A1B51919B0}" name="voxel_counts_4" displayName="voxel_counts_4" ref="A1:B16" tableType="queryTable" totalsRowShown="0">
  <autoFilter ref="A1:B16" xr:uid="{7090513B-3D0F-449F-A433-47A1B51919B0}"/>
  <tableColumns count="2">
    <tableColumn id="1" xr3:uid="{B00069AC-C0AB-43B0-8DD4-606ADF89A7A8}" uniqueName="1" name="Column1" queryTableFieldId="1" dataDxfId="0"/>
    <tableColumn id="2" xr3:uid="{CD33DABD-D8D5-4D75-AE91-8F78A63E32B0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9272-4AFA-40A4-8446-37C460FA5F2D}">
  <dimension ref="A1:B16"/>
  <sheetViews>
    <sheetView workbookViewId="0">
      <selection activeCell="E26" sqref="E26"/>
    </sheetView>
  </sheetViews>
  <sheetFormatPr defaultRowHeight="15" x14ac:dyDescent="0.25"/>
  <cols>
    <col min="1" max="1" width="17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287</v>
      </c>
    </row>
    <row r="3" spans="1:2" x14ac:dyDescent="0.25">
      <c r="A3" t="s">
        <v>3</v>
      </c>
      <c r="B3">
        <v>259</v>
      </c>
    </row>
    <row r="4" spans="1:2" x14ac:dyDescent="0.25">
      <c r="A4" t="s">
        <v>4</v>
      </c>
      <c r="B4">
        <v>299</v>
      </c>
    </row>
    <row r="5" spans="1:2" x14ac:dyDescent="0.25">
      <c r="A5" t="s">
        <v>5</v>
      </c>
      <c r="B5">
        <v>282</v>
      </c>
    </row>
    <row r="6" spans="1:2" x14ac:dyDescent="0.25">
      <c r="A6" t="s">
        <v>6</v>
      </c>
      <c r="B6">
        <v>472</v>
      </c>
    </row>
    <row r="7" spans="1:2" x14ac:dyDescent="0.25">
      <c r="A7" t="s">
        <v>7</v>
      </c>
      <c r="B7">
        <v>127</v>
      </c>
    </row>
    <row r="8" spans="1:2" x14ac:dyDescent="0.25">
      <c r="A8" t="s">
        <v>8</v>
      </c>
      <c r="B8">
        <v>251</v>
      </c>
    </row>
    <row r="9" spans="1:2" x14ac:dyDescent="0.25">
      <c r="A9" t="s">
        <v>9</v>
      </c>
      <c r="B9">
        <v>331</v>
      </c>
    </row>
    <row r="10" spans="1:2" x14ac:dyDescent="0.25">
      <c r="A10" t="s">
        <v>10</v>
      </c>
      <c r="B10">
        <v>271</v>
      </c>
    </row>
    <row r="11" spans="1:2" x14ac:dyDescent="0.25">
      <c r="A11" t="s">
        <v>11</v>
      </c>
      <c r="B11">
        <v>243</v>
      </c>
    </row>
    <row r="12" spans="1:2" x14ac:dyDescent="0.25">
      <c r="A12" t="s">
        <v>12</v>
      </c>
      <c r="B12">
        <v>285</v>
      </c>
    </row>
    <row r="13" spans="1:2" x14ac:dyDescent="0.25">
      <c r="A13" t="s">
        <v>13</v>
      </c>
      <c r="B13">
        <v>179</v>
      </c>
    </row>
    <row r="14" spans="1:2" x14ac:dyDescent="0.25">
      <c r="A14" t="s">
        <v>14</v>
      </c>
      <c r="B14">
        <v>9</v>
      </c>
    </row>
    <row r="15" spans="1:2" x14ac:dyDescent="0.25">
      <c r="A15" t="s">
        <v>15</v>
      </c>
      <c r="B15">
        <v>259</v>
      </c>
    </row>
    <row r="16" spans="1:2" x14ac:dyDescent="0.25">
      <c r="A16" t="s">
        <v>16</v>
      </c>
      <c r="B16">
        <v>267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90F9-0FFC-4C7C-98BA-657BCF2D2E7F}">
  <dimension ref="A1:B16"/>
  <sheetViews>
    <sheetView workbookViewId="0">
      <selection activeCell="C1" sqref="C1:C1048576"/>
    </sheetView>
  </sheetViews>
  <sheetFormatPr defaultRowHeight="15" x14ac:dyDescent="0.25"/>
  <cols>
    <col min="1" max="1" width="17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>
        <v>337</v>
      </c>
    </row>
    <row r="3" spans="1:2" x14ac:dyDescent="0.25">
      <c r="A3" t="s">
        <v>18</v>
      </c>
      <c r="B3">
        <v>372</v>
      </c>
    </row>
    <row r="4" spans="1:2" x14ac:dyDescent="0.25">
      <c r="A4" t="s">
        <v>19</v>
      </c>
      <c r="B4">
        <v>446</v>
      </c>
    </row>
    <row r="5" spans="1:2" x14ac:dyDescent="0.25">
      <c r="A5" t="s">
        <v>20</v>
      </c>
      <c r="B5">
        <v>378</v>
      </c>
    </row>
    <row r="6" spans="1:2" x14ac:dyDescent="0.25">
      <c r="A6" t="s">
        <v>21</v>
      </c>
      <c r="B6">
        <v>500</v>
      </c>
    </row>
    <row r="7" spans="1:2" x14ac:dyDescent="0.25">
      <c r="A7" t="s">
        <v>22</v>
      </c>
      <c r="B7">
        <v>215</v>
      </c>
    </row>
    <row r="8" spans="1:2" x14ac:dyDescent="0.25">
      <c r="A8" t="s">
        <v>23</v>
      </c>
      <c r="B8">
        <v>296</v>
      </c>
    </row>
    <row r="9" spans="1:2" x14ac:dyDescent="0.25">
      <c r="A9" t="s">
        <v>24</v>
      </c>
      <c r="B9">
        <v>230</v>
      </c>
    </row>
    <row r="10" spans="1:2" x14ac:dyDescent="0.25">
      <c r="A10" t="s">
        <v>25</v>
      </c>
      <c r="B10">
        <v>325</v>
      </c>
    </row>
    <row r="11" spans="1:2" x14ac:dyDescent="0.25">
      <c r="A11" t="s">
        <v>26</v>
      </c>
      <c r="B11">
        <v>357</v>
      </c>
    </row>
    <row r="12" spans="1:2" x14ac:dyDescent="0.25">
      <c r="A12" t="s">
        <v>27</v>
      </c>
      <c r="B12">
        <v>372</v>
      </c>
    </row>
    <row r="13" spans="1:2" x14ac:dyDescent="0.25">
      <c r="A13" t="s">
        <v>28</v>
      </c>
      <c r="B13">
        <v>506</v>
      </c>
    </row>
    <row r="14" spans="1:2" x14ac:dyDescent="0.25">
      <c r="A14" t="s">
        <v>29</v>
      </c>
      <c r="B14">
        <v>428</v>
      </c>
    </row>
    <row r="15" spans="1:2" x14ac:dyDescent="0.25">
      <c r="A15" t="s">
        <v>30</v>
      </c>
      <c r="B15">
        <v>332</v>
      </c>
    </row>
    <row r="16" spans="1:2" x14ac:dyDescent="0.25">
      <c r="A16" t="s">
        <v>31</v>
      </c>
      <c r="B16">
        <v>386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350-1E07-479D-B897-CC4A6DE5F12A}">
  <dimension ref="A1:B16"/>
  <sheetViews>
    <sheetView workbookViewId="0">
      <selection activeCell="C1" sqref="C1:C1048576"/>
    </sheetView>
  </sheetViews>
  <sheetFormatPr defaultRowHeight="15" x14ac:dyDescent="0.25"/>
  <cols>
    <col min="1" max="1" width="17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32</v>
      </c>
      <c r="B2">
        <v>6</v>
      </c>
    </row>
    <row r="3" spans="1:2" x14ac:dyDescent="0.25">
      <c r="A3" t="s">
        <v>33</v>
      </c>
      <c r="B3">
        <v>3</v>
      </c>
    </row>
    <row r="4" spans="1:2" x14ac:dyDescent="0.25">
      <c r="A4" t="s">
        <v>34</v>
      </c>
      <c r="B4">
        <v>3</v>
      </c>
    </row>
    <row r="5" spans="1:2" x14ac:dyDescent="0.25">
      <c r="A5" t="s">
        <v>35</v>
      </c>
      <c r="B5">
        <v>6</v>
      </c>
    </row>
    <row r="6" spans="1:2" x14ac:dyDescent="0.25">
      <c r="A6" t="s">
        <v>36</v>
      </c>
      <c r="B6">
        <v>16</v>
      </c>
    </row>
    <row r="7" spans="1:2" x14ac:dyDescent="0.25">
      <c r="A7" t="s">
        <v>37</v>
      </c>
      <c r="B7">
        <v>0</v>
      </c>
    </row>
    <row r="8" spans="1:2" x14ac:dyDescent="0.25">
      <c r="A8" t="s">
        <v>38</v>
      </c>
      <c r="B8">
        <v>6</v>
      </c>
    </row>
    <row r="9" spans="1:2" x14ac:dyDescent="0.25">
      <c r="A9" t="s">
        <v>39</v>
      </c>
      <c r="B9">
        <v>6</v>
      </c>
    </row>
    <row r="10" spans="1:2" x14ac:dyDescent="0.25">
      <c r="A10" t="s">
        <v>40</v>
      </c>
      <c r="B10">
        <v>0</v>
      </c>
    </row>
    <row r="11" spans="1:2" x14ac:dyDescent="0.25">
      <c r="A11" t="s">
        <v>41</v>
      </c>
      <c r="B11">
        <v>0</v>
      </c>
    </row>
    <row r="12" spans="1:2" x14ac:dyDescent="0.25">
      <c r="A12" t="s">
        <v>42</v>
      </c>
      <c r="B12">
        <v>0</v>
      </c>
    </row>
    <row r="13" spans="1:2" x14ac:dyDescent="0.25">
      <c r="A13" t="s">
        <v>43</v>
      </c>
      <c r="B13">
        <v>0</v>
      </c>
    </row>
    <row r="14" spans="1:2" x14ac:dyDescent="0.25">
      <c r="A14" t="s">
        <v>44</v>
      </c>
      <c r="B14">
        <v>0</v>
      </c>
    </row>
    <row r="15" spans="1:2" x14ac:dyDescent="0.25">
      <c r="A15" t="s">
        <v>45</v>
      </c>
      <c r="B15">
        <v>0</v>
      </c>
    </row>
    <row r="16" spans="1:2" x14ac:dyDescent="0.25">
      <c r="A16" t="s">
        <v>46</v>
      </c>
      <c r="B1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DA11-C521-4AD3-9229-A6FE80E3AF8A}">
  <dimension ref="A1:B16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</v>
      </c>
      <c r="B2">
        <v>653</v>
      </c>
    </row>
    <row r="3" spans="1:2" x14ac:dyDescent="0.25">
      <c r="A3" t="s">
        <v>48</v>
      </c>
      <c r="B3">
        <v>705</v>
      </c>
    </row>
    <row r="4" spans="1:2" x14ac:dyDescent="0.25">
      <c r="A4" t="s">
        <v>49</v>
      </c>
      <c r="B4">
        <v>751</v>
      </c>
    </row>
    <row r="5" spans="1:2" x14ac:dyDescent="0.25">
      <c r="A5" t="s">
        <v>50</v>
      </c>
      <c r="B5">
        <v>685</v>
      </c>
    </row>
    <row r="6" spans="1:2" x14ac:dyDescent="0.25">
      <c r="A6" t="s">
        <v>51</v>
      </c>
      <c r="B6">
        <v>837</v>
      </c>
    </row>
    <row r="7" spans="1:2" x14ac:dyDescent="0.25">
      <c r="A7" t="s">
        <v>52</v>
      </c>
      <c r="B7">
        <v>587</v>
      </c>
    </row>
    <row r="8" spans="1:2" x14ac:dyDescent="0.25">
      <c r="A8" t="s">
        <v>53</v>
      </c>
      <c r="B8">
        <v>561</v>
      </c>
    </row>
    <row r="9" spans="1:2" x14ac:dyDescent="0.25">
      <c r="A9" t="s">
        <v>54</v>
      </c>
      <c r="B9">
        <v>621</v>
      </c>
    </row>
    <row r="10" spans="1:2" x14ac:dyDescent="0.25">
      <c r="A10" t="s">
        <v>55</v>
      </c>
      <c r="B10">
        <v>590</v>
      </c>
    </row>
    <row r="11" spans="1:2" x14ac:dyDescent="0.25">
      <c r="A11" t="s">
        <v>56</v>
      </c>
      <c r="B11">
        <v>647</v>
      </c>
    </row>
    <row r="12" spans="1:2" x14ac:dyDescent="0.25">
      <c r="A12" t="s">
        <v>57</v>
      </c>
      <c r="B12">
        <v>646</v>
      </c>
    </row>
    <row r="13" spans="1:2" x14ac:dyDescent="0.25">
      <c r="A13" t="s">
        <v>58</v>
      </c>
      <c r="B13">
        <v>585</v>
      </c>
    </row>
    <row r="14" spans="1:2" x14ac:dyDescent="0.25">
      <c r="A14" t="s">
        <v>59</v>
      </c>
      <c r="B14">
        <v>685</v>
      </c>
    </row>
    <row r="15" spans="1:2" x14ac:dyDescent="0.25">
      <c r="A15" t="s">
        <v>60</v>
      </c>
      <c r="B15">
        <v>665</v>
      </c>
    </row>
    <row r="16" spans="1:2" x14ac:dyDescent="0.25">
      <c r="A16" t="s">
        <v>61</v>
      </c>
      <c r="B16">
        <v>677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55AB-2DA7-47FC-B607-3895E7A14E80}">
  <dimension ref="A1:X56"/>
  <sheetViews>
    <sheetView tabSelected="1" workbookViewId="0">
      <selection activeCell="E24" sqref="E24"/>
    </sheetView>
  </sheetViews>
  <sheetFormatPr defaultRowHeight="15" x14ac:dyDescent="0.25"/>
  <cols>
    <col min="1" max="1" width="17.7109375" bestFit="1" customWidth="1"/>
    <col min="2" max="5" width="11.42578125" bestFit="1" customWidth="1"/>
    <col min="22" max="22" width="11" bestFit="1" customWidth="1"/>
  </cols>
  <sheetData>
    <row r="1" spans="1:12" x14ac:dyDescent="0.25">
      <c r="A1" t="s">
        <v>0</v>
      </c>
      <c r="B1" t="s">
        <v>124</v>
      </c>
      <c r="C1" t="s">
        <v>62</v>
      </c>
      <c r="D1" t="s">
        <v>125</v>
      </c>
      <c r="E1" t="s">
        <v>63</v>
      </c>
    </row>
    <row r="2" spans="1:12" x14ac:dyDescent="0.25">
      <c r="A2" t="s">
        <v>2</v>
      </c>
      <c r="B2">
        <v>287</v>
      </c>
      <c r="C2">
        <v>337</v>
      </c>
      <c r="D2">
        <v>6</v>
      </c>
      <c r="E2">
        <v>653</v>
      </c>
      <c r="H2" t="s">
        <v>105</v>
      </c>
    </row>
    <row r="3" spans="1:12" x14ac:dyDescent="0.25">
      <c r="A3" t="s">
        <v>3</v>
      </c>
      <c r="B3">
        <v>259</v>
      </c>
      <c r="C3">
        <v>372</v>
      </c>
      <c r="D3">
        <v>3</v>
      </c>
      <c r="E3">
        <v>705</v>
      </c>
    </row>
    <row r="4" spans="1:12" x14ac:dyDescent="0.25">
      <c r="A4" t="s">
        <v>4</v>
      </c>
      <c r="B4">
        <v>299</v>
      </c>
      <c r="C4">
        <v>446</v>
      </c>
      <c r="D4">
        <v>3</v>
      </c>
      <c r="E4">
        <v>751</v>
      </c>
      <c r="H4" s="5"/>
      <c r="I4" s="5" t="str">
        <f>B1</f>
        <v>Cluster_3</v>
      </c>
      <c r="J4" s="5" t="str">
        <f t="shared" ref="J4:L4" si="0">C1</f>
        <v>Cluster_1</v>
      </c>
      <c r="K4" s="5" t="str">
        <f t="shared" si="0"/>
        <v>Clsuter_4</v>
      </c>
      <c r="L4" s="5" t="str">
        <f t="shared" si="0"/>
        <v>Cluster_2</v>
      </c>
    </row>
    <row r="5" spans="1:12" x14ac:dyDescent="0.25">
      <c r="A5" t="s">
        <v>5</v>
      </c>
      <c r="B5">
        <v>282</v>
      </c>
      <c r="C5">
        <v>378</v>
      </c>
      <c r="D5">
        <v>6</v>
      </c>
      <c r="E5">
        <v>685</v>
      </c>
      <c r="H5" t="s">
        <v>106</v>
      </c>
      <c r="I5">
        <f>[1]!SHAPIRO(B2:B16)</f>
        <v>0.87667342460361108</v>
      </c>
      <c r="J5">
        <f>[1]!SHAPIRO(C2:C16)</f>
        <v>0.96116475721553829</v>
      </c>
      <c r="K5">
        <f>[1]!SHAPIRO(D2:D16)</f>
        <v>0.71321997511413349</v>
      </c>
      <c r="L5">
        <f>[1]!SHAPIRO(E2:E16)</f>
        <v>0.92926658531657114</v>
      </c>
    </row>
    <row r="6" spans="1:12" x14ac:dyDescent="0.25">
      <c r="A6" t="s">
        <v>6</v>
      </c>
      <c r="B6">
        <v>472</v>
      </c>
      <c r="C6">
        <v>500</v>
      </c>
      <c r="D6">
        <v>16</v>
      </c>
      <c r="E6">
        <v>837</v>
      </c>
      <c r="H6" t="s">
        <v>102</v>
      </c>
      <c r="I6">
        <f>[1]!SWTEST(B2:B16)</f>
        <v>4.2333525424749441E-2</v>
      </c>
      <c r="J6">
        <f>[1]!SWTEST(C2:C16)</f>
        <v>0.71263521011869146</v>
      </c>
      <c r="K6">
        <f>[1]!SWTEST(D2:D16)</f>
        <v>3.4537624557251512E-4</v>
      </c>
      <c r="L6">
        <f>[1]!SWTEST(E2:E16)</f>
        <v>0.26606764495647939</v>
      </c>
    </row>
    <row r="7" spans="1:12" x14ac:dyDescent="0.25">
      <c r="A7" t="s">
        <v>7</v>
      </c>
      <c r="B7">
        <v>127</v>
      </c>
      <c r="C7">
        <v>215</v>
      </c>
      <c r="D7">
        <v>0</v>
      </c>
      <c r="E7">
        <v>587</v>
      </c>
      <c r="H7" t="s">
        <v>89</v>
      </c>
      <c r="I7">
        <v>0.05</v>
      </c>
      <c r="J7">
        <v>0.05</v>
      </c>
      <c r="K7">
        <v>0.05</v>
      </c>
      <c r="L7">
        <v>0.05</v>
      </c>
    </row>
    <row r="8" spans="1:12" x14ac:dyDescent="0.25">
      <c r="A8" t="s">
        <v>8</v>
      </c>
      <c r="B8">
        <v>251</v>
      </c>
      <c r="C8">
        <v>296</v>
      </c>
      <c r="D8">
        <v>6</v>
      </c>
      <c r="E8">
        <v>561</v>
      </c>
      <c r="H8" s="4" t="s">
        <v>107</v>
      </c>
      <c r="I8" s="6" t="str">
        <f>IF(I6&lt;I7,"no","yes")</f>
        <v>no</v>
      </c>
      <c r="J8" s="6" t="str">
        <f t="shared" ref="J8:L8" si="1">IF(J6&lt;J7,"no","yes")</f>
        <v>yes</v>
      </c>
      <c r="K8" s="6" t="str">
        <f t="shared" si="1"/>
        <v>no</v>
      </c>
      <c r="L8" s="6" t="str">
        <f t="shared" si="1"/>
        <v>yes</v>
      </c>
    </row>
    <row r="9" spans="1:12" x14ac:dyDescent="0.25">
      <c r="A9" t="s">
        <v>9</v>
      </c>
      <c r="B9">
        <v>331</v>
      </c>
      <c r="C9">
        <v>230</v>
      </c>
      <c r="D9">
        <v>6</v>
      </c>
      <c r="E9">
        <v>621</v>
      </c>
    </row>
    <row r="10" spans="1:12" x14ac:dyDescent="0.25">
      <c r="A10" t="s">
        <v>10</v>
      </c>
      <c r="B10">
        <v>271</v>
      </c>
      <c r="C10">
        <v>325</v>
      </c>
      <c r="D10">
        <v>0</v>
      </c>
      <c r="E10">
        <v>590</v>
      </c>
      <c r="H10" t="s">
        <v>108</v>
      </c>
    </row>
    <row r="11" spans="1:12" x14ac:dyDescent="0.25">
      <c r="A11" t="s">
        <v>11</v>
      </c>
      <c r="B11">
        <v>243</v>
      </c>
      <c r="C11">
        <v>357</v>
      </c>
      <c r="D11">
        <v>0</v>
      </c>
      <c r="E11">
        <v>647</v>
      </c>
    </row>
    <row r="12" spans="1:12" x14ac:dyDescent="0.25">
      <c r="A12" t="s">
        <v>12</v>
      </c>
      <c r="B12">
        <v>285</v>
      </c>
      <c r="C12">
        <v>372</v>
      </c>
      <c r="D12">
        <v>0</v>
      </c>
      <c r="E12">
        <v>646</v>
      </c>
      <c r="H12" s="3" t="s">
        <v>109</v>
      </c>
      <c r="I12" s="3">
        <f>[1]!DAGOSTINO(B2:B16)</f>
        <v>5.0560892766171328</v>
      </c>
      <c r="J12" s="3">
        <f>[1]!DAGOSTINO(C2:C16)</f>
        <v>2.5494442238393436E-2</v>
      </c>
      <c r="K12" s="3">
        <f>[1]!DAGOSTINO(D2:D16)</f>
        <v>15.115747903848419</v>
      </c>
      <c r="L12" s="3">
        <f>[1]!DAGOSTINO(E2:E16)</f>
        <v>4.8094607161393501</v>
      </c>
    </row>
    <row r="13" spans="1:12" x14ac:dyDescent="0.25">
      <c r="A13" t="s">
        <v>13</v>
      </c>
      <c r="B13">
        <v>179</v>
      </c>
      <c r="C13">
        <v>506</v>
      </c>
      <c r="D13">
        <v>0</v>
      </c>
      <c r="E13">
        <v>585</v>
      </c>
      <c r="H13" t="s">
        <v>102</v>
      </c>
      <c r="I13">
        <f>[1]!DPTEST(B2:B16)</f>
        <v>7.9814934867564746E-2</v>
      </c>
      <c r="J13">
        <f>[1]!DPTEST(C2:C16)</f>
        <v>0.98733368058179183</v>
      </c>
      <c r="K13">
        <f>[1]!DPTEST(D2:D16)</f>
        <v>5.2198382772872254E-4</v>
      </c>
      <c r="L13">
        <f>[1]!DPTEST(E2:E16)</f>
        <v>9.0289838254013599E-2</v>
      </c>
    </row>
    <row r="14" spans="1:12" x14ac:dyDescent="0.25">
      <c r="A14" t="s">
        <v>14</v>
      </c>
      <c r="B14">
        <v>9</v>
      </c>
      <c r="C14">
        <v>428</v>
      </c>
      <c r="D14">
        <v>0</v>
      </c>
      <c r="E14">
        <v>685</v>
      </c>
      <c r="H14" t="s">
        <v>89</v>
      </c>
      <c r="I14">
        <v>0.05</v>
      </c>
      <c r="J14">
        <v>0.05</v>
      </c>
      <c r="K14">
        <v>0.05</v>
      </c>
      <c r="L14">
        <v>0.05</v>
      </c>
    </row>
    <row r="15" spans="1:12" x14ac:dyDescent="0.25">
      <c r="A15" t="s">
        <v>15</v>
      </c>
      <c r="B15">
        <v>259</v>
      </c>
      <c r="C15">
        <v>332</v>
      </c>
      <c r="D15">
        <v>0</v>
      </c>
      <c r="E15">
        <v>665</v>
      </c>
      <c r="H15" s="4" t="s">
        <v>107</v>
      </c>
      <c r="I15" s="6" t="str">
        <f>IF(I13&lt;I14,"no","yes")</f>
        <v>yes</v>
      </c>
      <c r="J15" s="6" t="str">
        <f t="shared" ref="J15:L15" si="2">IF(J13&lt;J14,"no","yes")</f>
        <v>yes</v>
      </c>
      <c r="K15" s="6" t="str">
        <f t="shared" si="2"/>
        <v>no</v>
      </c>
      <c r="L15" s="6" t="str">
        <f t="shared" si="2"/>
        <v>yes</v>
      </c>
    </row>
    <row r="16" spans="1:12" x14ac:dyDescent="0.25">
      <c r="A16" t="s">
        <v>16</v>
      </c>
      <c r="B16">
        <v>267</v>
      </c>
      <c r="C16">
        <v>386</v>
      </c>
      <c r="D16">
        <v>0</v>
      </c>
      <c r="E16">
        <v>677</v>
      </c>
    </row>
    <row r="17" spans="1:24" x14ac:dyDescent="0.25">
      <c r="A17" s="1" t="s">
        <v>64</v>
      </c>
      <c r="B17" s="1">
        <f>ROUND(AVERAGE(B2:B16),0)</f>
        <v>255</v>
      </c>
      <c r="C17" s="1">
        <f t="shared" ref="C17:E17" si="3">ROUND(AVERAGE(C2:C16),0)</f>
        <v>365</v>
      </c>
      <c r="D17" s="1">
        <f t="shared" si="3"/>
        <v>3</v>
      </c>
      <c r="E17" s="1">
        <f t="shared" si="3"/>
        <v>660</v>
      </c>
      <c r="H17" cm="1">
        <f t="array" ref="H17">ROUND([1]!STDERR(B2:B16),0)</f>
        <v>26</v>
      </c>
      <c r="I17" cm="1">
        <f t="array" ref="I17">ROUND([1]!STDERR(C2:C16),0)</f>
        <v>22</v>
      </c>
      <c r="J17" cm="1">
        <f t="array" ref="J17">ROUND([1]!STDERR(D2:D16),0)</f>
        <v>1</v>
      </c>
      <c r="K17" cm="1">
        <f t="array" ref="K17">ROUND([1]!STDERR(E2:E16),0)</f>
        <v>18</v>
      </c>
    </row>
    <row r="18" spans="1:24" x14ac:dyDescent="0.25">
      <c r="A18" s="18" t="s">
        <v>123</v>
      </c>
      <c r="B18" s="18">
        <f>ROUND(B17/SUM($B$17:$E$17),2)</f>
        <v>0.2</v>
      </c>
      <c r="C18" s="18">
        <f t="shared" ref="C18:E18" si="4">ROUND(C17/SUM($B$17:$E$17),2)</f>
        <v>0.28000000000000003</v>
      </c>
      <c r="D18" s="18">
        <f t="shared" si="4"/>
        <v>0</v>
      </c>
      <c r="E18" s="18">
        <f t="shared" si="4"/>
        <v>0.51</v>
      </c>
    </row>
    <row r="21" spans="1:24" ht="15.75" thickBot="1" x14ac:dyDescent="0.3">
      <c r="E21" t="s">
        <v>65</v>
      </c>
      <c r="O21" t="s">
        <v>88</v>
      </c>
      <c r="R21" t="s">
        <v>89</v>
      </c>
      <c r="S21">
        <v>0.05</v>
      </c>
    </row>
    <row r="22" spans="1:24" ht="15.75" thickTop="1" x14ac:dyDescent="0.25">
      <c r="O22" s="2" t="s">
        <v>90</v>
      </c>
      <c r="P22" s="2" t="s">
        <v>91</v>
      </c>
      <c r="Q22" s="2" t="s">
        <v>92</v>
      </c>
      <c r="R22" s="2" t="s">
        <v>93</v>
      </c>
      <c r="S22" s="2" t="s">
        <v>78</v>
      </c>
      <c r="T22" s="2" t="s">
        <v>94</v>
      </c>
    </row>
    <row r="23" spans="1:24" ht="15.75" thickBot="1" x14ac:dyDescent="0.3">
      <c r="E23" t="s">
        <v>66</v>
      </c>
      <c r="J23" t="s">
        <v>67</v>
      </c>
      <c r="K23">
        <v>0.05</v>
      </c>
      <c r="O23" t="str">
        <f>B1</f>
        <v>Cluster_3</v>
      </c>
      <c r="P23">
        <f>AVERAGE(B2:B16)</f>
        <v>254.73333333333332</v>
      </c>
      <c r="Q23">
        <f>COUNT(B2:B16)</f>
        <v>15</v>
      </c>
      <c r="R23">
        <f>DEVSQ(B2:B16)</f>
        <v>140720.93333333335</v>
      </c>
    </row>
    <row r="24" spans="1:24" ht="15.75" thickTop="1" x14ac:dyDescent="0.25">
      <c r="E24" s="2" t="s">
        <v>68</v>
      </c>
      <c r="F24" s="2" t="s">
        <v>69</v>
      </c>
      <c r="G24" s="2" t="s">
        <v>70</v>
      </c>
      <c r="H24" s="2" t="s">
        <v>64</v>
      </c>
      <c r="I24" s="2" t="s">
        <v>71</v>
      </c>
      <c r="J24" s="2" t="s">
        <v>72</v>
      </c>
      <c r="K24" s="2" t="s">
        <v>73</v>
      </c>
      <c r="L24" s="2" t="s">
        <v>74</v>
      </c>
      <c r="M24" s="2" t="s">
        <v>75</v>
      </c>
      <c r="O24" t="str">
        <f>C1</f>
        <v>Cluster_1</v>
      </c>
      <c r="P24">
        <f>AVERAGE(C2:C16)</f>
        <v>365.33333333333331</v>
      </c>
      <c r="Q24">
        <f>COUNT(C2:C16)</f>
        <v>15</v>
      </c>
      <c r="R24">
        <f>DEVSQ(C2:C16)</f>
        <v>98365.333333333328</v>
      </c>
    </row>
    <row r="25" spans="1:24" x14ac:dyDescent="0.25">
      <c r="E25" t="str">
        <f>B1</f>
        <v>Cluster_3</v>
      </c>
      <c r="F25">
        <f>COUNT(B2:B16)</f>
        <v>15</v>
      </c>
      <c r="G25">
        <f>SUM(B2:B16)</f>
        <v>3821</v>
      </c>
      <c r="H25">
        <f>AVERAGE(B2:B16)</f>
        <v>254.73333333333332</v>
      </c>
      <c r="I25">
        <f>_xlfn.VAR.S(B2:B16)</f>
        <v>10051.49523809524</v>
      </c>
      <c r="J25">
        <f>DEVSQ(B2:B16)</f>
        <v>140720.93333333335</v>
      </c>
      <c r="K25">
        <f>SQRT(H33/F25)</f>
        <v>19.215275834523567</v>
      </c>
      <c r="L25">
        <f>H25-K25*_xlfn.T.INV.2T(K23,G33)</f>
        <v>216.24051035772217</v>
      </c>
      <c r="M25">
        <f>H25+K25*_xlfn.T.INV.2T(K23,G33)</f>
        <v>293.2261563089445</v>
      </c>
      <c r="O25" t="str">
        <f>D1</f>
        <v>Clsuter_4</v>
      </c>
      <c r="P25">
        <f>AVERAGE(D2:D16)</f>
        <v>3.0666666666666669</v>
      </c>
      <c r="Q25">
        <f>COUNT(D2:D16)</f>
        <v>15</v>
      </c>
      <c r="R25">
        <f>DEVSQ(D2:D16)</f>
        <v>276.93333333333328</v>
      </c>
    </row>
    <row r="26" spans="1:24" x14ac:dyDescent="0.25">
      <c r="E26" t="str">
        <f>C1</f>
        <v>Cluster_1</v>
      </c>
      <c r="F26">
        <f>COUNT(C2:C16)</f>
        <v>15</v>
      </c>
      <c r="G26">
        <f>SUM(C2:C16)</f>
        <v>5480</v>
      </c>
      <c r="H26">
        <f>AVERAGE(C2:C16)</f>
        <v>365.33333333333331</v>
      </c>
      <c r="I26">
        <f>_xlfn.VAR.S(C2:C16)</f>
        <v>7026.0952380952322</v>
      </c>
      <c r="J26">
        <f>DEVSQ(C2:C16)</f>
        <v>98365.333333333328</v>
      </c>
      <c r="K26">
        <f>SQRT(H33/F26)</f>
        <v>19.215275834523567</v>
      </c>
      <c r="L26">
        <f>H26-K26*_xlfn.T.INV.2T(K23,G33)</f>
        <v>326.84051035772217</v>
      </c>
      <c r="M26">
        <f>H26+K26*_xlfn.T.INV.2T(K23,G33)</f>
        <v>403.82615630894446</v>
      </c>
      <c r="O26" t="str">
        <f>E1</f>
        <v>Cluster_2</v>
      </c>
      <c r="P26">
        <f>AVERAGE(E2:E16)</f>
        <v>659.66666666666663</v>
      </c>
      <c r="Q26">
        <f>COUNT(E2:E16)</f>
        <v>15</v>
      </c>
      <c r="R26">
        <f>DEVSQ(E2:E16)</f>
        <v>70787.333333333328</v>
      </c>
    </row>
    <row r="27" spans="1:24" x14ac:dyDescent="0.25">
      <c r="E27" t="str">
        <f>D1</f>
        <v>Clsuter_4</v>
      </c>
      <c r="F27">
        <f>COUNT(D2:D16)</f>
        <v>15</v>
      </c>
      <c r="G27">
        <f>SUM(D2:D16)</f>
        <v>46</v>
      </c>
      <c r="H27">
        <f>AVERAGE(D2:D16)</f>
        <v>3.0666666666666669</v>
      </c>
      <c r="I27">
        <f>_xlfn.VAR.S(D2:D16)</f>
        <v>19.780952380952382</v>
      </c>
      <c r="J27">
        <f>DEVSQ(D2:D16)</f>
        <v>276.93333333333328</v>
      </c>
      <c r="K27">
        <f>SQRT(H33/F27)</f>
        <v>19.215275834523567</v>
      </c>
      <c r="L27">
        <f>H27-K27*_xlfn.T.INV.2T(K23,G33)</f>
        <v>-35.426156308944478</v>
      </c>
      <c r="M27">
        <f>H27+K27*_xlfn.T.INV.2T(K23,G33)</f>
        <v>41.559489642277818</v>
      </c>
      <c r="O27" s="3"/>
      <c r="P27" s="3"/>
      <c r="Q27" s="3">
        <f>SUM(Q23:Q26)</f>
        <v>60</v>
      </c>
      <c r="R27" s="3">
        <f>SUM(R23:R26)</f>
        <v>310150.53333333333</v>
      </c>
      <c r="S27" s="3">
        <f>Q27-COUNT(Q23:Q26)</f>
        <v>56</v>
      </c>
      <c r="T27" s="3">
        <f>[1]!QCRIT(COUNT(Q23:Q26),S27,S21,2)</f>
        <v>3.7447142857142857</v>
      </c>
    </row>
    <row r="28" spans="1:24" ht="15.75" thickBot="1" x14ac:dyDescent="0.3">
      <c r="E28" t="str">
        <f>E1</f>
        <v>Cluster_2</v>
      </c>
      <c r="F28">
        <f>COUNT(E2:E16)</f>
        <v>15</v>
      </c>
      <c r="G28">
        <f>SUM(E2:E16)</f>
        <v>9895</v>
      </c>
      <c r="H28">
        <f>AVERAGE(E2:E16)</f>
        <v>659.66666666666663</v>
      </c>
      <c r="I28">
        <f>_xlfn.VAR.S(E2:E16)</f>
        <v>5056.2380952380727</v>
      </c>
      <c r="J28">
        <f>DEVSQ(E2:E16)</f>
        <v>70787.333333333328</v>
      </c>
      <c r="K28">
        <f>SQRT(H33/F28)</f>
        <v>19.215275834523567</v>
      </c>
      <c r="L28">
        <f>H28-K28*_xlfn.T.INV.2T(K23,G33)</f>
        <v>621.17384369105548</v>
      </c>
      <c r="M28">
        <f>H28+K28*_xlfn.T.INV.2T(K23,G33)</f>
        <v>698.15948964227778</v>
      </c>
      <c r="O28" t="s">
        <v>95</v>
      </c>
    </row>
    <row r="29" spans="1:24" ht="15.75" thickTop="1" x14ac:dyDescent="0.25">
      <c r="E29" s="3"/>
      <c r="F29" s="3"/>
      <c r="G29" s="3"/>
      <c r="H29" s="3"/>
      <c r="I29" s="3"/>
      <c r="J29" s="3"/>
      <c r="K29" s="3"/>
      <c r="L29" s="3"/>
      <c r="M29" s="3"/>
      <c r="O29" s="2" t="s">
        <v>96</v>
      </c>
      <c r="P29" s="2" t="s">
        <v>97</v>
      </c>
      <c r="Q29" s="2" t="s">
        <v>91</v>
      </c>
      <c r="R29" s="2" t="s">
        <v>98</v>
      </c>
      <c r="S29" s="2" t="s">
        <v>99</v>
      </c>
      <c r="T29" s="2" t="s">
        <v>100</v>
      </c>
      <c r="U29" s="2" t="s">
        <v>101</v>
      </c>
      <c r="V29" s="2" t="s">
        <v>102</v>
      </c>
      <c r="W29" s="2" t="s">
        <v>103</v>
      </c>
      <c r="X29" s="2" t="s">
        <v>104</v>
      </c>
    </row>
    <row r="30" spans="1:24" ht="15.75" thickBot="1" x14ac:dyDescent="0.3">
      <c r="E30" t="s">
        <v>76</v>
      </c>
      <c r="O30" s="3" t="str">
        <f>O23</f>
        <v>Cluster_3</v>
      </c>
      <c r="P30" s="3" t="str">
        <f>O24</f>
        <v>Cluster_1</v>
      </c>
      <c r="Q30" s="3">
        <f>ABS(P23-P24)</f>
        <v>110.6</v>
      </c>
      <c r="R30" s="3">
        <f>SQRT(R27/S27/HARMEAN(Q23,Q24))</f>
        <v>19.215275834523567</v>
      </c>
      <c r="S30" s="3">
        <f>Q30/R30</f>
        <v>5.7558372282789696</v>
      </c>
      <c r="T30" s="3">
        <f>Q30-R30*T$27</f>
        <v>38.644282078519097</v>
      </c>
      <c r="U30" s="3">
        <f>Q30+R30*T$27</f>
        <v>182.55571792148089</v>
      </c>
      <c r="V30" s="3">
        <f>[1]!QDIST(S30,COUNT($Q$23:$Q$26),S$27)</f>
        <v>8.3753161202781978E-4</v>
      </c>
      <c r="W30" s="3">
        <f>R30*T$27</f>
        <v>71.955717921480897</v>
      </c>
      <c r="X30" s="3">
        <f>Q30*SQRT(S$27/R$27)</f>
        <v>1.486150781907007</v>
      </c>
    </row>
    <row r="31" spans="1:24" ht="15.75" thickTop="1" x14ac:dyDescent="0.25">
      <c r="E31" s="2" t="s">
        <v>77</v>
      </c>
      <c r="F31" s="2" t="s">
        <v>72</v>
      </c>
      <c r="G31" s="2" t="s">
        <v>78</v>
      </c>
      <c r="H31" s="2" t="s">
        <v>79</v>
      </c>
      <c r="I31" s="2" t="s">
        <v>80</v>
      </c>
      <c r="J31" s="2" t="s">
        <v>81</v>
      </c>
      <c r="K31" s="2" t="s">
        <v>82</v>
      </c>
      <c r="L31" s="2" t="s">
        <v>83</v>
      </c>
      <c r="M31" s="2" t="s">
        <v>84</v>
      </c>
      <c r="O31" t="str">
        <f>O23</f>
        <v>Cluster_3</v>
      </c>
      <c r="P31" t="str">
        <f>O25</f>
        <v>Clsuter_4</v>
      </c>
      <c r="Q31">
        <f>ABS(P23-P25)</f>
        <v>251.66666666666666</v>
      </c>
      <c r="R31">
        <f>SQRT(R27/S27/HARMEAN(Q23,Q25))</f>
        <v>19.215275834523567</v>
      </c>
      <c r="S31">
        <f t="shared" ref="S31:S35" si="5">Q31/R31</f>
        <v>13.097218527277342</v>
      </c>
      <c r="T31">
        <f t="shared" ref="T31:T35" si="6">Q31-R31*T$27</f>
        <v>179.71094874518576</v>
      </c>
      <c r="U31">
        <f t="shared" ref="U31:U35" si="7">Q31+R31*T$27</f>
        <v>323.62238458814755</v>
      </c>
      <c r="V31">
        <f>[1]!QDIST(S31,COUNT($Q$23:$Q$26),S$27)</f>
        <v>4.081290860824538E-12</v>
      </c>
      <c r="W31">
        <f t="shared" ref="W31:W35" si="8">R31*T$27</f>
        <v>71.955717921480897</v>
      </c>
      <c r="X31">
        <f t="shared" ref="X31:X35" si="9">Q31*SQRT(S$27/R$27)</f>
        <v>3.3816872825189583</v>
      </c>
    </row>
    <row r="32" spans="1:24" x14ac:dyDescent="0.25">
      <c r="E32" t="s">
        <v>85</v>
      </c>
      <c r="F32">
        <f>F34-F33</f>
        <v>3331996.0666666678</v>
      </c>
      <c r="G32">
        <f>COUNTA(E25:E28)-1</f>
        <v>3</v>
      </c>
      <c r="H32">
        <f>F32/G32</f>
        <v>1110665.355555556</v>
      </c>
      <c r="I32">
        <f>H32/H33</f>
        <v>200.53894230858802</v>
      </c>
      <c r="J32">
        <f>_xlfn.F.DIST.RT(I32,G32,G33)</f>
        <v>6.4442762011533003E-30</v>
      </c>
      <c r="K32">
        <f>F32/F34</f>
        <v>0.91484402815270172</v>
      </c>
      <c r="L32">
        <f>SQRT(DEVSQ(H25:H28)/(H33*G32))</f>
        <v>3.6564002544268215</v>
      </c>
      <c r="M32">
        <f>(F34-G34*H33)/(F34+H33)</f>
        <v>0.9088999892698415</v>
      </c>
      <c r="O32" t="str">
        <f>O23</f>
        <v>Cluster_3</v>
      </c>
      <c r="P32" t="str">
        <f>O26</f>
        <v>Cluster_2</v>
      </c>
      <c r="Q32">
        <f>ABS(P23-P26)</f>
        <v>404.93333333333328</v>
      </c>
      <c r="R32">
        <f>SQRT(R27/S27/HARMEAN(Q23,Q26))</f>
        <v>19.215275834523567</v>
      </c>
      <c r="S32">
        <f t="shared" si="5"/>
        <v>21.073511346935781</v>
      </c>
      <c r="T32">
        <f t="shared" si="6"/>
        <v>332.97761541185241</v>
      </c>
      <c r="U32">
        <f t="shared" si="7"/>
        <v>476.88905125481415</v>
      </c>
      <c r="V32">
        <f>[1]!QDIST(S32,COUNT($Q$23:$Q$26),S$27)</f>
        <v>-1.5765166949677223E-14</v>
      </c>
      <c r="W32">
        <f t="shared" si="8"/>
        <v>71.955717921480897</v>
      </c>
      <c r="X32">
        <f t="shared" si="9"/>
        <v>5.44115723285302</v>
      </c>
    </row>
    <row r="33" spans="5:24" x14ac:dyDescent="0.25">
      <c r="E33" t="s">
        <v>86</v>
      </c>
      <c r="F33">
        <f>SUM(J25:J28)</f>
        <v>310150.53333333333</v>
      </c>
      <c r="G33">
        <f>G34-G32</f>
        <v>56</v>
      </c>
      <c r="H33">
        <f>F33/G33</f>
        <v>5538.4023809523806</v>
      </c>
      <c r="O33" t="str">
        <f>O24</f>
        <v>Cluster_1</v>
      </c>
      <c r="P33" t="str">
        <f>O25</f>
        <v>Clsuter_4</v>
      </c>
      <c r="Q33">
        <f>ABS(P24-P25)</f>
        <v>362.26666666666665</v>
      </c>
      <c r="R33">
        <f>SQRT(R27/S27/HARMEAN(Q24,Q25))</f>
        <v>19.215275834523567</v>
      </c>
      <c r="S33">
        <f t="shared" si="5"/>
        <v>18.853055755556312</v>
      </c>
      <c r="T33">
        <f t="shared" si="6"/>
        <v>290.31094874518578</v>
      </c>
      <c r="U33">
        <f t="shared" si="7"/>
        <v>434.22238458814752</v>
      </c>
      <c r="V33">
        <f>[1]!QDIST(S33,COUNT($Q$23:$Q$26),S$27)</f>
        <v>-1.5765166949677223E-14</v>
      </c>
      <c r="W33">
        <f t="shared" si="8"/>
        <v>71.955717921480897</v>
      </c>
      <c r="X33">
        <f t="shared" si="9"/>
        <v>4.8678380644259649</v>
      </c>
    </row>
    <row r="34" spans="5:24" x14ac:dyDescent="0.25">
      <c r="E34" s="4" t="s">
        <v>87</v>
      </c>
      <c r="F34" s="4">
        <f>DEVSQ(B2:E16)</f>
        <v>3642146.600000001</v>
      </c>
      <c r="G34" s="4">
        <f>COUNT(B2:E16)-1</f>
        <v>59</v>
      </c>
      <c r="H34" s="4">
        <f>F34/G34</f>
        <v>61731.298305084762</v>
      </c>
      <c r="I34" s="4"/>
      <c r="J34" s="4"/>
      <c r="K34" s="4"/>
      <c r="L34" s="4"/>
      <c r="M34" s="4"/>
      <c r="O34" t="str">
        <f>O24</f>
        <v>Cluster_1</v>
      </c>
      <c r="P34" t="str">
        <f>O26</f>
        <v>Cluster_2</v>
      </c>
      <c r="Q34">
        <f>ABS(P24-P26)</f>
        <v>294.33333333333331</v>
      </c>
      <c r="R34">
        <f>SQRT(R27/S27/HARMEAN(Q24,Q26))</f>
        <v>19.215275834523567</v>
      </c>
      <c r="S34">
        <f t="shared" si="5"/>
        <v>15.317674118656813</v>
      </c>
      <c r="T34">
        <f t="shared" si="6"/>
        <v>222.37761541185242</v>
      </c>
      <c r="U34">
        <f t="shared" si="7"/>
        <v>366.28905125481424</v>
      </c>
      <c r="V34">
        <f>[1]!QDIST(S34,COUNT($Q$23:$Q$26),S$27)</f>
        <v>-1.7763568394002505E-15</v>
      </c>
      <c r="W34">
        <f t="shared" si="8"/>
        <v>71.955717921480897</v>
      </c>
      <c r="X34">
        <f t="shared" si="9"/>
        <v>3.955006450946013</v>
      </c>
    </row>
    <row r="35" spans="5:24" x14ac:dyDescent="0.25">
      <c r="O35" s="4" t="str">
        <f>O25</f>
        <v>Clsuter_4</v>
      </c>
      <c r="P35" s="4" t="str">
        <f>O26</f>
        <v>Cluster_2</v>
      </c>
      <c r="Q35" s="4">
        <f>ABS(P25-P26)</f>
        <v>656.59999999999991</v>
      </c>
      <c r="R35" s="4">
        <f>SQRT(R27/S27/HARMEAN(Q25,Q26))</f>
        <v>19.215275834523567</v>
      </c>
      <c r="S35" s="4">
        <f t="shared" si="5"/>
        <v>34.170729874213123</v>
      </c>
      <c r="T35" s="4">
        <f t="shared" si="6"/>
        <v>584.64428207851904</v>
      </c>
      <c r="U35" s="4">
        <f t="shared" si="7"/>
        <v>728.55571792148078</v>
      </c>
      <c r="V35" s="4">
        <f>[1]!QDIST(S35,COUNT($Q$23:$Q$26),S$27)</f>
        <v>-1.5765166949677223E-14</v>
      </c>
      <c r="W35" s="4">
        <f t="shared" si="8"/>
        <v>71.955717921480897</v>
      </c>
      <c r="X35" s="4">
        <f t="shared" si="9"/>
        <v>8.8228445153719779</v>
      </c>
    </row>
    <row r="42" spans="5:24" ht="15.75" thickBot="1" x14ac:dyDescent="0.3">
      <c r="E42" t="s">
        <v>110</v>
      </c>
      <c r="L42" t="s">
        <v>118</v>
      </c>
      <c r="O42" t="s">
        <v>89</v>
      </c>
      <c r="P42">
        <v>0.05</v>
      </c>
    </row>
    <row r="43" spans="5:24" ht="15.75" thickTop="1" x14ac:dyDescent="0.25">
      <c r="L43" s="2" t="s">
        <v>90</v>
      </c>
      <c r="M43" s="2" t="s">
        <v>119</v>
      </c>
      <c r="N43" s="2" t="s">
        <v>120</v>
      </c>
      <c r="O43" s="2" t="s">
        <v>121</v>
      </c>
      <c r="P43" s="2" t="s">
        <v>94</v>
      </c>
    </row>
    <row r="44" spans="5:24" x14ac:dyDescent="0.25">
      <c r="F44" t="str">
        <f>B1</f>
        <v>Cluster_3</v>
      </c>
      <c r="G44" t="str">
        <f t="shared" ref="G44:I44" si="10">C1</f>
        <v>Cluster_1</v>
      </c>
      <c r="H44" t="str">
        <f t="shared" si="10"/>
        <v>Clsuter_4</v>
      </c>
      <c r="I44" t="str">
        <f t="shared" si="10"/>
        <v>Cluster_2</v>
      </c>
      <c r="L44" t="str">
        <f>B1</f>
        <v>Cluster_3</v>
      </c>
      <c r="M44">
        <f>[1]!RANK_SUM(B2:E16,1,1)</f>
        <v>382</v>
      </c>
      <c r="N44">
        <f>COUNT(B2:B16)</f>
        <v>15</v>
      </c>
      <c r="O44">
        <f>M44/N44</f>
        <v>25.466666666666665</v>
      </c>
    </row>
    <row r="45" spans="5:24" x14ac:dyDescent="0.25">
      <c r="E45" t="s">
        <v>111</v>
      </c>
      <c r="F45" s="7">
        <f>MEDIAN(B2:B16)</f>
        <v>267</v>
      </c>
      <c r="G45" s="8">
        <f t="shared" ref="G45:I45" si="11">MEDIAN(C2:C16)</f>
        <v>372</v>
      </c>
      <c r="H45" s="8">
        <f t="shared" si="11"/>
        <v>0</v>
      </c>
      <c r="I45" s="9">
        <f t="shared" si="11"/>
        <v>653</v>
      </c>
      <c r="L45" t="str">
        <f>C1</f>
        <v>Cluster_1</v>
      </c>
      <c r="M45">
        <f>[1]!RANK_SUM(B2:E16,2,1)</f>
        <v>532</v>
      </c>
      <c r="N45">
        <f>COUNT(C2:C16)</f>
        <v>15</v>
      </c>
      <c r="O45">
        <f>M45/N45</f>
        <v>35.466666666666669</v>
      </c>
    </row>
    <row r="46" spans="5:24" x14ac:dyDescent="0.25">
      <c r="E46" t="s">
        <v>112</v>
      </c>
      <c r="F46" s="10">
        <f>[1]!RANK_SUM(B2:E16, 1,1)</f>
        <v>382</v>
      </c>
      <c r="G46">
        <f>[1]!RANK_SUM(B2:E16, 2,1)</f>
        <v>532</v>
      </c>
      <c r="H46">
        <f>[1]!RANK_SUM(B2:E16, 3,1)</f>
        <v>121</v>
      </c>
      <c r="I46" s="11">
        <f>[1]!RANK_SUM(B2:E16, 4,1)</f>
        <v>795</v>
      </c>
      <c r="L46" t="str">
        <f>D1</f>
        <v>Clsuter_4</v>
      </c>
      <c r="M46">
        <f>[1]!RANK_SUM(B2:E16,3,1)</f>
        <v>121</v>
      </c>
      <c r="N46">
        <f>COUNT(D2:D16)</f>
        <v>15</v>
      </c>
      <c r="O46">
        <f>M46/N46</f>
        <v>8.0666666666666664</v>
      </c>
    </row>
    <row r="47" spans="5:24" x14ac:dyDescent="0.25">
      <c r="E47" t="s">
        <v>113</v>
      </c>
      <c r="F47" s="10">
        <f>COUNT(B2:B16)</f>
        <v>15</v>
      </c>
      <c r="G47">
        <f t="shared" ref="G47:I47" si="12">COUNT(C2:C16)</f>
        <v>15</v>
      </c>
      <c r="H47">
        <f t="shared" si="12"/>
        <v>15</v>
      </c>
      <c r="I47" s="11">
        <f t="shared" si="12"/>
        <v>15</v>
      </c>
      <c r="J47" s="15">
        <f>SUM(F47:I47)</f>
        <v>60</v>
      </c>
      <c r="L47" t="str">
        <f>E1</f>
        <v>Cluster_2</v>
      </c>
      <c r="M47">
        <f>[1]!RANK_SUM(B2:E16,4,1)</f>
        <v>795</v>
      </c>
      <c r="N47">
        <f>COUNT(E2:E16)</f>
        <v>15</v>
      </c>
      <c r="O47">
        <f>M47/N47</f>
        <v>53</v>
      </c>
    </row>
    <row r="48" spans="5:24" x14ac:dyDescent="0.25">
      <c r="E48" t="s">
        <v>114</v>
      </c>
      <c r="F48" s="12">
        <f>F46^2/F47</f>
        <v>9728.2666666666664</v>
      </c>
      <c r="G48" s="13">
        <f t="shared" ref="G48:I48" si="13">G46^2/G47</f>
        <v>18868.266666666666</v>
      </c>
      <c r="H48" s="13">
        <f t="shared" si="13"/>
        <v>976.06666666666672</v>
      </c>
      <c r="I48" s="14">
        <f t="shared" si="13"/>
        <v>42135</v>
      </c>
      <c r="J48" s="16">
        <f>SUM(F48:I48)</f>
        <v>71707.600000000006</v>
      </c>
      <c r="L48" s="3"/>
      <c r="M48" s="3"/>
      <c r="N48" s="3">
        <f>SUM(N44:N47)</f>
        <v>60</v>
      </c>
      <c r="O48" s="3"/>
      <c r="P48" s="3">
        <f>[1]!QCRIT(COUNT(N44:N47),,P42,2)</f>
        <v>3.633</v>
      </c>
    </row>
    <row r="49" spans="5:18" ht="15.75" thickBot="1" x14ac:dyDescent="0.3">
      <c r="E49" t="s">
        <v>115</v>
      </c>
      <c r="J49" s="16">
        <f>12*J48/(J47*(J47+1))-3*(J47+1)</f>
        <v>52.106885245901651</v>
      </c>
      <c r="L49" t="s">
        <v>95</v>
      </c>
    </row>
    <row r="50" spans="5:18" ht="15.75" thickTop="1" x14ac:dyDescent="0.25">
      <c r="E50" t="s">
        <v>116</v>
      </c>
      <c r="J50" s="16">
        <f>J49/(1-[1]!TiesCorrection(B2:E16)/(J47*(J47^2-1)))</f>
        <v>52.249158586871737</v>
      </c>
      <c r="L50" s="2" t="s">
        <v>96</v>
      </c>
      <c r="M50" s="2" t="s">
        <v>97</v>
      </c>
      <c r="N50" s="2" t="s">
        <v>121</v>
      </c>
      <c r="O50" s="2" t="s">
        <v>98</v>
      </c>
      <c r="P50" s="2" t="s">
        <v>99</v>
      </c>
      <c r="Q50" s="2" t="s">
        <v>102</v>
      </c>
      <c r="R50" s="2" t="s">
        <v>122</v>
      </c>
    </row>
    <row r="51" spans="5:18" x14ac:dyDescent="0.25">
      <c r="E51" t="s">
        <v>78</v>
      </c>
      <c r="J51" s="16">
        <f>COUNTA(F44:I44)-1</f>
        <v>3</v>
      </c>
      <c r="L51" s="3" t="str">
        <f>L44</f>
        <v>Cluster_3</v>
      </c>
      <c r="M51" s="3" t="str">
        <f>L45</f>
        <v>Cluster_1</v>
      </c>
      <c r="N51" s="3">
        <f>ABS(O44-O45)</f>
        <v>10.000000000000004</v>
      </c>
      <c r="O51" s="3">
        <f>SQRT(N$48*(N$48+1)/12/HARMEAN(N44,N45))</f>
        <v>4.5092497528228943</v>
      </c>
      <c r="P51" s="3">
        <f>N51/O51</f>
        <v>2.2176638128637194</v>
      </c>
      <c r="Q51" s="3">
        <f>[1]!QDIST(P51,COUNT(N$44:N$47))</f>
        <v>0.3971503197928733</v>
      </c>
      <c r="R51" s="3">
        <f>O51*P$48</f>
        <v>16.382104352005577</v>
      </c>
    </row>
    <row r="52" spans="5:18" x14ac:dyDescent="0.25">
      <c r="E52" t="s">
        <v>102</v>
      </c>
      <c r="J52" s="16">
        <f>_xlfn.CHISQ.DIST.RT(J50,J51)</f>
        <v>2.6503584443484177E-11</v>
      </c>
      <c r="L52" t="str">
        <f>L44</f>
        <v>Cluster_3</v>
      </c>
      <c r="M52" t="str">
        <f>L46</f>
        <v>Clsuter_4</v>
      </c>
      <c r="N52">
        <f>ABS(O44-O46)</f>
        <v>17.399999999999999</v>
      </c>
      <c r="O52">
        <f>SQRT(N$48*(N$48+1)/12/HARMEAN(N44,N46))</f>
        <v>4.5092497528228943</v>
      </c>
      <c r="P52">
        <f t="shared" ref="P52:P56" si="14">N52/O52</f>
        <v>3.8587350343828697</v>
      </c>
      <c r="Q52">
        <f>[1]!QDIST(P52,COUNT(N$44:N$47))</f>
        <v>3.2482119102542395E-2</v>
      </c>
      <c r="R52">
        <f t="shared" ref="R52:R56" si="15">O52*P$48</f>
        <v>16.382104352005577</v>
      </c>
    </row>
    <row r="53" spans="5:18" x14ac:dyDescent="0.25">
      <c r="E53" t="s">
        <v>89</v>
      </c>
      <c r="J53" s="16">
        <v>0.05</v>
      </c>
      <c r="L53" t="str">
        <f>L44</f>
        <v>Cluster_3</v>
      </c>
      <c r="M53" t="str">
        <f>L47</f>
        <v>Cluster_2</v>
      </c>
      <c r="N53">
        <f>ABS(O44-O47)</f>
        <v>27.533333333333335</v>
      </c>
      <c r="O53">
        <f>SQRT(N$48*(N$48+1)/12/HARMEAN(N44,N47))</f>
        <v>4.5092497528228943</v>
      </c>
      <c r="P53">
        <f t="shared" si="14"/>
        <v>6.1059676980847719</v>
      </c>
      <c r="Q53">
        <f>[1]!QDIST(P53,COUNT(N$44:N$47))</f>
        <v>9.6802653485106305E-5</v>
      </c>
      <c r="R53">
        <f t="shared" si="15"/>
        <v>16.382104352005577</v>
      </c>
    </row>
    <row r="54" spans="5:18" x14ac:dyDescent="0.25">
      <c r="E54" t="s">
        <v>117</v>
      </c>
      <c r="J54" s="17" t="str">
        <f>IF(J52&lt;J53,"yes","no")</f>
        <v>yes</v>
      </c>
      <c r="L54" t="str">
        <f>L45</f>
        <v>Cluster_1</v>
      </c>
      <c r="M54" t="str">
        <f>L46</f>
        <v>Clsuter_4</v>
      </c>
      <c r="N54">
        <f>ABS(O45-O46)</f>
        <v>27.400000000000002</v>
      </c>
      <c r="O54">
        <f>SQRT(N$48*(N$48+1)/12/HARMEAN(N45,N46))</f>
        <v>4.5092497528228943</v>
      </c>
      <c r="P54">
        <f t="shared" si="14"/>
        <v>6.0763988472465895</v>
      </c>
      <c r="Q54">
        <f>[1]!QDIST(P54,COUNT(N$44:N$47))</f>
        <v>1.0624654302915371E-4</v>
      </c>
      <c r="R54">
        <f t="shared" si="15"/>
        <v>16.382104352005577</v>
      </c>
    </row>
    <row r="55" spans="5:18" x14ac:dyDescent="0.25">
      <c r="L55" t="str">
        <f>L45</f>
        <v>Cluster_1</v>
      </c>
      <c r="M55" t="str">
        <f>L47</f>
        <v>Cluster_2</v>
      </c>
      <c r="N55">
        <f>ABS(O45-O47)</f>
        <v>17.533333333333331</v>
      </c>
      <c r="O55">
        <f>SQRT(N$48*(N$48+1)/12/HARMEAN(N45,N47))</f>
        <v>4.5092497528228943</v>
      </c>
      <c r="P55">
        <f t="shared" si="14"/>
        <v>3.8883038852210525</v>
      </c>
      <c r="Q55">
        <f>[1]!QDIST(P55,COUNT(N$44:N$47))</f>
        <v>3.0612438286970356E-2</v>
      </c>
      <c r="R55">
        <f t="shared" si="15"/>
        <v>16.382104352005577</v>
      </c>
    </row>
    <row r="56" spans="5:18" x14ac:dyDescent="0.25">
      <c r="L56" s="4" t="str">
        <f>L46</f>
        <v>Clsuter_4</v>
      </c>
      <c r="M56" s="4" t="str">
        <f>L47</f>
        <v>Cluster_2</v>
      </c>
      <c r="N56" s="4">
        <f>ABS(O46-O47)</f>
        <v>44.933333333333337</v>
      </c>
      <c r="O56" s="4">
        <f>SQRT(N$48*(N$48+1)/12/HARMEAN(N46,N47))</f>
        <v>4.5092497528228943</v>
      </c>
      <c r="P56" s="4">
        <f t="shared" si="14"/>
        <v>9.9647027324676429</v>
      </c>
      <c r="Q56" s="4">
        <f>[1]!QDIST(P56,COUNT(N$44:N$47))</f>
        <v>1.4589440766599182E-11</v>
      </c>
      <c r="R56" s="4">
        <f t="shared" si="15"/>
        <v>16.382104352005577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45D2F4-A3B2-4C8E-BB9B-C34AD7471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voxel_counts_1</vt:lpstr>
      <vt:lpstr>voxel_counts_2</vt:lpstr>
      <vt:lpstr>voxel_counts_3</vt:lpstr>
      <vt:lpstr>voxel_counts_4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Yuri</dc:creator>
  <cp:lastModifiedBy>Yuri Yuri</cp:lastModifiedBy>
  <cp:lastPrinted>2025-03-09T19:23:56Z</cp:lastPrinted>
  <dcterms:created xsi:type="dcterms:W3CDTF">2025-01-30T09:04:05Z</dcterms:created>
  <dcterms:modified xsi:type="dcterms:W3CDTF">2025-03-09T19:24:51Z</dcterms:modified>
</cp:coreProperties>
</file>